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DPFC-SPD-IR\FIN RES_RAS\2026\01.06.2026\"/>
    </mc:Choice>
  </mc:AlternateContent>
  <bookViews>
    <workbookView xWindow="0" yWindow="0" windowWidth="11490" windowHeight="8430" activeTab="1"/>
  </bookViews>
  <sheets>
    <sheet name="Disclaimer" sheetId="57" r:id="rId1"/>
    <sheet name="Main" sheetId="56" r:id="rId2"/>
    <sheet name="RAS DataBook" sheetId="52" r:id="rId3"/>
    <sheet name="E" sheetId="53" state="hidden" r:id="rId4"/>
    <sheet name="R" sheetId="54" state="hidden" r:id="rId5"/>
  </sheets>
  <definedNames>
    <definedName name="accname" localSheetId="3">#REF!</definedName>
    <definedName name="accname" localSheetId="1">#REF!</definedName>
    <definedName name="accname" localSheetId="4">#REF!</definedName>
    <definedName name="accname">#REF!</definedName>
    <definedName name="accpost" localSheetId="3">#REF!</definedName>
    <definedName name="accpost" localSheetId="1">#REF!</definedName>
    <definedName name="accpost" localSheetId="4">#REF!</definedName>
    <definedName name="accpost">#REF!</definedName>
    <definedName name="address" localSheetId="3">#REF!</definedName>
    <definedName name="address" localSheetId="1">#REF!</definedName>
    <definedName name="address" localSheetId="4">#REF!</definedName>
    <definedName name="address">#REF!</definedName>
    <definedName name="chiefname" localSheetId="3">#REF!</definedName>
    <definedName name="chiefname" localSheetId="1">#REF!</definedName>
    <definedName name="chiefname" localSheetId="4">#REF!</definedName>
    <definedName name="chiefname">#REF!</definedName>
    <definedName name="chiefpost" localSheetId="3">#REF!</definedName>
    <definedName name="chiefpost" localSheetId="1">#REF!</definedName>
    <definedName name="chiefpost" localSheetId="4">#REF!</definedName>
    <definedName name="chiefpost">#REF!</definedName>
    <definedName name="exec" localSheetId="3">#REF!</definedName>
    <definedName name="exec" localSheetId="1">#REF!</definedName>
    <definedName name="exec" localSheetId="4">#REF!</definedName>
    <definedName name="exec">#REF!</definedName>
    <definedName name="execpost" localSheetId="3">#REF!</definedName>
    <definedName name="execpost" localSheetId="1">#REF!</definedName>
    <definedName name="execpost" localSheetId="4">#REF!</definedName>
    <definedName name="execpost">#REF!</definedName>
    <definedName name="exectlf" localSheetId="3">#REF!</definedName>
    <definedName name="exectlf" localSheetId="1">#REF!</definedName>
    <definedName name="exectlf" localSheetId="4">#REF!</definedName>
    <definedName name="exectlf">#REF!</definedName>
    <definedName name="exedate" localSheetId="3">#REF!</definedName>
    <definedName name="exedate" localSheetId="1">#REF!</definedName>
    <definedName name="exedate" localSheetId="4">#REF!</definedName>
    <definedName name="exedate">#REF!</definedName>
    <definedName name="f_name" localSheetId="3">#REF!</definedName>
    <definedName name="f_name" localSheetId="1">#REF!</definedName>
    <definedName name="f_name" localSheetId="4">#REF!</definedName>
    <definedName name="f_name">#REF!</definedName>
    <definedName name="ftx" localSheetId="3">#REF!</definedName>
    <definedName name="ftx" localSheetId="1">#REF!</definedName>
    <definedName name="ftx" localSheetId="4">#REF!</definedName>
    <definedName name="ftx">#REF!</definedName>
    <definedName name="ftx_" localSheetId="3">#REF!</definedName>
    <definedName name="ftx_" localSheetId="1">#REF!</definedName>
    <definedName name="ftx_" localSheetId="4">#REF!</definedName>
    <definedName name="ftx_">#REF!</definedName>
    <definedName name="fullname" localSheetId="3">#REF!</definedName>
    <definedName name="fullname" localSheetId="1">#REF!</definedName>
    <definedName name="fullname" localSheetId="4">#REF!</definedName>
    <definedName name="fullname">#REF!</definedName>
    <definedName name="fullname_" localSheetId="3">#REF!</definedName>
    <definedName name="fullname_" localSheetId="1">#REF!</definedName>
    <definedName name="fullname_" localSheetId="4">#REF!</definedName>
    <definedName name="fullname_">#REF!</definedName>
    <definedName name="repdate" localSheetId="3">#REF!</definedName>
    <definedName name="repdate" localSheetId="1">#REF!</definedName>
    <definedName name="repdate" localSheetId="4">#REF!</definedName>
    <definedName name="repdate">#REF!</definedName>
    <definedName name="repdate_" localSheetId="3">#REF!</definedName>
    <definedName name="repdate_" localSheetId="1">#REF!</definedName>
    <definedName name="repdate_" localSheetId="4">#REF!</definedName>
    <definedName name="repdate_">#REF!</definedName>
    <definedName name="str_А_1" localSheetId="3">#REF!</definedName>
    <definedName name="str_А_1" localSheetId="1">#REF!</definedName>
    <definedName name="str_А_1" localSheetId="4">#REF!</definedName>
    <definedName name="str_А_1">#REF!</definedName>
    <definedName name="str_А_1i" localSheetId="3">#REF!</definedName>
    <definedName name="str_А_1i" localSheetId="1">#REF!</definedName>
    <definedName name="str_А_1i" localSheetId="4">#REF!</definedName>
    <definedName name="str_А_1i">#REF!</definedName>
    <definedName name="str_А_2" localSheetId="3">#REF!</definedName>
    <definedName name="str_А_2" localSheetId="1">#REF!</definedName>
    <definedName name="str_А_2" localSheetId="4">#REF!</definedName>
    <definedName name="str_А_2">#REF!</definedName>
    <definedName name="str_А_2i" localSheetId="3">#REF!</definedName>
    <definedName name="str_А_2i" localSheetId="1">#REF!</definedName>
    <definedName name="str_А_2i" localSheetId="4">#REF!</definedName>
    <definedName name="str_А_2i">#REF!</definedName>
    <definedName name="str_Б_1" localSheetId="3">#REF!</definedName>
    <definedName name="str_Б_1" localSheetId="1">#REF!</definedName>
    <definedName name="str_Б_1" localSheetId="4">#REF!</definedName>
    <definedName name="str_Б_1">#REF!</definedName>
    <definedName name="str_Б_1i" localSheetId="3">#REF!</definedName>
    <definedName name="str_Б_1i" localSheetId="1">#REF!</definedName>
    <definedName name="str_Б_1i" localSheetId="4">#REF!</definedName>
    <definedName name="str_Б_1i">#REF!</definedName>
    <definedName name="str_Б_2" localSheetId="3">#REF!</definedName>
    <definedName name="str_Б_2" localSheetId="1">#REF!</definedName>
    <definedName name="str_Б_2" localSheetId="4">#REF!</definedName>
    <definedName name="str_Б_2">#REF!</definedName>
    <definedName name="str_Б_2i" localSheetId="3">#REF!</definedName>
    <definedName name="str_Б_2i" localSheetId="1">#REF!</definedName>
    <definedName name="str_Б_2i" localSheetId="4">#REF!</definedName>
    <definedName name="str_Б_2i">#REF!</definedName>
    <definedName name="str_В_1" localSheetId="3">#REF!</definedName>
    <definedName name="str_В_1" localSheetId="1">#REF!</definedName>
    <definedName name="str_В_1" localSheetId="4">#REF!</definedName>
    <definedName name="str_В_1">#REF!</definedName>
    <definedName name="str_В_1i" localSheetId="3">#REF!</definedName>
    <definedName name="str_В_1i" localSheetId="1">#REF!</definedName>
    <definedName name="str_В_1i" localSheetId="4">#REF!</definedName>
    <definedName name="str_В_1i">#REF!</definedName>
    <definedName name="str_В_2" localSheetId="3">#REF!</definedName>
    <definedName name="str_В_2" localSheetId="1">#REF!</definedName>
    <definedName name="str_В_2" localSheetId="4">#REF!</definedName>
    <definedName name="str_В_2">#REF!</definedName>
    <definedName name="str_В_2i" localSheetId="3">#REF!</definedName>
    <definedName name="str_В_2i" localSheetId="1">#REF!</definedName>
    <definedName name="str_В_2i" localSheetId="4">#REF!</definedName>
    <definedName name="str_В_2i">#REF!</definedName>
    <definedName name="str_Г_1" localSheetId="3">#REF!</definedName>
    <definedName name="str_Г_1" localSheetId="1">#REF!</definedName>
    <definedName name="str_Г_1" localSheetId="4">#REF!</definedName>
    <definedName name="str_Г_1">#REF!</definedName>
    <definedName name="str_Г_1i" localSheetId="3">#REF!</definedName>
    <definedName name="str_Г_1i" localSheetId="1">#REF!</definedName>
    <definedName name="str_Г_1i" localSheetId="4">#REF!</definedName>
    <definedName name="str_Г_1i">#REF!</definedName>
    <definedName name="str_Г_2" localSheetId="3">#REF!</definedName>
    <definedName name="str_Г_2" localSheetId="1">#REF!</definedName>
    <definedName name="str_Г_2" localSheetId="4">#REF!</definedName>
    <definedName name="str_Г_2">#REF!</definedName>
    <definedName name="str_Г_2i" localSheetId="3">#REF!</definedName>
    <definedName name="str_Г_2i" localSheetId="1">#REF!</definedName>
    <definedName name="str_Г_2i" localSheetId="4">#REF!</definedName>
    <definedName name="str_Г_2i">#REF!</definedName>
    <definedName name="str_Д_1" localSheetId="3">#REF!</definedName>
    <definedName name="str_Д_1" localSheetId="1">#REF!</definedName>
    <definedName name="str_Д_1" localSheetId="4">#REF!</definedName>
    <definedName name="str_Д_1">#REF!</definedName>
    <definedName name="str_Д_1i" localSheetId="3">#REF!</definedName>
    <definedName name="str_Д_1i" localSheetId="1">#REF!</definedName>
    <definedName name="str_Д_1i" localSheetId="4">#REF!</definedName>
    <definedName name="str_Д_1i">#REF!</definedName>
    <definedName name="str_Д_2" localSheetId="3">#REF!</definedName>
    <definedName name="str_Д_2" localSheetId="1">#REF!</definedName>
    <definedName name="str_Д_2" localSheetId="4">#REF!</definedName>
    <definedName name="str_Д_2">#REF!</definedName>
    <definedName name="str_Д_2i" localSheetId="3">#REF!</definedName>
    <definedName name="str_Д_2i" localSheetId="1">#REF!</definedName>
    <definedName name="str_Д_2i" localSheetId="4">#REF!</definedName>
    <definedName name="str_Д_2i">#REF!</definedName>
  </definedNames>
  <calcPr calcId="162913"/>
</workbook>
</file>

<file path=xl/calcChain.xml><?xml version="1.0" encoding="utf-8"?>
<calcChain xmlns="http://schemas.openxmlformats.org/spreadsheetml/2006/main">
  <c r="G51" i="52" l="1"/>
  <c r="G46" i="52"/>
  <c r="G38" i="52"/>
  <c r="G33" i="52"/>
  <c r="G31" i="52"/>
  <c r="G29" i="52"/>
  <c r="G28" i="52"/>
  <c r="G24" i="54"/>
  <c r="G24" i="53"/>
  <c r="G13" i="52" l="1"/>
  <c r="G17" i="52" l="1"/>
  <c r="G18" i="52" s="1"/>
  <c r="G21" i="52"/>
  <c r="G35" i="52" l="1"/>
  <c r="H51" i="52"/>
  <c r="H46" i="52"/>
  <c r="H38" i="52"/>
  <c r="H33" i="52"/>
  <c r="H31" i="52"/>
  <c r="H29" i="52"/>
  <c r="H28" i="52"/>
  <c r="H24" i="54"/>
  <c r="H24" i="53"/>
  <c r="H13" i="52" l="1"/>
  <c r="G32" i="52" l="1"/>
  <c r="G34" i="52"/>
  <c r="H21" i="52"/>
  <c r="H17" i="52"/>
  <c r="H18" i="52" s="1"/>
  <c r="G30" i="52"/>
  <c r="I51" i="52"/>
  <c r="I46" i="52"/>
  <c r="J38" i="52"/>
  <c r="I38" i="52"/>
  <c r="J33" i="52"/>
  <c r="I33" i="52"/>
  <c r="J31" i="52"/>
  <c r="I31" i="52"/>
  <c r="J29" i="52"/>
  <c r="I29" i="52"/>
  <c r="J28" i="52"/>
  <c r="I28" i="52"/>
  <c r="J24" i="54"/>
  <c r="J24" i="53"/>
  <c r="G36" i="52" l="1"/>
  <c r="G37" i="52" s="1"/>
  <c r="G40" i="52"/>
  <c r="H35" i="52"/>
  <c r="H34" i="52"/>
  <c r="I30" i="52" l="1"/>
  <c r="H30" i="52"/>
  <c r="I13" i="52"/>
  <c r="I32" i="52" s="1"/>
  <c r="I34" i="52"/>
  <c r="I35" i="52"/>
  <c r="I21" i="52" l="1"/>
  <c r="I17" i="52"/>
  <c r="I18" i="52" s="1"/>
  <c r="H32" i="52"/>
  <c r="I36" i="52"/>
  <c r="I40" i="52"/>
  <c r="H36" i="52" l="1"/>
  <c r="H40" i="52"/>
  <c r="I37" i="52"/>
  <c r="K51" i="52"/>
  <c r="K46" i="52"/>
  <c r="K38" i="52"/>
  <c r="K33" i="52"/>
  <c r="K31" i="52"/>
  <c r="K29" i="52"/>
  <c r="K28" i="52"/>
  <c r="K24" i="54"/>
  <c r="K24" i="53"/>
  <c r="H37" i="52" l="1"/>
  <c r="J35" i="52"/>
  <c r="J34" i="52" l="1"/>
  <c r="J30" i="52"/>
  <c r="K13" i="52"/>
  <c r="J32" i="52" l="1"/>
  <c r="K21" i="52"/>
  <c r="K17" i="52"/>
  <c r="J40" i="52" l="1"/>
  <c r="J36" i="52"/>
  <c r="K18" i="52"/>
  <c r="M18" i="52"/>
  <c r="J37" i="52" l="1"/>
  <c r="M14" i="52"/>
  <c r="M9" i="52"/>
  <c r="M12" i="52"/>
  <c r="M10" i="52"/>
  <c r="K34" i="52" l="1"/>
  <c r="K30" i="52"/>
  <c r="K35" i="52"/>
  <c r="L51" i="52"/>
  <c r="L46" i="52"/>
  <c r="L38" i="52"/>
  <c r="L33" i="52"/>
  <c r="L31" i="52"/>
  <c r="L30" i="52"/>
  <c r="L29" i="52"/>
  <c r="L28" i="52"/>
  <c r="L34" i="52"/>
  <c r="L13" i="52"/>
  <c r="L24" i="54"/>
  <c r="L24" i="53"/>
  <c r="K32" i="52" l="1"/>
  <c r="L32" i="52"/>
  <c r="L21" i="52"/>
  <c r="L35" i="52"/>
  <c r="L17" i="52"/>
  <c r="K40" i="52" l="1"/>
  <c r="K36" i="52"/>
  <c r="L36" i="52"/>
  <c r="L40" i="52"/>
  <c r="L18" i="52"/>
  <c r="M51" i="52"/>
  <c r="M46" i="52"/>
  <c r="N33" i="52"/>
  <c r="M33" i="52"/>
  <c r="M29" i="52"/>
  <c r="N28" i="52"/>
  <c r="M28" i="52"/>
  <c r="M31" i="52"/>
  <c r="N29" i="52"/>
  <c r="N24" i="54"/>
  <c r="N24" i="53"/>
  <c r="K37" i="52" l="1"/>
  <c r="L37" i="52"/>
  <c r="N31" i="52"/>
  <c r="M13" i="52" l="1"/>
  <c r="M21" i="52" l="1"/>
  <c r="M17" i="52"/>
  <c r="M19" i="52" l="1"/>
  <c r="N38" i="52" l="1"/>
  <c r="M38" i="52"/>
  <c r="O51" i="52"/>
  <c r="O46" i="52"/>
  <c r="O38" i="52"/>
  <c r="O33" i="52"/>
  <c r="O31" i="52"/>
  <c r="O29" i="52"/>
  <c r="O28" i="52"/>
  <c r="O24" i="54"/>
  <c r="O24" i="53"/>
  <c r="N30" i="52" l="1"/>
  <c r="O13" i="52"/>
  <c r="N34" i="52"/>
  <c r="N35" i="52"/>
  <c r="P51" i="52"/>
  <c r="P46" i="52"/>
  <c r="P38" i="52"/>
  <c r="P33" i="52"/>
  <c r="P31" i="52"/>
  <c r="P29" i="52"/>
  <c r="P28" i="52"/>
  <c r="P24" i="54"/>
  <c r="P24" i="53"/>
  <c r="N32" i="52" l="1"/>
  <c r="O17" i="52"/>
  <c r="O21" i="52"/>
  <c r="O30" i="52" l="1"/>
  <c r="O18" i="52"/>
  <c r="N36" i="52"/>
  <c r="N40" i="52"/>
  <c r="P13" i="52"/>
  <c r="O34" i="52"/>
  <c r="O35" i="52"/>
  <c r="Q51" i="52"/>
  <c r="Q46" i="52"/>
  <c r="R38" i="52"/>
  <c r="Q38" i="52"/>
  <c r="R33" i="52"/>
  <c r="Q33" i="52"/>
  <c r="R31" i="52"/>
  <c r="Q31" i="52"/>
  <c r="R29" i="52"/>
  <c r="Q29" i="52"/>
  <c r="R28" i="52"/>
  <c r="Q28" i="52"/>
  <c r="O32" i="52" l="1"/>
  <c r="N37" i="52"/>
  <c r="P17" i="52"/>
  <c r="P21" i="52"/>
  <c r="O40" i="52" l="1"/>
  <c r="O36" i="52"/>
  <c r="P18" i="52"/>
  <c r="M30" i="52"/>
  <c r="M35" i="52"/>
  <c r="M34" i="52"/>
  <c r="P30" i="52"/>
  <c r="Q13" i="52"/>
  <c r="P34" i="52"/>
  <c r="P35" i="52"/>
  <c r="S51" i="52"/>
  <c r="S46" i="52"/>
  <c r="S38" i="52"/>
  <c r="S33" i="52"/>
  <c r="S31" i="52"/>
  <c r="S29" i="52"/>
  <c r="S28" i="52"/>
  <c r="S24" i="54"/>
  <c r="S24" i="53"/>
  <c r="O37" i="52" l="1"/>
  <c r="M32" i="52"/>
  <c r="P32" i="52"/>
  <c r="Q17" i="52"/>
  <c r="Q21" i="52"/>
  <c r="M36" i="52" l="1"/>
  <c r="M40" i="52"/>
  <c r="Q18" i="52"/>
  <c r="P36" i="52"/>
  <c r="P40" i="52"/>
  <c r="R30" i="52"/>
  <c r="R34" i="52"/>
  <c r="R35" i="52"/>
  <c r="S13" i="52"/>
  <c r="B2" i="57"/>
  <c r="M37" i="52" l="1"/>
  <c r="P37" i="52"/>
  <c r="S21" i="52"/>
  <c r="R32" i="52"/>
  <c r="S17" i="52"/>
  <c r="R36" i="52" l="1"/>
  <c r="R40" i="52"/>
  <c r="S18" i="52"/>
  <c r="S35" i="52"/>
  <c r="T51" i="52"/>
  <c r="T46" i="52"/>
  <c r="T38" i="52"/>
  <c r="T33" i="52"/>
  <c r="T31" i="52"/>
  <c r="T29" i="52"/>
  <c r="T28" i="52"/>
  <c r="T24" i="54"/>
  <c r="T24" i="53"/>
  <c r="R37" i="52" l="1"/>
  <c r="T13" i="52"/>
  <c r="S30" i="52"/>
  <c r="S34" i="52"/>
  <c r="T17" i="52" l="1"/>
  <c r="T21" i="52"/>
  <c r="S32" i="52"/>
  <c r="U51" i="52"/>
  <c r="U46" i="52"/>
  <c r="V38" i="52"/>
  <c r="U38" i="52"/>
  <c r="V33" i="52"/>
  <c r="U33" i="52"/>
  <c r="V31" i="52"/>
  <c r="U31" i="52"/>
  <c r="V29" i="52"/>
  <c r="U29" i="52"/>
  <c r="V28" i="52"/>
  <c r="U28" i="52"/>
  <c r="V24" i="54"/>
  <c r="V24" i="53"/>
  <c r="T18" i="52" l="1"/>
  <c r="S36" i="52"/>
  <c r="S40" i="52"/>
  <c r="S37" i="52" l="1"/>
  <c r="Q34" i="52"/>
  <c r="Q30" i="52"/>
  <c r="Q35" i="52"/>
  <c r="T30" i="52"/>
  <c r="U13" i="52"/>
  <c r="T34" i="52"/>
  <c r="T35" i="52"/>
  <c r="Q32" i="52" l="1"/>
  <c r="T32" i="52"/>
  <c r="U21" i="52"/>
  <c r="U17" i="52"/>
  <c r="Q36" i="52" l="1"/>
  <c r="Q40" i="52"/>
  <c r="T36" i="52"/>
  <c r="T40" i="52"/>
  <c r="U18" i="52"/>
  <c r="Q37" i="52" l="1"/>
  <c r="T37" i="52"/>
  <c r="W51" i="52"/>
  <c r="W46" i="52"/>
  <c r="W38" i="52"/>
  <c r="W33" i="52"/>
  <c r="W31" i="52"/>
  <c r="W29" i="52"/>
  <c r="W28" i="52"/>
  <c r="W24" i="54"/>
  <c r="W24" i="53"/>
  <c r="V34" i="52" l="1"/>
  <c r="V30" i="52"/>
  <c r="V35" i="52"/>
  <c r="W13" i="52"/>
  <c r="V32" i="52" l="1"/>
  <c r="W17" i="52"/>
  <c r="W21" i="52"/>
  <c r="X51" i="52"/>
  <c r="X46" i="52"/>
  <c r="X38" i="52"/>
  <c r="X33" i="52"/>
  <c r="X31" i="52"/>
  <c r="X29" i="52"/>
  <c r="X28" i="52"/>
  <c r="X24" i="54"/>
  <c r="X24" i="53"/>
  <c r="V36" i="52" l="1"/>
  <c r="V40" i="52"/>
  <c r="W18" i="52"/>
  <c r="W35" i="52"/>
  <c r="X13" i="52" l="1"/>
  <c r="V37" i="52"/>
  <c r="W30" i="52"/>
  <c r="W34" i="52"/>
  <c r="Y51" i="52"/>
  <c r="Y46" i="52"/>
  <c r="Z38" i="52"/>
  <c r="Y38" i="52"/>
  <c r="Z33" i="52"/>
  <c r="Y33" i="52"/>
  <c r="Z31" i="52"/>
  <c r="Y31" i="52"/>
  <c r="Z29" i="52"/>
  <c r="Y29" i="52"/>
  <c r="Z28" i="52"/>
  <c r="Y28" i="52"/>
  <c r="Z24" i="54"/>
  <c r="Z24" i="53"/>
  <c r="X17" i="52" l="1"/>
  <c r="X21" i="52"/>
  <c r="W32" i="52"/>
  <c r="U35" i="52"/>
  <c r="X18" i="52" l="1"/>
  <c r="W36" i="52"/>
  <c r="W40" i="52"/>
  <c r="U30" i="52"/>
  <c r="U34" i="52"/>
  <c r="X30" i="52"/>
  <c r="Y30" i="52"/>
  <c r="Y13" i="52"/>
  <c r="X34" i="52"/>
  <c r="Y34" i="52"/>
  <c r="X35" i="52"/>
  <c r="Y35" i="52"/>
  <c r="W37" i="52" l="1"/>
  <c r="U32" i="52"/>
  <c r="X32" i="52"/>
  <c r="Y32" i="52"/>
  <c r="Y17" i="52"/>
  <c r="Y21" i="52"/>
  <c r="AA51" i="52"/>
  <c r="AA46" i="52"/>
  <c r="AA38" i="52"/>
  <c r="AA33" i="52"/>
  <c r="AA31" i="52"/>
  <c r="AA29" i="52"/>
  <c r="AA28" i="52"/>
  <c r="AA24" i="54"/>
  <c r="AA24" i="53"/>
  <c r="Z34" i="52" l="1"/>
  <c r="U36" i="52"/>
  <c r="U40" i="52"/>
  <c r="AA13" i="52"/>
  <c r="X40" i="52"/>
  <c r="X36" i="52"/>
  <c r="Y18" i="52"/>
  <c r="Y36" i="52"/>
  <c r="Y40" i="52"/>
  <c r="Z30" i="52"/>
  <c r="Z35" i="52"/>
  <c r="Z32" i="52" l="1"/>
  <c r="U37" i="52"/>
  <c r="AA17" i="52"/>
  <c r="AA21" i="52"/>
  <c r="X37" i="52"/>
  <c r="Y37" i="52"/>
  <c r="AA18" i="52" l="1"/>
  <c r="Z40" i="52"/>
  <c r="Z36" i="52"/>
  <c r="AA30" i="52"/>
  <c r="AA35" i="52"/>
  <c r="AA34" i="52"/>
  <c r="AB51" i="52"/>
  <c r="AB46" i="52"/>
  <c r="AB38" i="52"/>
  <c r="AB35" i="52"/>
  <c r="AB34" i="52"/>
  <c r="AB33" i="52"/>
  <c r="AB31" i="52"/>
  <c r="AB30" i="52"/>
  <c r="AB29" i="52"/>
  <c r="AB28" i="52"/>
  <c r="AB13" i="52"/>
  <c r="AB24" i="54"/>
  <c r="AB24" i="53"/>
  <c r="Z37" i="52" l="1"/>
  <c r="AB32" i="52"/>
  <c r="AA32" i="52"/>
  <c r="AB21" i="52"/>
  <c r="AB17" i="52"/>
  <c r="AB40" i="52" l="1"/>
  <c r="AB18" i="52"/>
  <c r="AB36" i="52"/>
  <c r="AA36" i="52"/>
  <c r="AA40" i="52"/>
  <c r="AC18" i="52"/>
  <c r="AC14" i="52"/>
  <c r="AC12" i="52"/>
  <c r="AC10" i="52"/>
  <c r="AC9" i="52"/>
  <c r="AB37" i="52" l="1"/>
  <c r="AA37" i="52"/>
  <c r="AS9" i="52"/>
  <c r="AS12" i="52"/>
  <c r="AC13" i="52" l="1"/>
  <c r="AC17" i="52" l="1"/>
  <c r="AC51" i="52"/>
  <c r="AC46" i="52"/>
  <c r="AD35" i="52"/>
  <c r="AC35" i="52"/>
  <c r="AD34" i="52"/>
  <c r="AC34" i="52"/>
  <c r="AD33" i="52"/>
  <c r="AC33" i="52"/>
  <c r="AD31" i="52"/>
  <c r="AC31" i="52"/>
  <c r="AD30" i="52"/>
  <c r="AD29" i="52"/>
  <c r="AD24" i="54"/>
  <c r="AD24" i="53"/>
  <c r="AC19" i="52" l="1"/>
  <c r="AC21" i="52"/>
  <c r="AC28" i="52"/>
  <c r="AD28" i="52"/>
  <c r="AC29" i="52"/>
  <c r="AC30" i="52"/>
  <c r="BB12" i="52"/>
  <c r="AX12" i="52"/>
  <c r="AW12" i="52"/>
  <c r="BQ13" i="52" l="1"/>
  <c r="BP13" i="52"/>
  <c r="BO13" i="52"/>
  <c r="BM13" i="52"/>
  <c r="BL13" i="52"/>
  <c r="BK13" i="52"/>
  <c r="BI13" i="52"/>
  <c r="BH13" i="52"/>
  <c r="BG13" i="52"/>
  <c r="BE13" i="52"/>
  <c r="BD13" i="52"/>
  <c r="BC13" i="52"/>
  <c r="BA13" i="52"/>
  <c r="AZ13" i="52"/>
  <c r="AY13" i="52"/>
  <c r="AG35" i="52"/>
  <c r="AV13" i="52"/>
  <c r="AU13" i="52"/>
  <c r="AT13" i="52"/>
  <c r="AR13" i="52"/>
  <c r="AQ13" i="52"/>
  <c r="AO13" i="52"/>
  <c r="AN13" i="52"/>
  <c r="AM13" i="52"/>
  <c r="AK13" i="52"/>
  <c r="AJ13" i="52"/>
  <c r="AI13" i="52"/>
  <c r="AG13" i="52"/>
  <c r="AF13" i="52"/>
  <c r="AE13" i="52"/>
  <c r="AC32" i="52" l="1"/>
  <c r="AD32" i="52"/>
  <c r="AE51" i="52"/>
  <c r="AE46" i="52"/>
  <c r="AE38" i="52"/>
  <c r="AE35" i="52"/>
  <c r="AE34" i="52"/>
  <c r="AE33" i="52"/>
  <c r="AE32" i="52"/>
  <c r="AE31" i="52"/>
  <c r="AE30" i="52"/>
  <c r="AE29" i="52"/>
  <c r="AE28" i="52"/>
  <c r="AE21" i="52"/>
  <c r="AE17" i="52"/>
  <c r="AE24" i="54"/>
  <c r="AE24" i="53"/>
  <c r="AD36" i="52" l="1"/>
  <c r="AC36" i="52"/>
  <c r="AC40" i="52"/>
  <c r="AD40" i="52"/>
  <c r="AE18" i="52"/>
  <c r="AE40" i="52"/>
  <c r="AE36" i="52"/>
  <c r="AE37" i="52" l="1"/>
  <c r="AF51" i="52"/>
  <c r="AF46" i="52"/>
  <c r="AF38" i="52"/>
  <c r="AF35" i="52"/>
  <c r="AF34" i="52"/>
  <c r="AF33" i="52"/>
  <c r="AF32" i="52"/>
  <c r="AF31" i="52"/>
  <c r="AF30" i="52"/>
  <c r="AF29" i="52"/>
  <c r="AF28" i="52"/>
  <c r="AF21" i="52"/>
  <c r="AF17" i="52"/>
  <c r="AF24" i="54"/>
  <c r="AF24" i="53"/>
  <c r="AF18" i="52" l="1"/>
  <c r="AF36" i="52"/>
  <c r="AF40" i="52"/>
  <c r="AG51" i="52"/>
  <c r="AG46" i="52"/>
  <c r="AH38" i="52"/>
  <c r="AG38" i="52"/>
  <c r="AH35" i="52"/>
  <c r="AH34" i="52"/>
  <c r="AG34" i="52"/>
  <c r="AH33" i="52"/>
  <c r="AG33" i="52"/>
  <c r="AH32" i="52"/>
  <c r="AG32" i="52"/>
  <c r="AH31" i="52"/>
  <c r="AG31" i="52"/>
  <c r="AH30" i="52"/>
  <c r="AG30" i="52"/>
  <c r="AH29" i="52"/>
  <c r="AG29" i="52"/>
  <c r="AH28" i="52"/>
  <c r="AG28" i="52"/>
  <c r="AG21" i="52"/>
  <c r="AG17" i="52"/>
  <c r="AG18" i="52" l="1"/>
  <c r="AG40" i="52"/>
  <c r="AH40" i="52"/>
  <c r="AG36" i="52"/>
  <c r="AH36" i="52"/>
  <c r="AI51" i="52"/>
  <c r="AI46" i="52"/>
  <c r="AI38" i="52"/>
  <c r="AI35" i="52"/>
  <c r="AI34" i="52"/>
  <c r="AI33" i="52"/>
  <c r="AI32" i="52"/>
  <c r="AI31" i="52"/>
  <c r="AI30" i="52"/>
  <c r="AI29" i="52"/>
  <c r="AI28" i="52"/>
  <c r="AI21" i="52"/>
  <c r="AI17" i="52"/>
  <c r="AI24" i="53"/>
  <c r="AI24" i="54"/>
  <c r="AH37" i="52" l="1"/>
  <c r="AG37" i="52"/>
  <c r="AF37" i="52"/>
  <c r="AI36" i="52"/>
  <c r="AI40" i="52"/>
  <c r="AI18" i="52"/>
  <c r="AJ51" i="52"/>
  <c r="AJ46" i="52"/>
  <c r="AJ38" i="52"/>
  <c r="AJ33" i="52"/>
  <c r="AJ31" i="52"/>
  <c r="AJ30" i="52"/>
  <c r="AJ29" i="52"/>
  <c r="AJ21" i="52"/>
  <c r="AJ17" i="52"/>
  <c r="AJ24" i="54"/>
  <c r="AJ24" i="53"/>
  <c r="AI37" i="52" l="1"/>
  <c r="AJ18" i="52"/>
  <c r="AJ35" i="52"/>
  <c r="AJ34" i="52"/>
  <c r="AJ32" i="52"/>
  <c r="AJ28" i="52"/>
  <c r="AJ40" i="52" l="1"/>
  <c r="AJ36" i="52"/>
  <c r="AK51" i="52"/>
  <c r="AK46" i="52"/>
  <c r="AL38" i="52"/>
  <c r="AK38" i="52"/>
  <c r="AL35" i="52"/>
  <c r="AK35" i="52"/>
  <c r="AL34" i="52"/>
  <c r="AK34" i="52"/>
  <c r="AL33" i="52"/>
  <c r="AK33" i="52"/>
  <c r="AL32" i="52"/>
  <c r="AK32" i="52"/>
  <c r="AL31" i="52"/>
  <c r="AK31" i="52"/>
  <c r="AL30" i="52"/>
  <c r="AK30" i="52"/>
  <c r="AL29" i="52"/>
  <c r="AK29" i="52"/>
  <c r="AL28" i="52"/>
  <c r="AK28" i="52"/>
  <c r="AK21" i="52"/>
  <c r="AK17" i="52"/>
  <c r="AL24" i="54"/>
  <c r="AL24" i="53"/>
  <c r="AK18" i="52" l="1"/>
  <c r="AJ37" i="52"/>
  <c r="AK36" i="52"/>
  <c r="AL36" i="52"/>
  <c r="AK40" i="52"/>
  <c r="AL40" i="52"/>
  <c r="E3" i="52"/>
  <c r="E2" i="52"/>
  <c r="AL37" i="52" l="1"/>
  <c r="AK37" i="52"/>
  <c r="AM51" i="52"/>
  <c r="AM46" i="52"/>
  <c r="AM38" i="52"/>
  <c r="AM35" i="52"/>
  <c r="AM34" i="52"/>
  <c r="AM33" i="52"/>
  <c r="AM32" i="52"/>
  <c r="AM31" i="52"/>
  <c r="AM30" i="52"/>
  <c r="AM29" i="52"/>
  <c r="AM28" i="52"/>
  <c r="AM21" i="52"/>
  <c r="AM17" i="52"/>
  <c r="AM24" i="53"/>
  <c r="AM24" i="54"/>
  <c r="AM40" i="52" l="1"/>
  <c r="AM18" i="52"/>
  <c r="AM36" i="52"/>
  <c r="AM37" i="52" l="1"/>
  <c r="AN51" i="52"/>
  <c r="AN46" i="52"/>
  <c r="AN38" i="52"/>
  <c r="AN35" i="52"/>
  <c r="AN34" i="52"/>
  <c r="AN33" i="52"/>
  <c r="AN32" i="52"/>
  <c r="AN31" i="52"/>
  <c r="AN30" i="52"/>
  <c r="AN29" i="52"/>
  <c r="AN28" i="52"/>
  <c r="AN21" i="52"/>
  <c r="AN17" i="52"/>
  <c r="AN24" i="53"/>
  <c r="AN24" i="54"/>
  <c r="AN18" i="52" l="1"/>
  <c r="AN40" i="52"/>
  <c r="AN36" i="52"/>
  <c r="C11" i="52"/>
  <c r="AO21" i="52"/>
  <c r="AO17" i="52"/>
  <c r="AN37" i="52" l="1"/>
  <c r="AO18" i="52"/>
  <c r="AO51" i="52"/>
  <c r="AO46" i="52"/>
  <c r="AP38" i="52"/>
  <c r="AO38" i="52"/>
  <c r="AP35" i="52"/>
  <c r="AO35" i="52"/>
  <c r="AP34" i="52"/>
  <c r="AO34" i="52"/>
  <c r="AP33" i="52"/>
  <c r="AO33" i="52"/>
  <c r="AP32" i="52"/>
  <c r="AO32" i="52"/>
  <c r="AP31" i="52"/>
  <c r="AO31" i="52"/>
  <c r="AP30" i="52"/>
  <c r="AO30" i="52"/>
  <c r="AP29" i="52"/>
  <c r="AO29" i="52"/>
  <c r="AP28" i="52"/>
  <c r="AO28" i="52"/>
  <c r="AP24" i="53"/>
  <c r="AP24" i="54"/>
  <c r="AO40" i="52" l="1"/>
  <c r="AP36" i="52"/>
  <c r="AP40" i="52"/>
  <c r="AO36" i="52"/>
  <c r="AQ51" i="52"/>
  <c r="AQ46" i="52"/>
  <c r="AQ38" i="52"/>
  <c r="AQ35" i="52"/>
  <c r="AQ34" i="52"/>
  <c r="AQ33" i="52"/>
  <c r="AQ32" i="52"/>
  <c r="AQ31" i="52"/>
  <c r="AQ30" i="52"/>
  <c r="AQ29" i="52"/>
  <c r="AQ28" i="52"/>
  <c r="AQ21" i="52"/>
  <c r="AQ17" i="52"/>
  <c r="AQ24" i="53"/>
  <c r="AQ24" i="54"/>
  <c r="AQ18" i="52" l="1"/>
  <c r="AP37" i="52"/>
  <c r="AO37" i="52"/>
  <c r="AQ40" i="52"/>
  <c r="AQ36" i="52"/>
  <c r="AR51" i="52"/>
  <c r="AR46" i="52"/>
  <c r="AR38" i="52"/>
  <c r="AR35" i="52"/>
  <c r="AR34" i="52"/>
  <c r="AR33" i="52"/>
  <c r="AR32" i="52"/>
  <c r="AR31" i="52"/>
  <c r="AR30" i="52"/>
  <c r="AR29" i="52"/>
  <c r="AR28" i="52"/>
  <c r="AR21" i="52"/>
  <c r="AR17" i="52"/>
  <c r="AR24" i="53"/>
  <c r="AR24" i="54"/>
  <c r="AQ37" i="52" l="1"/>
  <c r="AR18" i="52"/>
  <c r="AR40" i="52"/>
  <c r="AR36" i="52"/>
  <c r="AS18" i="52"/>
  <c r="AS14" i="52"/>
  <c r="AS10" i="52"/>
  <c r="AR37" i="52" l="1"/>
  <c r="C10" i="52"/>
  <c r="AS13" i="52"/>
  <c r="C9" i="52"/>
  <c r="AS32" i="52" l="1"/>
  <c r="AS51" i="52"/>
  <c r="AS46" i="52"/>
  <c r="AS35" i="52"/>
  <c r="AS34" i="52"/>
  <c r="AS28" i="52"/>
  <c r="AS30" i="52"/>
  <c r="AT24" i="54"/>
  <c r="AT24" i="53"/>
  <c r="AS29" i="52" l="1"/>
  <c r="AS33" i="52"/>
  <c r="AS31" i="52"/>
  <c r="AS36" i="52" l="1"/>
  <c r="AS17" i="52"/>
  <c r="AS21" i="52"/>
  <c r="AS19" i="52" l="1"/>
  <c r="AS40" i="52"/>
  <c r="AU24" i="53"/>
  <c r="AU24" i="54"/>
  <c r="AS38" i="52" l="1"/>
  <c r="AV24" i="53"/>
  <c r="D24" i="54"/>
  <c r="C24" i="54"/>
  <c r="D24" i="53"/>
  <c r="C24" i="53"/>
  <c r="AS37" i="52" l="1"/>
  <c r="AT17" i="52"/>
  <c r="AT21" i="52"/>
  <c r="AT28" i="52"/>
  <c r="AT29" i="52"/>
  <c r="AT30" i="52"/>
  <c r="AT31" i="52"/>
  <c r="AT32" i="52"/>
  <c r="AT33" i="52"/>
  <c r="AT34" i="52"/>
  <c r="AT35" i="52"/>
  <c r="AT38" i="52"/>
  <c r="AT46" i="52"/>
  <c r="AT51" i="52"/>
  <c r="AU17" i="52"/>
  <c r="AU21" i="52"/>
  <c r="AU28" i="52"/>
  <c r="AU29" i="52"/>
  <c r="AU30" i="52"/>
  <c r="AU31" i="52"/>
  <c r="AU32" i="52"/>
  <c r="AU33" i="52"/>
  <c r="AU34" i="52"/>
  <c r="AU35" i="52"/>
  <c r="AU38" i="52"/>
  <c r="AU46" i="52"/>
  <c r="AU51" i="52"/>
  <c r="AV17" i="52"/>
  <c r="AV21" i="52"/>
  <c r="AV28" i="52"/>
  <c r="AV29" i="52"/>
  <c r="AV30" i="52"/>
  <c r="AV31" i="52"/>
  <c r="AV32" i="52"/>
  <c r="AV33" i="52"/>
  <c r="AV34" i="52"/>
  <c r="AV35" i="52"/>
  <c r="AV38" i="52"/>
  <c r="AV46" i="52"/>
  <c r="AV51" i="52"/>
  <c r="AV36" i="52" l="1"/>
  <c r="AV18" i="52"/>
  <c r="AU18" i="52"/>
  <c r="AT18" i="52"/>
  <c r="AV40" i="52"/>
  <c r="AU36" i="52"/>
  <c r="AU40" i="52"/>
  <c r="AT40" i="52"/>
  <c r="AT36" i="52"/>
  <c r="AV24" i="54"/>
  <c r="AV37" i="52" l="1"/>
  <c r="AU37" i="52"/>
  <c r="AT37" i="52"/>
  <c r="AY24" i="53" l="1"/>
  <c r="AY24" i="54"/>
  <c r="AZ24" i="53" l="1"/>
  <c r="AZ24" i="54"/>
  <c r="BB24" i="54" l="1"/>
  <c r="BB24" i="53"/>
  <c r="BC24" i="53" l="1"/>
  <c r="BC24" i="54"/>
  <c r="BD24" i="53" l="1"/>
  <c r="BD24" i="54"/>
  <c r="BF24" i="53" l="1"/>
  <c r="BF24" i="54"/>
  <c r="BN12" i="52" l="1"/>
  <c r="BQ17" i="52"/>
  <c r="BN18" i="52"/>
  <c r="BN14" i="52"/>
  <c r="BN10" i="52"/>
  <c r="BN9" i="52"/>
  <c r="BJ18" i="52"/>
  <c r="BJ14" i="52"/>
  <c r="BJ12" i="52"/>
  <c r="BJ10" i="52"/>
  <c r="BJ9" i="52"/>
  <c r="BF18" i="52"/>
  <c r="BF14" i="52"/>
  <c r="BF12" i="52"/>
  <c r="BF9" i="52"/>
  <c r="BF10" i="52"/>
  <c r="BB18" i="52"/>
  <c r="BB14" i="52"/>
  <c r="BB10" i="52"/>
  <c r="BB9" i="52"/>
  <c r="AX9" i="52"/>
  <c r="AW10" i="52"/>
  <c r="AW9" i="52"/>
  <c r="BN13" i="52" l="1"/>
  <c r="BB13" i="52"/>
  <c r="BF13" i="52"/>
  <c r="BJ13" i="52"/>
  <c r="BG24" i="53"/>
  <c r="BG24" i="54"/>
  <c r="BJ17" i="52" l="1"/>
  <c r="BF17" i="52"/>
  <c r="AX18" i="52"/>
  <c r="AX14" i="52"/>
  <c r="AX10" i="52"/>
  <c r="BF19" i="52" l="1"/>
  <c r="AX13" i="52"/>
  <c r="C16" i="52"/>
  <c r="C15" i="52"/>
  <c r="AW18" i="52"/>
  <c r="AW14" i="52"/>
  <c r="C12" i="52"/>
  <c r="AX17" i="52" l="1"/>
  <c r="C14" i="52"/>
  <c r="AW13" i="52"/>
  <c r="BH24" i="53"/>
  <c r="BH24" i="54"/>
  <c r="C13" i="52" l="1"/>
  <c r="AX19" i="52"/>
  <c r="AW51" i="52" l="1"/>
  <c r="AW46" i="52"/>
  <c r="AW21" i="52"/>
  <c r="AW17" i="52"/>
  <c r="BJ24" i="53"/>
  <c r="BJ24" i="54"/>
  <c r="AW19" i="52" l="1"/>
  <c r="BK24" i="53"/>
  <c r="BK24" i="54"/>
  <c r="BL24" i="54" l="1"/>
  <c r="BL24" i="53"/>
  <c r="BO24" i="54" l="1"/>
  <c r="BO24" i="53"/>
  <c r="F24" i="53" l="1"/>
  <c r="BP24" i="53"/>
  <c r="F24" i="54"/>
  <c r="BP24" i="54"/>
  <c r="BR24" i="54" l="1"/>
  <c r="BS24" i="54"/>
  <c r="BT24" i="54"/>
  <c r="BR24" i="53"/>
  <c r="B78" i="54" l="1"/>
  <c r="B78" i="53"/>
  <c r="C5" i="54"/>
  <c r="C5" i="53"/>
  <c r="BS24" i="53"/>
  <c r="BF35" i="52" l="1"/>
  <c r="BG35" i="52"/>
  <c r="BH35" i="52"/>
  <c r="BI35" i="52"/>
  <c r="BJ35" i="52"/>
  <c r="BK35" i="52"/>
  <c r="BL35" i="52"/>
  <c r="BM35" i="52"/>
  <c r="BN35" i="52"/>
  <c r="BO35" i="52"/>
  <c r="BP35" i="52"/>
  <c r="BQ35" i="52"/>
  <c r="AX35" i="52"/>
  <c r="AY35" i="52"/>
  <c r="AZ35" i="52"/>
  <c r="BA35" i="52"/>
  <c r="BB35" i="52"/>
  <c r="BC35" i="52"/>
  <c r="BD35" i="52"/>
  <c r="BE35" i="52"/>
  <c r="BT24" i="53" l="1"/>
  <c r="BV24" i="53" l="1"/>
  <c r="BV24" i="54" l="1"/>
  <c r="C17" i="52" l="1"/>
  <c r="BW24" i="53"/>
  <c r="BW24" i="54" l="1"/>
  <c r="BX24" i="53" l="1"/>
  <c r="BX24" i="54"/>
  <c r="BQ34" i="52" l="1"/>
  <c r="BP34" i="52"/>
  <c r="BO34" i="52"/>
  <c r="BN34" i="52"/>
  <c r="BN17" i="52"/>
  <c r="BO17" i="52"/>
  <c r="BP17" i="52"/>
  <c r="BQ18" i="52"/>
  <c r="BP18" i="52" l="1"/>
  <c r="BO18" i="52"/>
  <c r="BN19" i="52"/>
  <c r="AX51" i="52"/>
  <c r="AX46" i="52"/>
  <c r="AX34" i="52"/>
  <c r="AX33" i="52"/>
  <c r="AX32" i="52"/>
  <c r="AX31" i="52"/>
  <c r="AX30" i="52"/>
  <c r="AX29" i="52"/>
  <c r="AX28" i="52"/>
  <c r="AX21" i="52"/>
  <c r="BZ24" i="53"/>
  <c r="BZ24" i="54"/>
  <c r="AX38" i="52" l="1"/>
  <c r="AX40" i="52"/>
  <c r="AX36" i="52"/>
  <c r="AX37" i="52" l="1"/>
  <c r="CA24" i="54" l="1"/>
  <c r="CA24" i="53"/>
  <c r="CB24" i="53" l="1"/>
  <c r="CB24" i="54"/>
  <c r="AY38" i="52" l="1"/>
  <c r="AY46" i="52" l="1"/>
  <c r="AY51" i="52"/>
  <c r="AY34" i="52"/>
  <c r="AY33" i="52"/>
  <c r="AY32" i="52"/>
  <c r="AY31" i="52"/>
  <c r="AY30" i="52"/>
  <c r="AY29" i="52"/>
  <c r="AY28" i="52"/>
  <c r="AY21" i="52"/>
  <c r="AY17" i="52"/>
  <c r="CD24" i="53"/>
  <c r="CD24" i="54"/>
  <c r="AY40" i="52" l="1"/>
  <c r="AY36" i="52"/>
  <c r="AY37" i="52" l="1"/>
  <c r="AZ17" i="52" l="1"/>
  <c r="CE24" i="53"/>
  <c r="CE24" i="54"/>
  <c r="AZ18" i="52" l="1"/>
  <c r="BJ34" i="52" l="1"/>
  <c r="BK34" i="52"/>
  <c r="BL34" i="52"/>
  <c r="BM34" i="52"/>
  <c r="BM17" i="52"/>
  <c r="BL17" i="52"/>
  <c r="BK17" i="52"/>
  <c r="BJ19" i="52"/>
  <c r="BI17" i="52"/>
  <c r="BH17" i="52"/>
  <c r="BG17" i="52"/>
  <c r="BB17" i="52"/>
  <c r="BL18" i="52" l="1"/>
  <c r="BG18" i="52"/>
  <c r="BK18" i="52"/>
  <c r="BI18" i="52"/>
  <c r="BM18" i="52"/>
  <c r="BH18" i="52"/>
  <c r="BB19" i="52"/>
  <c r="BA17" i="52"/>
  <c r="BC17" i="52"/>
  <c r="BD17" i="52"/>
  <c r="BE17" i="52"/>
  <c r="BD18" i="52" l="1"/>
  <c r="BA18" i="52"/>
  <c r="BE18" i="52"/>
  <c r="BC18" i="52"/>
  <c r="CF24" i="54"/>
  <c r="E24" i="54" s="1"/>
  <c r="CF24" i="53"/>
  <c r="CH24" i="54" l="1"/>
  <c r="CI24" i="54"/>
  <c r="CJ24" i="54"/>
  <c r="CL24" i="54"/>
  <c r="CM24" i="54"/>
  <c r="CN24" i="54"/>
  <c r="CP24" i="54"/>
  <c r="CQ24" i="54"/>
  <c r="CR24" i="54"/>
  <c r="CT24" i="54"/>
  <c r="CU24" i="54"/>
  <c r="CV24" i="54"/>
  <c r="CX24" i="54"/>
  <c r="CY24" i="54"/>
  <c r="CZ24" i="54"/>
  <c r="DB24" i="54"/>
  <c r="DC24" i="54"/>
  <c r="DD24" i="54"/>
  <c r="CH24" i="53"/>
  <c r="CI24" i="53"/>
  <c r="E24" i="53" s="1"/>
  <c r="CJ24" i="53"/>
  <c r="CL24" i="53"/>
  <c r="CM24" i="53"/>
  <c r="CN24" i="53"/>
  <c r="CP24" i="53"/>
  <c r="CQ24" i="53"/>
  <c r="CR24" i="53"/>
  <c r="CT24" i="53"/>
  <c r="CU24" i="53"/>
  <c r="CV24" i="53"/>
  <c r="CX24" i="53"/>
  <c r="CY24" i="53"/>
  <c r="CZ24" i="53"/>
  <c r="DB24" i="53"/>
  <c r="DC24" i="53"/>
  <c r="DD24" i="53"/>
  <c r="AZ51" i="52" l="1"/>
  <c r="AZ46" i="52"/>
  <c r="AZ38" i="52"/>
  <c r="AZ34" i="52"/>
  <c r="AZ33" i="52"/>
  <c r="AZ32" i="52"/>
  <c r="AZ31" i="52"/>
  <c r="AZ30" i="52"/>
  <c r="AZ29" i="52"/>
  <c r="AZ28" i="52"/>
  <c r="AZ21" i="52"/>
  <c r="AZ36" i="52" l="1"/>
  <c r="AZ40" i="52"/>
  <c r="AZ37" i="52" l="1"/>
  <c r="BB46" i="52" l="1"/>
  <c r="B3" i="56" l="1"/>
  <c r="BA21" i="52" l="1"/>
  <c r="BA51" i="52" l="1"/>
  <c r="BA46" i="52"/>
  <c r="BA38" i="52"/>
  <c r="BA34" i="52"/>
  <c r="BA33" i="52"/>
  <c r="BA32" i="52"/>
  <c r="BA31" i="52"/>
  <c r="BA30" i="52"/>
  <c r="BA29" i="52"/>
  <c r="BA28" i="52"/>
  <c r="BA36" i="52" l="1"/>
  <c r="BA40" i="52"/>
  <c r="BA37" i="52" l="1"/>
  <c r="BB21" i="52" l="1"/>
  <c r="BB34" i="52" l="1"/>
  <c r="BB33" i="52"/>
  <c r="BB32" i="52"/>
  <c r="BB31" i="52"/>
  <c r="BB30" i="52"/>
  <c r="BB29" i="52"/>
  <c r="BB28" i="52"/>
  <c r="BB38" i="52"/>
  <c r="BB51" i="52"/>
  <c r="BB36" i="52" l="1"/>
  <c r="BB40" i="52"/>
  <c r="BB37" i="52" l="1"/>
  <c r="B16" i="56" l="1"/>
  <c r="B23" i="56" l="1"/>
  <c r="B19" i="56"/>
  <c r="B18" i="56"/>
  <c r="B17" i="56"/>
  <c r="B15" i="56"/>
  <c r="B14" i="56"/>
  <c r="B13" i="56"/>
  <c r="B11" i="56"/>
  <c r="B10" i="56"/>
  <c r="B8" i="56"/>
  <c r="B7" i="56"/>
  <c r="B6" i="56"/>
  <c r="B5" i="56"/>
  <c r="B2" i="56"/>
  <c r="F2" i="56"/>
  <c r="D2" i="52" l="1"/>
  <c r="G42" i="52" l="1"/>
  <c r="G24" i="52"/>
  <c r="G5" i="52"/>
  <c r="H42" i="52"/>
  <c r="H24" i="52"/>
  <c r="H5" i="52"/>
  <c r="J24" i="52"/>
  <c r="I42" i="52"/>
  <c r="I24" i="52"/>
  <c r="I5" i="52"/>
  <c r="K42" i="52"/>
  <c r="K24" i="52"/>
  <c r="K5" i="52"/>
  <c r="L42" i="52"/>
  <c r="L24" i="52"/>
  <c r="L5" i="52"/>
  <c r="M42" i="52"/>
  <c r="M5" i="52"/>
  <c r="N24" i="52"/>
  <c r="M24" i="52"/>
  <c r="O24" i="52"/>
  <c r="O42" i="52"/>
  <c r="O5" i="52"/>
  <c r="P24" i="52"/>
  <c r="P42" i="52"/>
  <c r="P5" i="52"/>
  <c r="Q42" i="52"/>
  <c r="R24" i="52"/>
  <c r="Q24" i="52"/>
  <c r="Q5" i="52"/>
  <c r="S5" i="52"/>
  <c r="S24" i="52"/>
  <c r="S42" i="52"/>
  <c r="T24" i="52"/>
  <c r="T42" i="52"/>
  <c r="T5" i="52"/>
  <c r="U42" i="52"/>
  <c r="U5" i="52"/>
  <c r="V24" i="52"/>
  <c r="U24" i="52"/>
  <c r="W5" i="52"/>
  <c r="W42" i="52"/>
  <c r="W24" i="52"/>
  <c r="X5" i="52"/>
  <c r="X42" i="52"/>
  <c r="X24" i="52"/>
  <c r="Y24" i="52"/>
  <c r="Y5" i="52"/>
  <c r="Z24" i="52"/>
  <c r="Y42" i="52"/>
  <c r="AA5" i="52"/>
  <c r="AA42" i="52"/>
  <c r="AA24" i="52"/>
  <c r="AB24" i="52"/>
  <c r="AB5" i="52"/>
  <c r="AB42" i="52"/>
  <c r="AC42" i="52"/>
  <c r="AC5" i="52"/>
  <c r="AC24" i="52"/>
  <c r="AD24" i="52"/>
  <c r="AE42" i="52"/>
  <c r="AE24" i="52"/>
  <c r="AE5" i="52"/>
  <c r="AF42" i="52"/>
  <c r="AF5" i="52"/>
  <c r="AF24" i="52"/>
  <c r="AH24" i="52"/>
  <c r="AG24" i="52"/>
  <c r="AG5" i="52"/>
  <c r="AG42" i="52"/>
  <c r="AI42" i="52"/>
  <c r="AI24" i="52"/>
  <c r="AI5" i="52"/>
  <c r="AJ24" i="52"/>
  <c r="AJ5" i="52"/>
  <c r="AJ42" i="52"/>
  <c r="AK42" i="52"/>
  <c r="AL24" i="52"/>
  <c r="AK24" i="52"/>
  <c r="AK5" i="52"/>
  <c r="B19" i="52"/>
  <c r="E42" i="52"/>
  <c r="C42" i="52"/>
  <c r="F42" i="52"/>
  <c r="F24" i="52"/>
  <c r="C5" i="52"/>
  <c r="E24" i="52"/>
  <c r="BE5" i="52"/>
  <c r="BA5" i="52"/>
  <c r="BC5" i="52"/>
  <c r="AY5" i="52"/>
  <c r="AZ5" i="52"/>
  <c r="BB5" i="52"/>
  <c r="AX5" i="52"/>
  <c r="AW5" i="52"/>
  <c r="BD5" i="52"/>
  <c r="BQ24" i="52"/>
  <c r="BM24" i="52"/>
  <c r="BI24" i="52"/>
  <c r="AR24" i="52"/>
  <c r="AN24" i="52"/>
  <c r="BQ5" i="52"/>
  <c r="BM5" i="52"/>
  <c r="BI5" i="52"/>
  <c r="BP24" i="52"/>
  <c r="BL24" i="52"/>
  <c r="BH24" i="52"/>
  <c r="AQ24" i="52"/>
  <c r="AM24" i="52"/>
  <c r="BP5" i="52"/>
  <c r="BL5" i="52"/>
  <c r="BH5" i="52"/>
  <c r="AQ5" i="52"/>
  <c r="AM5" i="52"/>
  <c r="BN24" i="52"/>
  <c r="BF24" i="52"/>
  <c r="BE24" i="52"/>
  <c r="BC24" i="52"/>
  <c r="BA24" i="52"/>
  <c r="AY24" i="52"/>
  <c r="AX24" i="52"/>
  <c r="AV24" i="52"/>
  <c r="AT24" i="52"/>
  <c r="AO24" i="52"/>
  <c r="BN5" i="52"/>
  <c r="BJ5" i="52"/>
  <c r="BF5" i="52"/>
  <c r="AV5" i="52"/>
  <c r="AT5" i="52"/>
  <c r="AO5" i="52"/>
  <c r="AR5" i="52"/>
  <c r="BO24" i="52"/>
  <c r="BK24" i="52"/>
  <c r="BG24" i="52"/>
  <c r="AP24" i="52"/>
  <c r="BO5" i="52"/>
  <c r="BK5" i="52"/>
  <c r="BG5" i="52"/>
  <c r="BJ24" i="52"/>
  <c r="BD24" i="52"/>
  <c r="BB24" i="52"/>
  <c r="AZ24" i="52"/>
  <c r="AW24" i="52"/>
  <c r="AU24" i="52"/>
  <c r="AS24" i="52"/>
  <c r="AU5" i="52"/>
  <c r="AS5" i="52"/>
  <c r="AN5" i="52"/>
  <c r="AM42" i="52"/>
  <c r="AN42" i="52"/>
  <c r="AO42" i="52"/>
  <c r="AQ42" i="52"/>
  <c r="AR42" i="52"/>
  <c r="AS42" i="52"/>
  <c r="AT42" i="52"/>
  <c r="AU42" i="52"/>
  <c r="AV42" i="52"/>
  <c r="AW42" i="52"/>
  <c r="C24" i="52"/>
  <c r="D24" i="52"/>
  <c r="B35" i="52"/>
  <c r="B16" i="52"/>
  <c r="B55" i="52"/>
  <c r="B56" i="52"/>
  <c r="B57" i="52"/>
  <c r="AX42" i="52"/>
  <c r="AY42" i="52"/>
  <c r="B18" i="52"/>
  <c r="B37" i="52"/>
  <c r="B17" i="52"/>
  <c r="B36" i="52"/>
  <c r="B62" i="52"/>
  <c r="B63" i="52"/>
  <c r="B60" i="52"/>
  <c r="B64" i="52"/>
  <c r="B61" i="52"/>
  <c r="B65" i="52"/>
  <c r="B59" i="52"/>
  <c r="AZ42" i="52"/>
  <c r="BQ42" i="52"/>
  <c r="BM42" i="52"/>
  <c r="BI42" i="52"/>
  <c r="BC42" i="52"/>
  <c r="BN42" i="52"/>
  <c r="BP42" i="52"/>
  <c r="BL42" i="52"/>
  <c r="BH42" i="52"/>
  <c r="BD42" i="52"/>
  <c r="BR42" i="52"/>
  <c r="BF42" i="52"/>
  <c r="BO42" i="52"/>
  <c r="BK42" i="52"/>
  <c r="BG42" i="52"/>
  <c r="BE42" i="52"/>
  <c r="BA42" i="52"/>
  <c r="BJ42" i="52"/>
  <c r="BB42" i="52"/>
  <c r="B46" i="52"/>
  <c r="B5" i="52"/>
  <c r="B9" i="52"/>
  <c r="B21" i="52"/>
  <c r="B29" i="52"/>
  <c r="B44" i="52"/>
  <c r="B52" i="52"/>
  <c r="B69" i="52"/>
  <c r="B10" i="52"/>
  <c r="B14" i="52"/>
  <c r="B26" i="52"/>
  <c r="B30" i="52"/>
  <c r="B34" i="52"/>
  <c r="B45" i="52"/>
  <c r="B49" i="52"/>
  <c r="B53" i="52"/>
  <c r="B70" i="52"/>
  <c r="B13" i="52"/>
  <c r="B33" i="52"/>
  <c r="B48" i="52"/>
  <c r="B7" i="52"/>
  <c r="B11" i="52"/>
  <c r="B15" i="52"/>
  <c r="B27" i="52"/>
  <c r="B31" i="52"/>
  <c r="B38" i="52"/>
  <c r="B50" i="52"/>
  <c r="B67" i="52"/>
  <c r="B71" i="52"/>
  <c r="B8" i="52"/>
  <c r="B12" i="52"/>
  <c r="B28" i="52"/>
  <c r="B32" i="52"/>
  <c r="B40" i="52"/>
  <c r="B47" i="52"/>
  <c r="B51" i="52"/>
  <c r="B68" i="52"/>
  <c r="B42" i="52"/>
  <c r="G64" i="52" l="1"/>
  <c r="G62" i="52"/>
  <c r="G61" i="52"/>
  <c r="G65" i="52"/>
  <c r="G56" i="52"/>
  <c r="G57" i="52"/>
  <c r="I56" i="52"/>
  <c r="H61" i="52"/>
  <c r="H62" i="52"/>
  <c r="H64" i="52"/>
  <c r="H65" i="52"/>
  <c r="H56" i="52"/>
  <c r="H57" i="52"/>
  <c r="I62" i="52"/>
  <c r="I65" i="52"/>
  <c r="I64" i="52"/>
  <c r="I61" i="52"/>
  <c r="J65" i="52"/>
  <c r="J64" i="52"/>
  <c r="I57" i="52"/>
  <c r="J57" i="52"/>
  <c r="L62" i="52"/>
  <c r="L61" i="52"/>
  <c r="L56" i="52"/>
  <c r="L57" i="52"/>
  <c r="AA62" i="52"/>
  <c r="AA57" i="52"/>
  <c r="AB57" i="52"/>
  <c r="K62" i="52"/>
  <c r="K61" i="52"/>
  <c r="K56" i="52"/>
  <c r="K65" i="52"/>
  <c r="K64" i="52"/>
  <c r="K57" i="52"/>
  <c r="AB64" i="52"/>
  <c r="AB65" i="52"/>
  <c r="AB56" i="52"/>
  <c r="L65" i="52"/>
  <c r="L64" i="52"/>
  <c r="M56" i="52"/>
  <c r="M61" i="52"/>
  <c r="M62" i="52"/>
  <c r="N65" i="52"/>
  <c r="M64" i="52"/>
  <c r="N64" i="52"/>
  <c r="M65" i="52"/>
  <c r="N57" i="52"/>
  <c r="M57" i="52"/>
  <c r="O62" i="52"/>
  <c r="O61" i="52"/>
  <c r="O65" i="52"/>
  <c r="O56" i="52"/>
  <c r="O64" i="52"/>
  <c r="O57" i="52"/>
  <c r="P61" i="52"/>
  <c r="P62" i="52"/>
  <c r="P56" i="52"/>
  <c r="P64" i="52"/>
  <c r="P65" i="52"/>
  <c r="P57" i="52"/>
  <c r="Q62" i="52"/>
  <c r="Q61" i="52"/>
  <c r="Q65" i="52"/>
  <c r="Q64" i="52"/>
  <c r="Q56" i="52"/>
  <c r="Q57" i="52"/>
  <c r="R65" i="52"/>
  <c r="R64" i="52"/>
  <c r="R57" i="52"/>
  <c r="S61" i="52"/>
  <c r="S65" i="52"/>
  <c r="S57" i="52"/>
  <c r="S62" i="52"/>
  <c r="S64" i="52"/>
  <c r="S56" i="52"/>
  <c r="T62" i="52"/>
  <c r="T61" i="52"/>
  <c r="T65" i="52"/>
  <c r="T64" i="52"/>
  <c r="T57" i="52"/>
  <c r="T56" i="52"/>
  <c r="U62" i="52"/>
  <c r="U61" i="52"/>
  <c r="V65" i="52"/>
  <c r="U64" i="52"/>
  <c r="U65" i="52"/>
  <c r="V64" i="52"/>
  <c r="U56" i="52"/>
  <c r="V57" i="52"/>
  <c r="U57" i="52"/>
  <c r="W56" i="52"/>
  <c r="W61" i="52"/>
  <c r="W62" i="52"/>
  <c r="W65" i="52"/>
  <c r="W64" i="52"/>
  <c r="W57" i="52"/>
  <c r="X62" i="52"/>
  <c r="X61" i="52"/>
  <c r="X65" i="52"/>
  <c r="X64" i="52"/>
  <c r="X56" i="52"/>
  <c r="X57" i="52"/>
  <c r="Y62" i="52"/>
  <c r="Y61" i="52"/>
  <c r="Y65" i="52"/>
  <c r="Y56" i="52"/>
  <c r="Y57" i="52"/>
  <c r="Z65" i="52"/>
  <c r="Z64" i="52"/>
  <c r="Y64" i="52"/>
  <c r="Z57" i="52"/>
  <c r="AB61" i="52"/>
  <c r="AA61" i="52"/>
  <c r="AA64" i="52"/>
  <c r="AA56" i="52"/>
  <c r="AA65" i="52"/>
  <c r="AB62" i="52"/>
  <c r="AC62" i="52"/>
  <c r="AC61" i="52"/>
  <c r="AC57" i="52"/>
  <c r="AD57" i="52"/>
  <c r="AC56" i="52"/>
  <c r="AE62" i="52"/>
  <c r="AE61" i="52"/>
  <c r="AE56" i="52"/>
  <c r="AE57" i="52"/>
  <c r="AE64" i="52"/>
  <c r="AE65" i="52"/>
  <c r="AF56" i="52"/>
  <c r="AF61" i="52"/>
  <c r="AF65" i="52"/>
  <c r="AF62" i="52"/>
  <c r="AF64" i="52"/>
  <c r="AF57" i="52"/>
  <c r="AG57" i="52"/>
  <c r="AG56" i="52"/>
  <c r="AG62" i="52"/>
  <c r="AG61" i="52"/>
  <c r="AG64" i="52"/>
  <c r="AH57" i="52"/>
  <c r="AG65" i="52"/>
  <c r="AH65" i="52"/>
  <c r="AH64" i="52"/>
  <c r="AI62" i="52"/>
  <c r="AI61" i="52"/>
  <c r="AI64" i="52"/>
  <c r="AI57" i="52"/>
  <c r="AI65" i="52"/>
  <c r="AI56" i="52"/>
  <c r="AJ62" i="52"/>
  <c r="AJ61" i="52"/>
  <c r="AJ56" i="52"/>
  <c r="AJ65" i="52"/>
  <c r="AJ64" i="52"/>
  <c r="AJ57" i="52"/>
  <c r="AK62" i="52"/>
  <c r="AK61" i="52"/>
  <c r="AK56" i="52"/>
  <c r="AL64" i="52"/>
  <c r="AK65" i="52"/>
  <c r="AK57" i="52"/>
  <c r="AL65" i="52"/>
  <c r="AK64" i="52"/>
  <c r="AL57" i="52"/>
  <c r="C71" i="52"/>
  <c r="E69" i="52"/>
  <c r="C68" i="52"/>
  <c r="F59" i="52"/>
  <c r="E53" i="52"/>
  <c r="C52" i="52"/>
  <c r="F48" i="52"/>
  <c r="E47" i="52"/>
  <c r="C46" i="52"/>
  <c r="E71" i="52"/>
  <c r="C69" i="52"/>
  <c r="E59" i="52"/>
  <c r="C53" i="52"/>
  <c r="E48" i="52"/>
  <c r="C47" i="52"/>
  <c r="F45" i="52"/>
  <c r="C70" i="52"/>
  <c r="F67" i="52"/>
  <c r="F51" i="52"/>
  <c r="F70" i="52"/>
  <c r="C51" i="52"/>
  <c r="F52" i="52"/>
  <c r="E45" i="52"/>
  <c r="F69" i="52"/>
  <c r="C67" i="52"/>
  <c r="E52" i="52"/>
  <c r="F47" i="52"/>
  <c r="C45" i="52"/>
  <c r="F71" i="52"/>
  <c r="C48" i="52"/>
  <c r="E70" i="52"/>
  <c r="F68" i="52"/>
  <c r="C59" i="52"/>
  <c r="E51" i="52"/>
  <c r="F46" i="52"/>
  <c r="E68" i="52"/>
  <c r="F53" i="52"/>
  <c r="E46" i="52"/>
  <c r="E67" i="52"/>
  <c r="AQ62" i="52"/>
  <c r="AQ64" i="52"/>
  <c r="AQ57" i="52"/>
  <c r="AQ65" i="52"/>
  <c r="AQ61" i="52"/>
  <c r="AQ56" i="52"/>
  <c r="AN65" i="52"/>
  <c r="AN62" i="52"/>
  <c r="AN61" i="52"/>
  <c r="AN64" i="52"/>
  <c r="AN57" i="52"/>
  <c r="AN56" i="52"/>
  <c r="AR65" i="52"/>
  <c r="AR61" i="52"/>
  <c r="AR56" i="52"/>
  <c r="AR62" i="52"/>
  <c r="AR64" i="52"/>
  <c r="AR57" i="52"/>
  <c r="AO64" i="52"/>
  <c r="AO57" i="52"/>
  <c r="AO56" i="52"/>
  <c r="AP65" i="52"/>
  <c r="AO61" i="52"/>
  <c r="AO65" i="52"/>
  <c r="AP64" i="52"/>
  <c r="AP57" i="52"/>
  <c r="AO62" i="52"/>
  <c r="AM61" i="52"/>
  <c r="AM64" i="52"/>
  <c r="AM62" i="52"/>
  <c r="AM56" i="52"/>
  <c r="AM65" i="52"/>
  <c r="AM57" i="52"/>
  <c r="E28" i="52"/>
  <c r="AS56" i="52"/>
  <c r="AS57" i="52"/>
  <c r="AS61" i="52"/>
  <c r="AS62" i="52"/>
  <c r="AS64" i="52"/>
  <c r="AS65" i="52"/>
  <c r="F36" i="52"/>
  <c r="F35" i="52"/>
  <c r="F34" i="52"/>
  <c r="F33" i="52"/>
  <c r="F32" i="52"/>
  <c r="F31" i="52"/>
  <c r="F30" i="52"/>
  <c r="F29" i="52"/>
  <c r="F28" i="52"/>
  <c r="C35" i="52"/>
  <c r="C32" i="52"/>
  <c r="C29" i="52"/>
  <c r="E36" i="52"/>
  <c r="E35" i="52"/>
  <c r="E34" i="52"/>
  <c r="E33" i="52"/>
  <c r="E32" i="52"/>
  <c r="E31" i="52"/>
  <c r="E30" i="52"/>
  <c r="E29" i="52"/>
  <c r="C36" i="52"/>
  <c r="C33" i="52"/>
  <c r="C30" i="52"/>
  <c r="D36" i="52"/>
  <c r="D35" i="52"/>
  <c r="D34" i="52"/>
  <c r="D33" i="52"/>
  <c r="D32" i="52"/>
  <c r="D31" i="52"/>
  <c r="D30" i="52"/>
  <c r="D29" i="52"/>
  <c r="D28" i="52"/>
  <c r="C34" i="52"/>
  <c r="C31" i="52"/>
  <c r="C28" i="52"/>
  <c r="AT61" i="52"/>
  <c r="AT62" i="52"/>
  <c r="AT64" i="52"/>
  <c r="AT65" i="52"/>
  <c r="AT57" i="52"/>
  <c r="AT56" i="52"/>
  <c r="AU61" i="52"/>
  <c r="AU64" i="52"/>
  <c r="AU65" i="52"/>
  <c r="AU62" i="52"/>
  <c r="AU57" i="52"/>
  <c r="AU56" i="52"/>
  <c r="AV61" i="52"/>
  <c r="AV64" i="52"/>
  <c r="AV62" i="52"/>
  <c r="AV65" i="52"/>
  <c r="AV56" i="52"/>
  <c r="AV57" i="52"/>
  <c r="AW62" i="52"/>
  <c r="AW61" i="52"/>
  <c r="AW56" i="52"/>
  <c r="AX57" i="52"/>
  <c r="AX56" i="52"/>
  <c r="BA57" i="52"/>
  <c r="BA56" i="52"/>
  <c r="AZ57" i="52"/>
  <c r="AZ56" i="52"/>
  <c r="AY57" i="52"/>
  <c r="AY56" i="52"/>
  <c r="AX62" i="52"/>
  <c r="AX61" i="52"/>
  <c r="AX64" i="52"/>
  <c r="AX65" i="52"/>
  <c r="AY64" i="52"/>
  <c r="AY62" i="52"/>
  <c r="AY61" i="52"/>
  <c r="AY65" i="52"/>
  <c r="BB62" i="52"/>
  <c r="BB65" i="52"/>
  <c r="BB61" i="52"/>
  <c r="BB64" i="52"/>
  <c r="BE62" i="52"/>
  <c r="BE61" i="52"/>
  <c r="BA62" i="52"/>
  <c r="BA65" i="52"/>
  <c r="BA64" i="52"/>
  <c r="BA61" i="52"/>
  <c r="BC61" i="52"/>
  <c r="BC62" i="52"/>
  <c r="BD61" i="52"/>
  <c r="BD62" i="52"/>
  <c r="AZ64" i="52"/>
  <c r="AZ61" i="52"/>
  <c r="AZ65" i="52"/>
  <c r="AZ62" i="52"/>
  <c r="BR46" i="52"/>
  <c r="BQ46" i="52"/>
  <c r="BP46" i="52"/>
  <c r="BO46" i="52"/>
  <c r="BN46" i="52"/>
  <c r="BM46" i="52"/>
  <c r="BL46" i="52"/>
  <c r="BK46" i="52"/>
  <c r="BJ46" i="52"/>
  <c r="BI46" i="52"/>
  <c r="BH46" i="52"/>
  <c r="BG46" i="52"/>
  <c r="BF46" i="52"/>
  <c r="BE46" i="52"/>
  <c r="BD46" i="52"/>
  <c r="BC46" i="52"/>
  <c r="BD57" i="52" l="1"/>
  <c r="BE56" i="52"/>
  <c r="BB56" i="52"/>
  <c r="BE57" i="52"/>
  <c r="BD56" i="52"/>
  <c r="BC57" i="52"/>
  <c r="BC56" i="52"/>
  <c r="BB57" i="52"/>
  <c r="BC38" i="52"/>
  <c r="BC34" i="52"/>
  <c r="BC33" i="52"/>
  <c r="BC21" i="52"/>
  <c r="BC30" i="52"/>
  <c r="BC29" i="52"/>
  <c r="BC28" i="52"/>
  <c r="BC31" i="52"/>
  <c r="BC65" i="52" l="1"/>
  <c r="BC64" i="52"/>
  <c r="BC32" i="52"/>
  <c r="BC36" i="52" l="1"/>
  <c r="BC40" i="52"/>
  <c r="BQ21" i="52"/>
  <c r="BP21" i="52"/>
  <c r="BO21" i="52"/>
  <c r="BN21" i="52"/>
  <c r="BM21" i="52"/>
  <c r="BL21" i="52"/>
  <c r="BK21" i="52"/>
  <c r="BJ21" i="52"/>
  <c r="BI21" i="52"/>
  <c r="BH21" i="52"/>
  <c r="BG21" i="52"/>
  <c r="BF21" i="52"/>
  <c r="BE21" i="52"/>
  <c r="BD21" i="52"/>
  <c r="BC37" i="52" l="1"/>
  <c r="BQ38" i="52"/>
  <c r="BP38" i="52"/>
  <c r="BO38" i="52"/>
  <c r="BN38" i="52"/>
  <c r="BQ33" i="52"/>
  <c r="BP33" i="52"/>
  <c r="BO33" i="52"/>
  <c r="BN33" i="52"/>
  <c r="BQ32" i="52"/>
  <c r="BP32" i="52"/>
  <c r="BO32" i="52"/>
  <c r="BN32" i="52"/>
  <c r="BQ31" i="52"/>
  <c r="BP31" i="52"/>
  <c r="BO31" i="52"/>
  <c r="BN31" i="52"/>
  <c r="BQ30" i="52"/>
  <c r="BP30" i="52"/>
  <c r="BO30" i="52"/>
  <c r="BN30" i="52"/>
  <c r="BQ29" i="52"/>
  <c r="BP29" i="52"/>
  <c r="BO29" i="52"/>
  <c r="BN29" i="52"/>
  <c r="BQ28" i="52"/>
  <c r="BP28" i="52"/>
  <c r="BO28" i="52"/>
  <c r="BN28" i="52"/>
  <c r="BM38" i="52"/>
  <c r="BL38" i="52"/>
  <c r="BK38" i="52"/>
  <c r="BJ38" i="52"/>
  <c r="BM33" i="52"/>
  <c r="BL33" i="52"/>
  <c r="BK33" i="52"/>
  <c r="BJ33" i="52"/>
  <c r="BM32" i="52"/>
  <c r="BL32" i="52"/>
  <c r="BK32" i="52"/>
  <c r="BJ32" i="52"/>
  <c r="BM31" i="52"/>
  <c r="BL31" i="52"/>
  <c r="BK31" i="52"/>
  <c r="BJ31" i="52"/>
  <c r="BM30" i="52"/>
  <c r="BL30" i="52"/>
  <c r="BK30" i="52"/>
  <c r="BJ30" i="52"/>
  <c r="BM29" i="52"/>
  <c r="BL29" i="52"/>
  <c r="BK29" i="52"/>
  <c r="BJ29" i="52"/>
  <c r="BM28" i="52"/>
  <c r="BL28" i="52"/>
  <c r="BK28" i="52"/>
  <c r="BJ28" i="52"/>
  <c r="BI38" i="52"/>
  <c r="BI34" i="52"/>
  <c r="BI33" i="52"/>
  <c r="BI32" i="52"/>
  <c r="BI31" i="52"/>
  <c r="BI30" i="52"/>
  <c r="BI29" i="52"/>
  <c r="BI28" i="52"/>
  <c r="BH38" i="52"/>
  <c r="BG38" i="52"/>
  <c r="BF38" i="52"/>
  <c r="BH34" i="52"/>
  <c r="BG34" i="52"/>
  <c r="BF34" i="52"/>
  <c r="BH33" i="52"/>
  <c r="BG33" i="52"/>
  <c r="BF33" i="52"/>
  <c r="BH32" i="52"/>
  <c r="BG32" i="52"/>
  <c r="BF32" i="52"/>
  <c r="BH31" i="52"/>
  <c r="BG31" i="52"/>
  <c r="BF31" i="52"/>
  <c r="BH30" i="52"/>
  <c r="BG30" i="52"/>
  <c r="BF30" i="52"/>
  <c r="BH29" i="52"/>
  <c r="BG29" i="52"/>
  <c r="BF29" i="52"/>
  <c r="BH28" i="52"/>
  <c r="BG28" i="52"/>
  <c r="BF28" i="52"/>
  <c r="BE38" i="52"/>
  <c r="BE34" i="52"/>
  <c r="BE33" i="52"/>
  <c r="BE32" i="52"/>
  <c r="BE31" i="52"/>
  <c r="BE30" i="52"/>
  <c r="BE29" i="52"/>
  <c r="BE28" i="52"/>
  <c r="BD38" i="52"/>
  <c r="BD34" i="52"/>
  <c r="BD33" i="52"/>
  <c r="BD32" i="52"/>
  <c r="BD31" i="52"/>
  <c r="BD30" i="52"/>
  <c r="BD29" i="52"/>
  <c r="BD28" i="52"/>
  <c r="BK36" i="52" l="1"/>
  <c r="BL36" i="52"/>
  <c r="BM36" i="52"/>
  <c r="BN36" i="52"/>
  <c r="BQ36" i="52"/>
  <c r="BJ36" i="52"/>
  <c r="BP36" i="52"/>
  <c r="BO36" i="52"/>
  <c r="BD36" i="52"/>
  <c r="BE36" i="52"/>
  <c r="BF36" i="52"/>
  <c r="BI36" i="52"/>
  <c r="BG36" i="52"/>
  <c r="BH36" i="52"/>
  <c r="BF65" i="52"/>
  <c r="BF64" i="52"/>
  <c r="BG65" i="52"/>
  <c r="BG64" i="52"/>
  <c r="BD65" i="52"/>
  <c r="BD64" i="52"/>
  <c r="BE64" i="52"/>
  <c r="BE65" i="52"/>
  <c r="BH65" i="52"/>
  <c r="BH64" i="52"/>
  <c r="BN40" i="52"/>
  <c r="BF40" i="52"/>
  <c r="BG40" i="52"/>
  <c r="BH40" i="52"/>
  <c r="BJ40" i="52"/>
  <c r="BE40" i="52"/>
  <c r="BI40" i="52"/>
  <c r="BK40" i="52"/>
  <c r="BO40" i="52"/>
  <c r="BM40" i="52"/>
  <c r="BQ40" i="52"/>
  <c r="BD40" i="52"/>
  <c r="BL40" i="52"/>
  <c r="BP40" i="52"/>
  <c r="BH37" i="52" l="1"/>
  <c r="BL37" i="52"/>
  <c r="BO37" i="52"/>
  <c r="BE37" i="52"/>
  <c r="BP37" i="52"/>
  <c r="BM37" i="52"/>
  <c r="BG37" i="52"/>
  <c r="BD37" i="52"/>
  <c r="BI37" i="52"/>
  <c r="BQ37" i="52"/>
  <c r="BK37" i="52"/>
  <c r="BF37" i="52"/>
  <c r="BN37" i="52"/>
  <c r="BJ37" i="52"/>
  <c r="BD51" i="52"/>
  <c r="BE51" i="52" l="1"/>
  <c r="C19" i="52" l="1"/>
  <c r="AC38" i="52"/>
  <c r="AD38" i="52"/>
  <c r="F38" i="52" l="1"/>
  <c r="E38" i="52"/>
  <c r="AD37" i="52"/>
  <c r="AD64" i="52"/>
  <c r="AD65" i="52"/>
  <c r="D38" i="52"/>
  <c r="AC65" i="52"/>
  <c r="AC64" i="52"/>
  <c r="C38" i="52"/>
  <c r="AC37" i="52"/>
</calcChain>
</file>

<file path=xl/sharedStrings.xml><?xml version="1.0" encoding="utf-8"?>
<sst xmlns="http://schemas.openxmlformats.org/spreadsheetml/2006/main" count="416" uniqueCount="279">
  <si>
    <t>Total capital ratio (N1.0)</t>
  </si>
  <si>
    <t>Revenues</t>
  </si>
  <si>
    <t>Operating expenses</t>
  </si>
  <si>
    <t>1Q 2017</t>
  </si>
  <si>
    <t>1H 2017</t>
  </si>
  <si>
    <t>FY 2017</t>
  </si>
  <si>
    <t>1Q 2018</t>
  </si>
  <si>
    <t>9M 2017</t>
  </si>
  <si>
    <t>in millions of Russian Rubles</t>
  </si>
  <si>
    <t>Cumulative sum</t>
  </si>
  <si>
    <t>Net Interest Income</t>
  </si>
  <si>
    <t>Net Fee and Commission Income</t>
  </si>
  <si>
    <t>4Q 2017</t>
  </si>
  <si>
    <t>3Q 2017</t>
  </si>
  <si>
    <t>2Q 2017</t>
  </si>
  <si>
    <t>Quarterly</t>
  </si>
  <si>
    <t>Net Trading Income</t>
  </si>
  <si>
    <t>Other Income</t>
  </si>
  <si>
    <t>Cost-to-Income Ratio</t>
  </si>
  <si>
    <t>Balance sheet</t>
  </si>
  <si>
    <t>Assets</t>
  </si>
  <si>
    <t>Total capital</t>
  </si>
  <si>
    <t>Сore Tier 1 ratio (N1.1)</t>
  </si>
  <si>
    <t>Tier 1 ratio (N1.2)</t>
  </si>
  <si>
    <t>Gross loans</t>
  </si>
  <si>
    <t>Retail loans</t>
  </si>
  <si>
    <t>Corporate loans</t>
  </si>
  <si>
    <t>Customer deposits</t>
  </si>
  <si>
    <t>Retail deposits</t>
  </si>
  <si>
    <t>Corporate deposits</t>
  </si>
  <si>
    <t>Overdue loans/ Gross loans</t>
  </si>
  <si>
    <t>Provisions/ Overdue loans</t>
  </si>
  <si>
    <t>YTD</t>
  </si>
  <si>
    <t>Net Profit</t>
  </si>
  <si>
    <t>1H 2018</t>
  </si>
  <si>
    <t>2Q 2018</t>
  </si>
  <si>
    <t>9M 2018</t>
  </si>
  <si>
    <t>3Q 2018</t>
  </si>
  <si>
    <t>FY 2018</t>
  </si>
  <si>
    <t>4Q 2018</t>
  </si>
  <si>
    <t>1Q 2019</t>
  </si>
  <si>
    <t>2Q 2019</t>
  </si>
  <si>
    <t>1H 2019</t>
  </si>
  <si>
    <t>9M 2019</t>
  </si>
  <si>
    <t>3Q 2019</t>
  </si>
  <si>
    <t>FY 2019</t>
  </si>
  <si>
    <t>4Q 2019</t>
  </si>
  <si>
    <t>1Q 2020</t>
  </si>
  <si>
    <t>1H 2020</t>
  </si>
  <si>
    <t>2Q 2020</t>
  </si>
  <si>
    <t>Provisions</t>
  </si>
  <si>
    <t>Tier 1 capital</t>
  </si>
  <si>
    <t>RAS Results</t>
  </si>
  <si>
    <t>9M 2020</t>
  </si>
  <si>
    <t>3Q 2020</t>
  </si>
  <si>
    <t>Russian</t>
  </si>
  <si>
    <t>English</t>
  </si>
  <si>
    <t>Выберите язык:</t>
  </si>
  <si>
    <t>Результаты по РСБУ</t>
  </si>
  <si>
    <t>в млн руб</t>
  </si>
  <si>
    <t>накопительным итогом</t>
  </si>
  <si>
    <t>Чистый процентный доход</t>
  </si>
  <si>
    <t>Чистый комиссионный доход</t>
  </si>
  <si>
    <t>Чистый торговый доход</t>
  </si>
  <si>
    <t>Прочие доходы</t>
  </si>
  <si>
    <t>Выручка</t>
  </si>
  <si>
    <t>Операционные расходы</t>
  </si>
  <si>
    <t>Резервы</t>
  </si>
  <si>
    <t>Чистая прибыль</t>
  </si>
  <si>
    <t>Соотношение расходов к доходам</t>
  </si>
  <si>
    <t>квартальные итоги</t>
  </si>
  <si>
    <t>Баланс</t>
  </si>
  <si>
    <t>Активы</t>
  </si>
  <si>
    <t>Корпоративные кредиты</t>
  </si>
  <si>
    <t>Розничные кредиты</t>
  </si>
  <si>
    <t>Просроченные кредиты / кредиты (гросс)</t>
  </si>
  <si>
    <t>Резервы/просроченные кредиты</t>
  </si>
  <si>
    <t>Средства клиентов</t>
  </si>
  <si>
    <t>Средства корпоративных клиентов</t>
  </si>
  <si>
    <t>Средства розничных клиентов</t>
  </si>
  <si>
    <t>Базовый капитал</t>
  </si>
  <si>
    <t>Собственные средства (капитал Банка)</t>
  </si>
  <si>
    <t>Достаточность базового капитала (Н1.1)</t>
  </si>
  <si>
    <t>Достаточность капитала банка (Н1.0)</t>
  </si>
  <si>
    <t>1П 2020</t>
  </si>
  <si>
    <t>1П 2019</t>
  </si>
  <si>
    <t>1П 2018</t>
  </si>
  <si>
    <t>1П 2017</t>
  </si>
  <si>
    <t>1К 2020</t>
  </si>
  <si>
    <t>1К 2019</t>
  </si>
  <si>
    <t>1К 2018</t>
  </si>
  <si>
    <t>1К 2017</t>
  </si>
  <si>
    <t>3К 2020</t>
  </si>
  <si>
    <t>2К 2020</t>
  </si>
  <si>
    <t>4К 2019</t>
  </si>
  <si>
    <t>3К 2019</t>
  </si>
  <si>
    <t>2К 2019</t>
  </si>
  <si>
    <t>4К 2018</t>
  </si>
  <si>
    <t>3К 2018</t>
  </si>
  <si>
    <t>2К 2018</t>
  </si>
  <si>
    <t>4К 2017</t>
  </si>
  <si>
    <t>3К 2017</t>
  </si>
  <si>
    <t>2К 2017</t>
  </si>
  <si>
    <t>Чистый комиссионный доход включает расходы по лояльности.</t>
  </si>
  <si>
    <t>Активы:</t>
  </si>
  <si>
    <t>Пассивы:</t>
  </si>
  <si>
    <t>Отчет о финансовых результатах:</t>
  </si>
  <si>
    <t>Контакты IR BSPB</t>
  </si>
  <si>
    <t>ir@bspb.ru</t>
  </si>
  <si>
    <t>+7 812 332 78 36</t>
  </si>
  <si>
    <t>Кредитный портфель (гросс)</t>
  </si>
  <si>
    <t>Прочие доходы включают доходы от участия в капитале юридических лиц.</t>
  </si>
  <si>
    <t>Операционные расходы не включают расходы по страхованию вкладов, расходы по лояльности.</t>
  </si>
  <si>
    <t>Методология:</t>
  </si>
  <si>
    <t>Methodology</t>
  </si>
  <si>
    <t>Assets:</t>
  </si>
  <si>
    <t>Liabilities:</t>
  </si>
  <si>
    <t>Profit &amp; Loss Statement</t>
  </si>
  <si>
    <t>BSPB's IR contacts:</t>
  </si>
  <si>
    <t>Operating Expenses exclude contributions to the deposit insurance system as well as loyalty program expenses.</t>
  </si>
  <si>
    <t>Net Fees and Commissions Income includes loyalty program expenses.</t>
  </si>
  <si>
    <t>Retail loans includes securitized mortgages.</t>
  </si>
  <si>
    <t>Customer deposits include letter of credit liabilities, promissory notes, deposit and savings certificates.</t>
  </si>
  <si>
    <t>Net Interest Income includes contributions to the deposit insurance system and premature loan repayment income.</t>
  </si>
  <si>
    <t>Other Income includes income for shareholding of other legal entities.</t>
  </si>
  <si>
    <t>Розничные кредиты включают секъюритизированный ипотечный портфель.</t>
  </si>
  <si>
    <t>Средства клиентов включают обязательства по аккредитивам, векселя, депозитные и сберегательные сертификаты.</t>
  </si>
  <si>
    <t>Чистый процентный доход включает расходы по страхованию вкладов и доходы за досрочное погашение вкладов.</t>
  </si>
  <si>
    <t>8M 2020</t>
  </si>
  <si>
    <t>7M 2020</t>
  </si>
  <si>
    <t>10M 2020</t>
  </si>
  <si>
    <t>M-o-M</t>
  </si>
  <si>
    <t>11M 2020</t>
  </si>
  <si>
    <t>FY 2020</t>
  </si>
  <si>
    <t>4Q 2020</t>
  </si>
  <si>
    <t>1M 2021</t>
  </si>
  <si>
    <t>1M 2020</t>
  </si>
  <si>
    <t>2M 2021</t>
  </si>
  <si>
    <t>2M 2020</t>
  </si>
  <si>
    <t>4M 2020</t>
  </si>
  <si>
    <t>5M 2020</t>
  </si>
  <si>
    <t>1Q 2021</t>
  </si>
  <si>
    <t>С начала года</t>
  </si>
  <si>
    <t>1К 2021</t>
  </si>
  <si>
    <t>4К 2020</t>
  </si>
  <si>
    <t>Показатели рассчитаны по внутренней методике ПАО «Банк «Санкт-Петербург», действующей на момент публикации</t>
  </si>
  <si>
    <t>in accordance with BSPB`s internal methodology based on RAS</t>
  </si>
  <si>
    <t>4M 2021</t>
  </si>
  <si>
    <t>QTD</t>
  </si>
  <si>
    <t>С начала квартала</t>
  </si>
  <si>
    <t>5M 2021</t>
  </si>
  <si>
    <t>1П 2021</t>
  </si>
  <si>
    <t>2К 2021</t>
  </si>
  <si>
    <t>1H 2021</t>
  </si>
  <si>
    <t>2Q 2021</t>
  </si>
  <si>
    <t>Equity</t>
  </si>
  <si>
    <t>ROAE</t>
  </si>
  <si>
    <t>ROAA</t>
  </si>
  <si>
    <t>Собственные средства</t>
  </si>
  <si>
    <t>Cumulative</t>
  </si>
  <si>
    <t>Накопительно с начала года</t>
  </si>
  <si>
    <t>За квартал/за месяц</t>
  </si>
  <si>
    <t>Quarterly/Monthly</t>
  </si>
  <si>
    <t>7M 2021</t>
  </si>
  <si>
    <t>Net Profit before Income Tax</t>
  </si>
  <si>
    <t>Income Tax</t>
  </si>
  <si>
    <t>Чистая прибыль до налога на прибыль</t>
  </si>
  <si>
    <t>Налог на прибыль</t>
  </si>
  <si>
    <t>8M 2021</t>
  </si>
  <si>
    <t>9M 2021</t>
  </si>
  <si>
    <t>3К 2021</t>
  </si>
  <si>
    <t>3Q 2021</t>
  </si>
  <si>
    <t>10M 2021</t>
  </si>
  <si>
    <t>11M 2021</t>
  </si>
  <si>
    <t>4К 2021</t>
  </si>
  <si>
    <t>FY 2021</t>
  </si>
  <si>
    <t>4Q 2021</t>
  </si>
  <si>
    <t>1M 2022</t>
  </si>
  <si>
    <t>2M 2022</t>
  </si>
  <si>
    <t>1К 2022</t>
  </si>
  <si>
    <t>1Q 2022</t>
  </si>
  <si>
    <t>Cost-of-Risk</t>
  </si>
  <si>
    <t>4M 2022</t>
  </si>
  <si>
    <t>incl. Provisions on loans</t>
  </si>
  <si>
    <t>вкл. Резервы по кредитам</t>
  </si>
  <si>
    <t>5M 2022</t>
  </si>
  <si>
    <t>1H 2022</t>
  </si>
  <si>
    <t>2Q 2022</t>
  </si>
  <si>
    <t>1П 2022</t>
  </si>
  <si>
    <t>2К 2022</t>
  </si>
  <si>
    <t>7M 2022</t>
  </si>
  <si>
    <t>8M 2022</t>
  </si>
  <si>
    <t>9М 2022</t>
  </si>
  <si>
    <t>3Q 2022</t>
  </si>
  <si>
    <t>Sep 2022</t>
  </si>
  <si>
    <t>3К 2022</t>
  </si>
  <si>
    <t>10M 2022</t>
  </si>
  <si>
    <t>11M 2022</t>
  </si>
  <si>
    <t>4К 2022</t>
  </si>
  <si>
    <t>FY 2022</t>
  </si>
  <si>
    <t>4Q 2022</t>
  </si>
  <si>
    <t>1M 2023</t>
  </si>
  <si>
    <t>2M 2023</t>
  </si>
  <si>
    <t>1К 2023</t>
  </si>
  <si>
    <t>1Q 2023</t>
  </si>
  <si>
    <t>4M 2023</t>
  </si>
  <si>
    <t>5M 2023</t>
  </si>
  <si>
    <t>1H 2023</t>
  </si>
  <si>
    <t>2Q 2023</t>
  </si>
  <si>
    <t>1П 2023</t>
  </si>
  <si>
    <t>2К 2023</t>
  </si>
  <si>
    <t>Достаточность основного капитала (Н1.2)</t>
  </si>
  <si>
    <t>7M 2023</t>
  </si>
  <si>
    <t>8M 2023</t>
  </si>
  <si>
    <t>9М 2023</t>
  </si>
  <si>
    <t>3К 2023</t>
  </si>
  <si>
    <t>3Q 2023</t>
  </si>
  <si>
    <t>Sep 2023</t>
  </si>
  <si>
    <t>10M 2023</t>
  </si>
  <si>
    <t>11M 2023</t>
  </si>
  <si>
    <t>FY 2023</t>
  </si>
  <si>
    <t>4Q 2023</t>
  </si>
  <si>
    <t>4К 2023</t>
  </si>
  <si>
    <t>1M 2024</t>
  </si>
  <si>
    <t>2M 2024</t>
  </si>
  <si>
    <t>1К 2024</t>
  </si>
  <si>
    <t>1Q 2024</t>
  </si>
  <si>
    <t>4M 2024</t>
  </si>
  <si>
    <t>5M 2024</t>
  </si>
  <si>
    <t>1H 2024</t>
  </si>
  <si>
    <t>2Q 2024</t>
  </si>
  <si>
    <t>1П 2024</t>
  </si>
  <si>
    <t>2К 2024</t>
  </si>
  <si>
    <t>7M 2024</t>
  </si>
  <si>
    <t>8M 2024</t>
  </si>
  <si>
    <t>9М 2024</t>
  </si>
  <si>
    <t>3Q 2024</t>
  </si>
  <si>
    <t>3К 2024</t>
  </si>
  <si>
    <t>10M 2024</t>
  </si>
  <si>
    <t>11M 2024</t>
  </si>
  <si>
    <t>Provisions are excluded of loan ForEx revaluation.</t>
  </si>
  <si>
    <t>Резервы не включают валютную переоценку</t>
  </si>
  <si>
    <t>Чистый торговый доход включает валютную переоценку резервов по кредитам.</t>
  </si>
  <si>
    <t>Net Trading Income Includes loan ForEx revaluation.</t>
  </si>
  <si>
    <t>Sep 2024</t>
  </si>
  <si>
    <t>FY 2024</t>
  </si>
  <si>
    <t>4Q 2024</t>
  </si>
  <si>
    <t>4К 2024</t>
  </si>
  <si>
    <t>1M 2025</t>
  </si>
  <si>
    <t>2M 2025</t>
  </si>
  <si>
    <t>1Q 2025</t>
  </si>
  <si>
    <t>1К 2025</t>
  </si>
  <si>
    <t>4M 2025</t>
  </si>
  <si>
    <t>5M 2025</t>
  </si>
  <si>
    <t>1H 2025</t>
  </si>
  <si>
    <t>2Q 2025</t>
  </si>
  <si>
    <t>1П 2025</t>
  </si>
  <si>
    <t>2К 2025</t>
  </si>
  <si>
    <t>7M 2025</t>
  </si>
  <si>
    <t>DISCLAIMER
THIS REFERENCE MATERIAL CONTAINS FORWARD-LOOKING STATEMENTS REGARDING FUTURE EVENTS AND FINANCIAL PERFORMANCE OF PJSC "BANK SAINT PETERSBURG" (HEREINAFTER - THE "BANK"). SUCH FORWARD-LOOKING STATEMENTS ARE BASED ON THE CURRENT EXPECTATIONS AND ASSUMPTIONS OF THE BANK'S MANAGEMENT, ARE MADE IN GOOD FAITH AND REFLECT INFORMATION AVAILABLE AT THE TIME. HOWEVER, ACTUAL RESULTS MAY DIFFER MATERIALLY FROM THOSE PROJECTED DUE TO VARIOUS FACTORS, INCLUDING BUT NOT LIMITED TO: CHANGES IN MARKET CONDITIONS, REGULATORY ACTIONS, MACROECONOMIC CONDITIONS, AND OTHER RISKS INHERENT TO BANKING ACTIVITIES. 
THE INFORMATION CONTAINED IN THIS REFERENCE MATERIAL HAS NOT BEEN INDEPENDENTLY VERIFIED OR AUDITED AND MAY INCLUDE PRELIMINARY DATA. THE INFORMATION PRESENTED IN THIS REFERENCE MATERIAL HAVE BEEN CALCULATED IN ACCORDANCE WITH THE CURRENT ACCOUNTING AND REPORTING METHODOLOGY, WHICH MAY BE SUBJECT TO FUTURE CHANGES. IN THE EVENT OF METHODOLOGY CHANGES, APPEARANCE OF NEW INFORMATION OR OTHER REASONS, THE RESPECTIVE INFORMATION MAY BE RECALCULATED OR UPDATED. 
THIS REFERENCE MATERIAL DOES NOT CONSTITUTE AN OFFER OR RECOMMENDATION TO PURCHASE OR SELL ANY SECURITIES OF THE BANK AND SHOULD NOT BE RELIED UPON FOR INVESTMENT DECISION MAKING. 
PRIOR TO ITS OFFICIAL PUBLICATION, THE INFORMATION CONTAINED IN THIS REFERENCE MATERIAL MAY CONSTITUTE INSIDER INFORMATION UNDER APPLICABLE LAW.</t>
  </si>
  <si>
    <t>ОГРАНИЧЕНИЕ ОТВЕТСТВЕННОСТИ
НАСТОЯЩИЙ МАТЕРИАЛ СОДЕРЖИТ ЗАЯВЛЕНИЯ ПРОГНОЗНОГО ХАРАКТЕРА ОТНОСИТЕЛЬНО БУДУЩИХ СОБЫТИЙ И ФИНАНСОВЫХ ПОКАЗАТЕЛЕЙ ПАО "БАНК "САНКТ-ПЕТЕРБУРГ" (ДАЛЕЕ – «БАНК»). ТАКИЕ ПРОГНОЗНЫЕ ЗАЯВЛЕНИЯ ОСНОВАНЫ НА ТЕКУЩИХ ОЖИДАНИЯХ И ПРЕДПОЛОЖЕНИЯХ РУКОВОДСТВА БАНКА, ЯВЛЯЮТСЯ ДОБРОСОВЕСТНЫМИ И ОТРАЖАЮТ ИМЕЮЩУЮСЯ НА ДАННЫЙ МОМЕНТ ИНФОРМАЦИЮ. ОДНАКО ФАКТИЧЕСКИЕ РЕЗУЛЬТАТЫ МОГУТ СУЩЕСТВЕННО ОТЛИЧАТЬСЯ ОТ ПРОГНОЗИРУЕМЫХ В СИЛУ РАЗЛИЧНЫХ ФАКТОРОВ, ВКЛЮЧАЯ, НО НЕ ОГРАНИЧИВАЯСЬ: ИЗМЕНЕНИЯ РЫНОЧНОЙ КОНЪЮНКТУРЫ, ДЕЙСТВИЯ РЕГУЛЯТОРОВ, МАКРОЭКОНОМИЧЕСКИЕ УСЛОВИЯ И ДРУГИЕ РИСКИ, ХАРАКТЕРНЫЕ ДЛЯ БАНКОВСКОЙ ДЕЯТЕЛЬНОСТИ. 
ИНФОРМАЦИЯ, СОДЕРЖАЩАЯСЯ В ДАННОМ МАТЕРИАЛЕ, НЕ ПОДВЕРГАЛАСЬ НЕЗАВИСИМОЙ ПРОВЕРКЕ ИЛИ АУДИТУ И МОЖЕТ ВКЛЮЧАТЬ ПРЕДВАРИТЕЛЬНЫЕ ДАННЫЕ. ПРЕДСТАВЛЕННЫЕ В МАТЕРИАЛЕ ПОКАЗАТЕЛИ РАССЧИТАНЫ В СООТВЕТСТВИИ С ДЕЙСТВУЮЩЕЙ МЕТОДОЛОГИЕЙ ИХ РАСЧЕТА И УЧЕТА, КОТОРАЯ МОЖЕТ БЫТЬ ИЗМЕНЕНА В БУДУЩЕМ. В СЛУЧАЕ ИЗМЕНЕНИЯ МЕТОДОЛОГИИ, ПОЯВЛЕНИЯ НОВОЙ ИНФОРМАЦИИ ИЛИ ПО ИНЫМ ОСНОВАНИЯМ СООТВЕТСТВУЮЩИЕ ПОКАЗАТЕЛИ МОГУТ БЫТЬ ПЕРЕСЧИТАНЫ ИЛИ ОБНОВЛЕНЫ. 
НАСТОЯЩИЙ МАТЕРИАЛ НЕ ЯВЛЯЕТСЯ ОФЕРТОЙ ИЛИ РЕКОМЕНДАЦИЕЙ В ОТНОШЕНИИ ПОКУПКИ ИЛИ ПРОДАЖИ КАКИХ-ЛИБО ЦЕННЫХ БУМАГ БАНКА И НЕ ДОЛЖЕН РАССМАТРИВАТЬСЯ КАК ОСНОВАНИЕ ДЛЯ ПРИНЯТИЯ ИНВЕСТИЦИОННЫХ РЕШЕНИЙ. 
ДО МОМЕНТА ОФИЦИАЛЬНОЙ ПУБЛИКАЦИИ СОДЕРЖАЩАЯСЯ В МАТЕРИАЛЕ ИНФОРМАЦИЯ МОЖЕТ ЯВЛЯТЬСЯ ИНСАЙДЕРСКОЙ В СООТВЕТСТВИИ С ДЕЙСТВУЮЩИМ ЗАКОНОДАТЕЛЬСТВОМ.</t>
  </si>
  <si>
    <t>Кредитный портфель включает требования по аккредитивам, переуступки и права требования, начисленные проценты.</t>
  </si>
  <si>
    <t>Loan portfolio includes letter of credit claims, assignments and accrued interest.</t>
  </si>
  <si>
    <t>8M 2025</t>
  </si>
  <si>
    <t>9М 2025</t>
  </si>
  <si>
    <t>3Q 2025</t>
  </si>
  <si>
    <t>Sep 2025</t>
  </si>
  <si>
    <t>3К 2025</t>
  </si>
  <si>
    <t>10M 2025</t>
  </si>
  <si>
    <t>11M 2025</t>
  </si>
  <si>
    <t>FY 2025</t>
  </si>
  <si>
    <t>4Q 2025</t>
  </si>
  <si>
    <t>4К 2025</t>
  </si>
  <si>
    <t>1M 2026</t>
  </si>
  <si>
    <t>2M 2026</t>
  </si>
  <si>
    <t>1Q 2026</t>
  </si>
  <si>
    <t>1К 2026</t>
  </si>
  <si>
    <t>4M 2026</t>
  </si>
  <si>
    <t>5M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</si>
</sst>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00_-;\-* #,##0.00_-;_-* &quot;-&quot;??_-;_-@_-"/>
    <numFmt numFmtId="165" formatCode="0.0%"/>
    <numFmt numFmtId="166" formatCode="###,###,###,###,##0;\(###,###,###,###,##0\)"/>
    <numFmt numFmtId="167" formatCode="[$-419]mmm\ yyyy;@"/>
    <numFmt numFmtId="168" formatCode="[$-809]mmm\ yyyy;@"/>
    <numFmt numFmtId="169" formatCode="[$-419]mmmm\ yyyy;@"/>
    <numFmt numFmtId="170" formatCode="###,###,###,###,##0.0%;\(###,###,###,###,##0.0%\)"/>
    <numFmt numFmtId="171" formatCode="#,##0.000"/>
    <numFmt numFmtId="172" formatCode="_-* #,##0_-;\-* #,##0_-;_-* &quot;-&quot;??_-;_-@_-"/>
    <numFmt numFmtId="173" formatCode="0.000%"/>
  </numFmts>
  <fonts count="70" x14ac:knownFonts="1">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10"/>
      <color indexed="8"/>
      <name val="Calibri"/>
      <family val="2"/>
      <charset val="204"/>
    </font>
    <font>
      <b/>
      <sz val="10"/>
      <color indexed="8"/>
      <name val="Calibri"/>
      <family val="2"/>
      <charset val="204"/>
    </font>
    <font>
      <b/>
      <sz val="10"/>
      <name val="Calibri"/>
      <family val="2"/>
      <charset val="204"/>
    </font>
    <font>
      <i/>
      <sz val="8"/>
      <color indexed="8"/>
      <name val="Calibri"/>
      <family val="2"/>
      <charset val="204"/>
    </font>
    <font>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0"/>
      <color indexed="8"/>
      <name val="Calibri"/>
      <family val="2"/>
      <charset val="204"/>
      <scheme val="minor"/>
    </font>
    <font>
      <sz val="10"/>
      <color indexed="8"/>
      <name val="Arial"/>
      <family val="2"/>
      <charset val="204"/>
    </font>
    <font>
      <sz val="12"/>
      <name val="Calibri"/>
      <family val="2"/>
      <charset val="204"/>
      <scheme val="minor"/>
    </font>
    <font>
      <sz val="12"/>
      <name val="Calibri"/>
      <family val="2"/>
      <charset val="204"/>
    </font>
    <font>
      <sz val="12"/>
      <color indexed="8"/>
      <name val="Calibri"/>
      <family val="2"/>
      <charset val="204"/>
    </font>
    <font>
      <sz val="10"/>
      <color rgb="FF000000"/>
      <name val="Calibri"/>
      <family val="2"/>
      <charset val="204"/>
    </font>
    <font>
      <sz val="9"/>
      <color indexed="8"/>
      <name val="Calibri"/>
      <family val="2"/>
      <charset val="204"/>
    </font>
    <font>
      <sz val="10"/>
      <color theme="1"/>
      <name val="Calibri"/>
      <family val="2"/>
      <charset val="204"/>
      <scheme val="minor"/>
    </font>
    <font>
      <i/>
      <sz val="8"/>
      <name val="Calibri"/>
      <family val="2"/>
      <charset val="204"/>
    </font>
    <font>
      <sz val="10"/>
      <name val="Arial"/>
      <family val="2"/>
      <charset val="204"/>
    </font>
    <font>
      <sz val="11"/>
      <color theme="0"/>
      <name val="Century Gothic"/>
      <family val="2"/>
      <charset val="204"/>
    </font>
    <font>
      <sz val="10"/>
      <color theme="0"/>
      <name val="Arial Cyr"/>
      <charset val="204"/>
    </font>
    <font>
      <sz val="10"/>
      <color theme="0"/>
      <name val="Calibri"/>
      <family val="2"/>
      <charset val="204"/>
    </font>
    <font>
      <b/>
      <sz val="10"/>
      <name val="Arial Cyr"/>
      <charset val="204"/>
    </font>
    <font>
      <b/>
      <i/>
      <sz val="10"/>
      <name val="Arial Cyr"/>
      <charset val="204"/>
    </font>
    <font>
      <sz val="10"/>
      <color rgb="FF0070C0"/>
      <name val="Calibri"/>
      <family val="2"/>
      <charset val="204"/>
    </font>
    <font>
      <b/>
      <sz val="12"/>
      <name val="Calibri"/>
      <family val="2"/>
      <charset val="204"/>
    </font>
    <font>
      <b/>
      <i/>
      <sz val="8"/>
      <color indexed="8"/>
      <name val="Calibri"/>
      <family val="2"/>
      <charset val="204"/>
    </font>
    <font>
      <sz val="10"/>
      <color rgb="FFFF0000"/>
      <name val="Arial Cyr"/>
      <charset val="204"/>
    </font>
    <font>
      <sz val="10"/>
      <color rgb="FFFF0000"/>
      <name val="Calibri"/>
      <family val="2"/>
      <charset val="204"/>
    </font>
    <font>
      <b/>
      <sz val="9"/>
      <color indexed="8"/>
      <name val="Calibri"/>
      <family val="2"/>
      <charset val="204"/>
    </font>
    <font>
      <i/>
      <sz val="10"/>
      <color indexed="8"/>
      <name val="Calibri"/>
      <family val="2"/>
      <charset val="204"/>
    </font>
    <font>
      <b/>
      <sz val="10"/>
      <color rgb="FF000000"/>
      <name val="Calibri"/>
      <family val="2"/>
      <charset val="204"/>
    </font>
    <font>
      <b/>
      <sz val="12"/>
      <name val="Calibri"/>
      <family val="2"/>
      <charset val="204"/>
      <scheme val="minor"/>
    </font>
    <font>
      <i/>
      <sz val="10"/>
      <name val="Arial Cyr"/>
      <charset val="204"/>
    </font>
    <font>
      <i/>
      <sz val="10"/>
      <color rgb="FF000000"/>
      <name val="Calibri"/>
      <family val="2"/>
      <charset val="204"/>
    </font>
    <font>
      <i/>
      <sz val="12"/>
      <name val="Calibri"/>
      <family val="2"/>
      <charset val="204"/>
      <scheme val="minor"/>
    </font>
    <font>
      <b/>
      <i/>
      <sz val="8"/>
      <name val="Calibri"/>
      <family val="2"/>
      <charset val="204"/>
    </font>
    <font>
      <b/>
      <sz val="10"/>
      <color rgb="FFFF0000"/>
      <name val="Calibri"/>
      <family val="2"/>
      <charset val="204"/>
    </font>
    <font>
      <sz val="9"/>
      <color rgb="FFFF0000"/>
      <name val="Calibri"/>
      <family val="2"/>
      <charset val="204"/>
    </font>
    <font>
      <b/>
      <sz val="9"/>
      <color rgb="FFFF0000"/>
      <name val="Calibri"/>
      <family val="2"/>
      <charset val="204"/>
    </font>
    <font>
      <sz val="9"/>
      <name val="Calibri"/>
      <family val="2"/>
      <charset val="204"/>
    </font>
    <font>
      <b/>
      <sz val="10"/>
      <color theme="1"/>
      <name val="Calibri"/>
      <family val="2"/>
      <charset val="204"/>
    </font>
    <font>
      <sz val="10"/>
      <name val="Calibri"/>
      <family val="2"/>
      <charset val="204"/>
    </font>
    <font>
      <i/>
      <sz val="10"/>
      <name val="Calibri"/>
      <family val="2"/>
      <charset val="204"/>
    </font>
    <font>
      <sz val="10"/>
      <color theme="0" tint="-0.499984740745262"/>
      <name val="Arial Cyr"/>
      <charset val="204"/>
    </font>
    <font>
      <sz val="10"/>
      <color theme="0" tint="-0.499984740745262"/>
      <name val="Calibri"/>
      <family val="2"/>
      <charset val="204"/>
    </font>
    <font>
      <b/>
      <sz val="12"/>
      <color theme="0"/>
      <name val="Calibri"/>
      <family val="2"/>
      <charset val="204"/>
    </font>
  </fonts>
  <fills count="3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gradientFill degree="270">
        <stop position="0">
          <color theme="0"/>
        </stop>
        <stop position="1">
          <color rgb="FF6DD9FF"/>
        </stop>
      </gradientFill>
    </fill>
    <fill>
      <patternFill patternType="solid">
        <fgColor theme="6" tint="0.79998168889431442"/>
        <bgColor indexed="64"/>
      </patternFill>
    </fill>
    <fill>
      <patternFill patternType="solid">
        <fgColor theme="0" tint="-4.9989318521683403E-2"/>
        <bgColor indexed="64"/>
      </patternFill>
    </fill>
    <fill>
      <patternFill patternType="solid">
        <fgColor rgb="FF0F0068"/>
        <bgColor indexed="64"/>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40"/>
      </left>
      <right style="thin">
        <color indexed="40"/>
      </right>
      <top/>
      <bottom/>
      <diagonal/>
    </border>
    <border>
      <left style="thin">
        <color indexed="40"/>
      </left>
      <right style="thin">
        <color indexed="40"/>
      </right>
      <top/>
      <bottom style="thin">
        <color indexed="40"/>
      </bottom>
      <diagonal/>
    </border>
    <border>
      <left style="thin">
        <color indexed="40"/>
      </left>
      <right/>
      <top/>
      <bottom/>
      <diagonal/>
    </border>
    <border>
      <left style="thin">
        <color indexed="40"/>
      </left>
      <right/>
      <top/>
      <bottom style="thin">
        <color indexed="40"/>
      </bottom>
      <diagonal/>
    </border>
    <border>
      <left style="thin">
        <color indexed="40"/>
      </left>
      <right style="thin">
        <color indexed="40"/>
      </right>
      <top style="thin">
        <color indexed="4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CCFF"/>
      </left>
      <right style="thin">
        <color rgb="FF00CCFF"/>
      </right>
      <top/>
      <bottom/>
      <diagonal/>
    </border>
    <border>
      <left style="thin">
        <color indexed="40"/>
      </left>
      <right/>
      <top style="thin">
        <color indexed="40"/>
      </top>
      <bottom/>
      <diagonal/>
    </border>
    <border>
      <left/>
      <right style="thin">
        <color indexed="40"/>
      </right>
      <top/>
      <bottom/>
      <diagonal/>
    </border>
    <border>
      <left/>
      <right style="thin">
        <color indexed="40"/>
      </right>
      <top/>
      <bottom style="thin">
        <color indexed="40"/>
      </bottom>
      <diagonal/>
    </border>
    <border>
      <left style="thin">
        <color rgb="FF00CCFF"/>
      </left>
      <right style="thin">
        <color rgb="FF00CCFF"/>
      </right>
      <top/>
      <bottom style="thin">
        <color indexed="40"/>
      </bottom>
      <diagonal/>
    </border>
    <border>
      <left/>
      <right style="thin">
        <color rgb="FF00CCFF"/>
      </right>
      <top/>
      <bottom/>
      <diagonal/>
    </border>
    <border>
      <left style="thin">
        <color rgb="FF00CCFF"/>
      </left>
      <right style="thin">
        <color indexed="40"/>
      </right>
      <top/>
      <bottom/>
      <diagonal/>
    </border>
    <border>
      <left style="thin">
        <color rgb="FF00CCFF"/>
      </left>
      <right style="thin">
        <color indexed="40"/>
      </right>
      <top/>
      <bottom style="thin">
        <color indexed="40"/>
      </bottom>
      <diagonal/>
    </border>
    <border>
      <left style="thin">
        <color rgb="FF00CCFF"/>
      </left>
      <right/>
      <top/>
      <bottom/>
      <diagonal/>
    </border>
    <border>
      <left style="thin">
        <color rgb="FF00CCFF"/>
      </left>
      <right/>
      <top/>
      <bottom style="thin">
        <color indexed="40"/>
      </bottom>
      <diagonal/>
    </border>
    <border>
      <left style="thin">
        <color indexed="40"/>
      </left>
      <right style="thin">
        <color rgb="FF00CCFF"/>
      </right>
      <top/>
      <bottom/>
      <diagonal/>
    </border>
    <border>
      <left style="thin">
        <color indexed="40"/>
      </left>
      <right style="thin">
        <color rgb="FF00CCFF"/>
      </right>
      <top/>
      <bottom style="thin">
        <color indexed="40"/>
      </bottom>
      <diagonal/>
    </border>
    <border>
      <left style="thin">
        <color indexed="64"/>
      </left>
      <right style="thin">
        <color indexed="64"/>
      </right>
      <top style="thin">
        <color indexed="64"/>
      </top>
      <bottom style="thin">
        <color indexed="64"/>
      </bottom>
      <diagonal/>
    </border>
    <border>
      <left style="double">
        <color rgb="FF0087E2"/>
      </left>
      <right style="double">
        <color rgb="FF0087E2"/>
      </right>
      <top style="double">
        <color rgb="FF0087E2"/>
      </top>
      <bottom style="double">
        <color rgb="FF0087E2"/>
      </bottom>
      <diagonal/>
    </border>
  </borders>
  <cellStyleXfs count="139">
    <xf numFmtId="0" fontId="0" fillId="0" borderId="0"/>
    <xf numFmtId="0" fontId="11" fillId="0" borderId="0"/>
    <xf numFmtId="0" fontId="16" fillId="0" borderId="0" applyNumberFormat="0" applyFill="0" applyBorder="0" applyAlignment="0" applyProtection="0"/>
    <xf numFmtId="0" fontId="17" fillId="0" borderId="1" applyNumberFormat="0" applyFill="0" applyAlignment="0" applyProtection="0"/>
    <xf numFmtId="0" fontId="18" fillId="0" borderId="2" applyNumberFormat="0" applyFill="0" applyAlignment="0" applyProtection="0"/>
    <xf numFmtId="0" fontId="19" fillId="0" borderId="3" applyNumberFormat="0" applyFill="0" applyAlignment="0" applyProtection="0"/>
    <xf numFmtId="0" fontId="19" fillId="0" borderId="0" applyNumberFormat="0" applyFill="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0" applyNumberFormat="0" applyBorder="0" applyAlignment="0" applyProtection="0"/>
    <xf numFmtId="0" fontId="23" fillId="7" borderId="4" applyNumberFormat="0" applyAlignment="0" applyProtection="0"/>
    <xf numFmtId="0" fontId="24" fillId="8" borderId="5" applyNumberFormat="0" applyAlignment="0" applyProtection="0"/>
    <xf numFmtId="0" fontId="25" fillId="8" borderId="4" applyNumberFormat="0" applyAlignment="0" applyProtection="0"/>
    <xf numFmtId="0" fontId="26" fillId="0" borderId="6" applyNumberFormat="0" applyFill="0" applyAlignment="0" applyProtection="0"/>
    <xf numFmtId="0" fontId="27" fillId="9" borderId="7"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31" fillId="30" borderId="0" applyNumberFormat="0" applyBorder="0" applyAlignment="0" applyProtection="0"/>
    <xf numFmtId="0" fontId="31" fillId="31"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31" fillId="34" borderId="0" applyNumberFormat="0" applyBorder="0" applyAlignment="0" applyProtection="0"/>
    <xf numFmtId="0" fontId="10" fillId="0" borderId="0"/>
    <xf numFmtId="0" fontId="10" fillId="10" borderId="8" applyNumberFormat="0" applyFont="0" applyAlignment="0" applyProtection="0"/>
    <xf numFmtId="0" fontId="9" fillId="0" borderId="0"/>
    <xf numFmtId="0" fontId="9" fillId="10" borderId="8" applyNumberFormat="0" applyFont="0" applyAlignment="0" applyProtection="0"/>
    <xf numFmtId="0" fontId="9" fillId="12" borderId="0" applyNumberFormat="0" applyBorder="0" applyAlignment="0" applyProtection="0"/>
    <xf numFmtId="0" fontId="9" fillId="13"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8" fillId="0" borderId="0"/>
    <xf numFmtId="0" fontId="8" fillId="10" borderId="8" applyNumberFormat="0" applyFont="0" applyAlignment="0" applyProtection="0"/>
    <xf numFmtId="0" fontId="8" fillId="12" borderId="0" applyNumberFormat="0" applyBorder="0" applyAlignment="0" applyProtection="0"/>
    <xf numFmtId="0" fontId="8" fillId="13"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7" fillId="0" borderId="0"/>
    <xf numFmtId="0" fontId="7" fillId="10" borderId="8" applyNumberFormat="0" applyFont="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6" fillId="0" borderId="0"/>
    <xf numFmtId="0" fontId="6" fillId="10" borderId="8" applyNumberFormat="0" applyFont="0" applyAlignment="0" applyProtection="0"/>
    <xf numFmtId="0" fontId="6" fillId="12"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5" fillId="0" borderId="0"/>
    <xf numFmtId="0" fontId="5" fillId="10" borderId="8"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4" fillId="0" borderId="0"/>
    <xf numFmtId="0" fontId="4" fillId="10" borderId="8" applyNumberFormat="0" applyFont="0" applyAlignment="0" applyProtection="0"/>
    <xf numFmtId="0" fontId="4" fillId="12" borderId="0" applyNumberFormat="0" applyBorder="0" applyAlignment="0" applyProtection="0"/>
    <xf numFmtId="0" fontId="4" fillId="13"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3" fillId="0" borderId="0"/>
    <xf numFmtId="0" fontId="33" fillId="0" borderId="0"/>
    <xf numFmtId="0" fontId="35" fillId="35" borderId="10" applyBorder="0">
      <alignment horizontal="center" vertical="center"/>
    </xf>
    <xf numFmtId="0" fontId="2" fillId="0" borderId="0"/>
    <xf numFmtId="9" fontId="2" fillId="0" borderId="0" applyFont="0" applyFill="0" applyBorder="0" applyAlignment="0" applyProtection="0"/>
    <xf numFmtId="0" fontId="1" fillId="0" borderId="0"/>
    <xf numFmtId="0" fontId="11" fillId="0" borderId="0"/>
    <xf numFmtId="164" fontId="1" fillId="0" borderId="0" applyFont="0" applyFill="0" applyBorder="0" applyAlignment="0" applyProtection="0"/>
    <xf numFmtId="0" fontId="41" fillId="0" borderId="0"/>
    <xf numFmtId="9" fontId="11" fillId="0" borderId="0" applyFont="0" applyFill="0" applyBorder="0" applyAlignment="0" applyProtection="0"/>
    <xf numFmtId="164" fontId="11" fillId="0" borderId="0" applyFont="0" applyFill="0" applyBorder="0" applyAlignment="0" applyProtection="0"/>
  </cellStyleXfs>
  <cellXfs count="343">
    <xf numFmtId="0" fontId="0" fillId="0" borderId="0" xfId="0"/>
    <xf numFmtId="0" fontId="0" fillId="3" borderId="0" xfId="0" applyFill="1"/>
    <xf numFmtId="0" fontId="12" fillId="3" borderId="0" xfId="0" applyFont="1" applyFill="1" applyBorder="1" applyAlignment="1">
      <alignment horizontal="right"/>
    </xf>
    <xf numFmtId="0" fontId="34" fillId="3" borderId="0" xfId="0" applyFont="1" applyFill="1"/>
    <xf numFmtId="0" fontId="15" fillId="2" borderId="0" xfId="0" applyFont="1" applyFill="1" applyAlignment="1">
      <alignment horizontal="right" vertical="center"/>
    </xf>
    <xf numFmtId="0" fontId="12" fillId="2" borderId="0" xfId="0" applyFont="1" applyFill="1" applyAlignment="1">
      <alignment horizontal="left" vertical="center"/>
    </xf>
    <xf numFmtId="166" fontId="12" fillId="2" borderId="0" xfId="0" applyNumberFormat="1" applyFont="1" applyFill="1" applyAlignment="1">
      <alignment horizontal="left" vertical="center"/>
    </xf>
    <xf numFmtId="0" fontId="13" fillId="2" borderId="0" xfId="0" applyFont="1" applyFill="1" applyAlignment="1">
      <alignment horizontal="left" vertical="center"/>
    </xf>
    <xf numFmtId="165" fontId="12" fillId="2" borderId="0" xfId="0" applyNumberFormat="1" applyFont="1" applyFill="1"/>
    <xf numFmtId="165" fontId="12" fillId="3" borderId="0" xfId="0" applyNumberFormat="1" applyFont="1" applyFill="1"/>
    <xf numFmtId="0" fontId="15" fillId="2" borderId="0" xfId="0" applyFont="1" applyFill="1" applyBorder="1" applyAlignment="1">
      <alignment horizontal="right" vertical="center"/>
    </xf>
    <xf numFmtId="10" fontId="15" fillId="2" borderId="0" xfId="0" applyNumberFormat="1" applyFont="1" applyFill="1" applyBorder="1" applyAlignment="1">
      <alignment horizontal="center"/>
    </xf>
    <xf numFmtId="0" fontId="39" fillId="2" borderId="0" xfId="0" applyFont="1" applyFill="1" applyAlignment="1">
      <alignment horizontal="right"/>
    </xf>
    <xf numFmtId="0" fontId="12" fillId="2" borderId="0" xfId="0" applyFont="1" applyFill="1" applyBorder="1" applyAlignment="1">
      <alignment horizontal="right"/>
    </xf>
    <xf numFmtId="0" fontId="32" fillId="2" borderId="0" xfId="0" applyFont="1" applyFill="1" applyBorder="1" applyAlignment="1">
      <alignment horizontal="right"/>
    </xf>
    <xf numFmtId="3" fontId="13" fillId="2" borderId="0" xfId="0" applyNumberFormat="1" applyFont="1" applyFill="1" applyBorder="1" applyAlignment="1"/>
    <xf numFmtId="3" fontId="13" fillId="2" borderId="0" xfId="0" applyNumberFormat="1" applyFont="1" applyFill="1" applyAlignment="1"/>
    <xf numFmtId="3" fontId="38" fillId="3" borderId="0" xfId="0" applyNumberFormat="1" applyFont="1" applyFill="1" applyBorder="1" applyAlignment="1"/>
    <xf numFmtId="0" fontId="39" fillId="2" borderId="0" xfId="0" applyFont="1" applyFill="1" applyBorder="1" applyAlignment="1">
      <alignment horizontal="right"/>
    </xf>
    <xf numFmtId="0" fontId="13" fillId="2" borderId="0" xfId="0" applyFont="1" applyFill="1" applyAlignment="1">
      <alignment horizontal="left"/>
    </xf>
    <xf numFmtId="0" fontId="13" fillId="2" borderId="0" xfId="0" applyFont="1" applyFill="1" applyBorder="1"/>
    <xf numFmtId="0" fontId="15" fillId="2" borderId="14" xfId="0" applyFont="1" applyFill="1" applyBorder="1" applyAlignment="1">
      <alignment horizontal="right" vertical="center"/>
    </xf>
    <xf numFmtId="165" fontId="15" fillId="2" borderId="10" xfId="0" applyNumberFormat="1" applyFont="1" applyFill="1" applyBorder="1" applyAlignment="1">
      <alignment horizontal="center"/>
    </xf>
    <xf numFmtId="165" fontId="38" fillId="2" borderId="0" xfId="0" applyNumberFormat="1" applyFont="1" applyFill="1" applyBorder="1" applyAlignment="1"/>
    <xf numFmtId="9" fontId="38" fillId="2" borderId="0" xfId="0" applyNumberFormat="1" applyFont="1" applyFill="1" applyBorder="1" applyAlignment="1"/>
    <xf numFmtId="0" fontId="12" fillId="3" borderId="0" xfId="0" applyFont="1" applyFill="1" applyAlignment="1">
      <alignment horizontal="left" vertical="center"/>
    </xf>
    <xf numFmtId="165" fontId="15" fillId="2" borderId="0" xfId="0" applyNumberFormat="1" applyFont="1" applyFill="1" applyBorder="1" applyAlignment="1">
      <alignment horizontal="center"/>
    </xf>
    <xf numFmtId="0" fontId="15" fillId="3" borderId="0" xfId="0" applyFont="1" applyFill="1" applyBorder="1" applyAlignment="1">
      <alignment horizontal="right" vertical="center"/>
    </xf>
    <xf numFmtId="0" fontId="0" fillId="0" borderId="0" xfId="0" applyFill="1"/>
    <xf numFmtId="0" fontId="12" fillId="0" borderId="0" xfId="0" applyFont="1" applyFill="1" applyAlignment="1">
      <alignment horizontal="left" vertical="center"/>
    </xf>
    <xf numFmtId="165" fontId="15" fillId="0" borderId="10" xfId="0" applyNumberFormat="1" applyFont="1" applyFill="1" applyBorder="1" applyAlignment="1">
      <alignment horizontal="center"/>
    </xf>
    <xf numFmtId="165" fontId="15" fillId="0" borderId="0" xfId="0" applyNumberFormat="1" applyFont="1" applyFill="1" applyBorder="1" applyAlignment="1">
      <alignment horizontal="center"/>
    </xf>
    <xf numFmtId="166" fontId="37" fillId="0" borderId="0" xfId="0" applyNumberFormat="1" applyFont="1" applyFill="1" applyBorder="1"/>
    <xf numFmtId="0" fontId="13" fillId="0" borderId="0" xfId="0" applyFont="1" applyFill="1" applyAlignment="1">
      <alignment horizontal="left" vertical="center"/>
    </xf>
    <xf numFmtId="3" fontId="14" fillId="0" borderId="0" xfId="0" applyNumberFormat="1" applyFont="1" applyFill="1"/>
    <xf numFmtId="165" fontId="12" fillId="0" borderId="0" xfId="0" applyNumberFormat="1" applyFont="1" applyFill="1"/>
    <xf numFmtId="0" fontId="34" fillId="0" borderId="0" xfId="0" applyFont="1" applyFill="1"/>
    <xf numFmtId="0" fontId="15" fillId="0" borderId="0" xfId="0" applyFont="1" applyFill="1" applyAlignment="1">
      <alignment horizontal="right" vertical="center"/>
    </xf>
    <xf numFmtId="0" fontId="15" fillId="0" borderId="14" xfId="0" applyFont="1" applyFill="1" applyBorder="1" applyAlignment="1">
      <alignment horizontal="right" vertical="center"/>
    </xf>
    <xf numFmtId="0" fontId="15" fillId="0" borderId="0" xfId="0" applyFont="1" applyFill="1" applyBorder="1" applyAlignment="1">
      <alignment horizontal="right" vertical="center"/>
    </xf>
    <xf numFmtId="3" fontId="12" fillId="0" borderId="0" xfId="0" applyNumberFormat="1" applyFont="1" applyFill="1"/>
    <xf numFmtId="166" fontId="12" fillId="0" borderId="0" xfId="0" applyNumberFormat="1" applyFont="1" applyFill="1" applyAlignment="1">
      <alignment horizontal="left" vertical="center"/>
    </xf>
    <xf numFmtId="3" fontId="13" fillId="0" borderId="0" xfId="0" applyNumberFormat="1" applyFont="1" applyFill="1"/>
    <xf numFmtId="3" fontId="13" fillId="0" borderId="0" xfId="0" applyNumberFormat="1" applyFont="1" applyFill="1" applyBorder="1" applyAlignment="1"/>
    <xf numFmtId="0" fontId="42" fillId="3" borderId="0" xfId="0" applyFont="1" applyFill="1"/>
    <xf numFmtId="0" fontId="12" fillId="2" borderId="0" xfId="0" applyFont="1" applyFill="1" applyAlignment="1">
      <alignment horizontal="left"/>
    </xf>
    <xf numFmtId="0" fontId="43" fillId="0" borderId="0" xfId="0" applyFont="1"/>
    <xf numFmtId="0" fontId="44" fillId="2" borderId="0" xfId="0" applyFont="1" applyFill="1" applyAlignment="1">
      <alignment horizontal="left" vertical="center"/>
    </xf>
    <xf numFmtId="0" fontId="12" fillId="3" borderId="15" xfId="0" applyFont="1" applyFill="1" applyBorder="1" applyAlignment="1">
      <alignment horizontal="left" vertical="center"/>
    </xf>
    <xf numFmtId="0" fontId="12" fillId="2" borderId="16" xfId="0" applyFont="1" applyFill="1" applyBorder="1" applyAlignment="1">
      <alignment horizontal="left" vertical="center"/>
    </xf>
    <xf numFmtId="0" fontId="0" fillId="0" borderId="16" xfId="0" applyBorder="1"/>
    <xf numFmtId="0" fontId="12" fillId="2" borderId="17" xfId="0" applyFont="1" applyFill="1" applyBorder="1" applyAlignment="1">
      <alignment horizontal="left" vertical="center"/>
    </xf>
    <xf numFmtId="0" fontId="12" fillId="2" borderId="0" xfId="0" applyFont="1" applyFill="1" applyBorder="1" applyAlignment="1">
      <alignment horizontal="left" vertical="center"/>
    </xf>
    <xf numFmtId="0" fontId="42" fillId="3" borderId="0" xfId="0" applyFont="1" applyFill="1" applyBorder="1"/>
    <xf numFmtId="0" fontId="12" fillId="2" borderId="19" xfId="0" applyFont="1" applyFill="1" applyBorder="1" applyAlignment="1">
      <alignment horizontal="left" vertical="center"/>
    </xf>
    <xf numFmtId="0" fontId="0" fillId="0" borderId="18" xfId="0" applyBorder="1"/>
    <xf numFmtId="165" fontId="12" fillId="3" borderId="0" xfId="0" applyNumberFormat="1" applyFont="1" applyFill="1" applyBorder="1"/>
    <xf numFmtId="0" fontId="0" fillId="3" borderId="0" xfId="0" applyFill="1" applyBorder="1"/>
    <xf numFmtId="10" fontId="15" fillId="2" borderId="19" xfId="0" applyNumberFormat="1" applyFont="1" applyFill="1" applyBorder="1" applyAlignment="1">
      <alignment horizontal="center"/>
    </xf>
    <xf numFmtId="0" fontId="0" fillId="3" borderId="19" xfId="0" applyFill="1" applyBorder="1"/>
    <xf numFmtId="0" fontId="0" fillId="3" borderId="18" xfId="0" applyFill="1" applyBorder="1"/>
    <xf numFmtId="0" fontId="0" fillId="3" borderId="20" xfId="0" applyFill="1" applyBorder="1"/>
    <xf numFmtId="0" fontId="0" fillId="3" borderId="21" xfId="0" applyFill="1" applyBorder="1"/>
    <xf numFmtId="0" fontId="0" fillId="3" borderId="22" xfId="0" applyFill="1" applyBorder="1"/>
    <xf numFmtId="0" fontId="0" fillId="3" borderId="18" xfId="0" applyFill="1" applyBorder="1" applyAlignment="1">
      <alignment horizontal="left" indent="2"/>
    </xf>
    <xf numFmtId="0" fontId="12" fillId="2" borderId="18" xfId="0" applyFont="1" applyFill="1" applyBorder="1" applyAlignment="1">
      <alignment horizontal="left" vertical="center" indent="2"/>
    </xf>
    <xf numFmtId="0" fontId="47" fillId="2" borderId="18" xfId="0" applyFont="1" applyFill="1" applyBorder="1" applyAlignment="1">
      <alignment horizontal="left" vertical="center" indent="2"/>
    </xf>
    <xf numFmtId="0" fontId="45" fillId="3" borderId="18" xfId="0" applyFont="1" applyFill="1" applyBorder="1" applyAlignment="1">
      <alignment horizontal="left" indent="1"/>
    </xf>
    <xf numFmtId="0" fontId="46" fillId="3" borderId="18" xfId="0" applyFont="1" applyFill="1" applyBorder="1" applyAlignment="1">
      <alignment horizontal="left" vertical="center" indent="1"/>
    </xf>
    <xf numFmtId="0" fontId="39" fillId="2" borderId="18" xfId="0" applyFont="1" applyFill="1" applyBorder="1" applyAlignment="1">
      <alignment horizontal="left" indent="1"/>
    </xf>
    <xf numFmtId="0" fontId="48" fillId="2" borderId="0" xfId="0" applyFont="1" applyFill="1" applyBorder="1" applyAlignment="1">
      <alignment horizontal="left"/>
    </xf>
    <xf numFmtId="165" fontId="38" fillId="0" borderId="0" xfId="0" applyNumberFormat="1" applyFont="1" applyFill="1" applyBorder="1" applyAlignment="1"/>
    <xf numFmtId="165" fontId="15" fillId="36" borderId="0" xfId="0" applyNumberFormat="1" applyFont="1" applyFill="1" applyBorder="1" applyAlignment="1">
      <alignment horizontal="center"/>
    </xf>
    <xf numFmtId="3" fontId="13" fillId="36" borderId="0" xfId="0" applyNumberFormat="1" applyFont="1" applyFill="1"/>
    <xf numFmtId="166" fontId="37" fillId="36" borderId="0" xfId="0" applyNumberFormat="1" applyFont="1" applyFill="1" applyBorder="1"/>
    <xf numFmtId="3" fontId="14" fillId="36" borderId="0" xfId="0" applyNumberFormat="1" applyFont="1" applyFill="1"/>
    <xf numFmtId="165" fontId="12" fillId="36" borderId="0" xfId="0" applyNumberFormat="1" applyFont="1" applyFill="1"/>
    <xf numFmtId="3" fontId="12" fillId="36" borderId="0" xfId="0" applyNumberFormat="1" applyFont="1" applyFill="1"/>
    <xf numFmtId="0" fontId="12" fillId="36" borderId="0" xfId="0" applyFont="1" applyFill="1" applyAlignment="1">
      <alignment horizontal="left" vertical="center"/>
    </xf>
    <xf numFmtId="0" fontId="15" fillId="36" borderId="0" xfId="0" applyFont="1" applyFill="1" applyBorder="1" applyAlignment="1">
      <alignment horizontal="right" vertical="center"/>
    </xf>
    <xf numFmtId="3" fontId="13" fillId="36" borderId="0" xfId="0" applyNumberFormat="1" applyFont="1" applyFill="1" applyAlignment="1"/>
    <xf numFmtId="3" fontId="13" fillId="36" borderId="0" xfId="0" applyNumberFormat="1" applyFont="1" applyFill="1" applyBorder="1" applyAlignment="1"/>
    <xf numFmtId="3" fontId="38" fillId="36" borderId="0" xfId="0" applyNumberFormat="1" applyFont="1" applyFill="1" applyBorder="1" applyAlignment="1"/>
    <xf numFmtId="165" fontId="38" fillId="36" borderId="0" xfId="0" applyNumberFormat="1" applyFont="1" applyFill="1" applyBorder="1" applyAlignment="1"/>
    <xf numFmtId="9" fontId="38" fillId="36" borderId="0" xfId="0" applyNumberFormat="1" applyFont="1" applyFill="1" applyBorder="1" applyAlignment="1"/>
    <xf numFmtId="3" fontId="0" fillId="3" borderId="0" xfId="0" applyNumberFormat="1" applyFill="1"/>
    <xf numFmtId="165" fontId="15" fillId="0" borderId="12" xfId="0" applyNumberFormat="1" applyFont="1" applyFill="1" applyBorder="1" applyAlignment="1">
      <alignment horizontal="center"/>
    </xf>
    <xf numFmtId="165" fontId="15" fillId="2" borderId="12" xfId="0" applyNumberFormat="1" applyFont="1" applyFill="1" applyBorder="1" applyAlignment="1">
      <alignment horizontal="center"/>
    </xf>
    <xf numFmtId="0" fontId="15" fillId="2" borderId="24" xfId="0" applyFont="1" applyFill="1" applyBorder="1" applyAlignment="1">
      <alignment horizontal="right" vertical="center"/>
    </xf>
    <xf numFmtId="14" fontId="40" fillId="3" borderId="23" xfId="0" applyNumberFormat="1" applyFont="1" applyFill="1" applyBorder="1" applyAlignment="1">
      <alignment horizontal="center" vertical="center"/>
    </xf>
    <xf numFmtId="0" fontId="40" fillId="3" borderId="27" xfId="0" applyFont="1" applyFill="1" applyBorder="1" applyAlignment="1">
      <alignment horizontal="center" vertical="center"/>
    </xf>
    <xf numFmtId="165" fontId="15" fillId="2" borderId="23" xfId="0" applyNumberFormat="1" applyFont="1" applyFill="1" applyBorder="1" applyAlignment="1">
      <alignment horizontal="center"/>
    </xf>
    <xf numFmtId="165" fontId="15" fillId="0" borderId="23" xfId="0" applyNumberFormat="1" applyFont="1" applyFill="1" applyBorder="1" applyAlignment="1">
      <alignment horizontal="center"/>
    </xf>
    <xf numFmtId="0" fontId="12" fillId="2" borderId="23" xfId="0" applyFont="1" applyFill="1" applyBorder="1" applyAlignment="1">
      <alignment horizontal="left" vertical="center"/>
    </xf>
    <xf numFmtId="0" fontId="15" fillId="2" borderId="23" xfId="0" applyFont="1" applyFill="1" applyBorder="1" applyAlignment="1">
      <alignment horizontal="right" vertical="center"/>
    </xf>
    <xf numFmtId="165" fontId="49" fillId="0" borderId="23" xfId="0" applyNumberFormat="1" applyFont="1" applyFill="1" applyBorder="1" applyAlignment="1">
      <alignment horizontal="center"/>
    </xf>
    <xf numFmtId="165" fontId="49" fillId="2" borderId="10" xfId="0" applyNumberFormat="1" applyFont="1" applyFill="1" applyBorder="1" applyAlignment="1">
      <alignment horizontal="center"/>
    </xf>
    <xf numFmtId="165" fontId="49" fillId="0" borderId="12" xfId="0" applyNumberFormat="1" applyFont="1" applyFill="1" applyBorder="1" applyAlignment="1">
      <alignment horizontal="center"/>
    </xf>
    <xf numFmtId="0" fontId="12" fillId="36" borderId="0" xfId="0" applyFont="1" applyFill="1" applyBorder="1" applyAlignment="1">
      <alignment horizontal="left" vertical="center"/>
    </xf>
    <xf numFmtId="165" fontId="49" fillId="0" borderId="10" xfId="0" applyNumberFormat="1" applyFont="1" applyFill="1" applyBorder="1" applyAlignment="1">
      <alignment horizontal="center"/>
    </xf>
    <xf numFmtId="14" fontId="12" fillId="36" borderId="25" xfId="0" applyNumberFormat="1" applyFont="1" applyFill="1" applyBorder="1" applyAlignment="1">
      <alignment horizontal="center" vertical="center"/>
    </xf>
    <xf numFmtId="14" fontId="12" fillId="36" borderId="26" xfId="0" applyNumberFormat="1" applyFont="1" applyFill="1" applyBorder="1" applyAlignment="1">
      <alignment horizontal="center" vertical="center"/>
    </xf>
    <xf numFmtId="0" fontId="12" fillId="36" borderId="26" xfId="0" applyFont="1" applyFill="1" applyBorder="1" applyAlignment="1">
      <alignment horizontal="center" vertical="center"/>
    </xf>
    <xf numFmtId="14" fontId="12" fillId="36" borderId="10" xfId="0" applyNumberFormat="1" applyFont="1" applyFill="1" applyBorder="1" applyAlignment="1">
      <alignment horizontal="center" vertical="center"/>
    </xf>
    <xf numFmtId="14" fontId="12" fillId="36" borderId="11" xfId="0" applyNumberFormat="1" applyFont="1" applyFill="1" applyBorder="1" applyAlignment="1">
      <alignment horizontal="center" vertical="center"/>
    </xf>
    <xf numFmtId="0" fontId="12" fillId="36" borderId="11" xfId="0" applyFont="1" applyFill="1" applyBorder="1" applyAlignment="1">
      <alignment horizontal="center" vertical="center"/>
    </xf>
    <xf numFmtId="0" fontId="50" fillId="3" borderId="0" xfId="0" applyFont="1" applyFill="1"/>
    <xf numFmtId="0" fontId="51" fillId="3" borderId="0" xfId="0" applyFont="1" applyFill="1" applyAlignment="1">
      <alignment horizontal="left" vertical="center"/>
    </xf>
    <xf numFmtId="0" fontId="51" fillId="2" borderId="0" xfId="0" applyFont="1" applyFill="1" applyAlignment="1">
      <alignment horizontal="left" vertical="center"/>
    </xf>
    <xf numFmtId="0" fontId="51" fillId="2" borderId="0" xfId="0" applyFont="1" applyFill="1" applyAlignment="1">
      <alignment horizontal="left"/>
    </xf>
    <xf numFmtId="0" fontId="50" fillId="0" borderId="0" xfId="0" applyFont="1"/>
    <xf numFmtId="165" fontId="51" fillId="3" borderId="0" xfId="0" applyNumberFormat="1" applyFont="1" applyFill="1"/>
    <xf numFmtId="0" fontId="43" fillId="3" borderId="0" xfId="0" applyFont="1" applyFill="1"/>
    <xf numFmtId="14" fontId="40" fillId="37" borderId="23" xfId="0" applyNumberFormat="1" applyFont="1" applyFill="1" applyBorder="1" applyAlignment="1">
      <alignment horizontal="center" vertical="center" wrapText="1"/>
    </xf>
    <xf numFmtId="0" fontId="40" fillId="37" borderId="27" xfId="0" applyFont="1" applyFill="1" applyBorder="1" applyAlignment="1">
      <alignment horizontal="center" vertical="center" wrapText="1"/>
    </xf>
    <xf numFmtId="165" fontId="15" fillId="37" borderId="10" xfId="0" applyNumberFormat="1" applyFont="1" applyFill="1" applyBorder="1" applyAlignment="1">
      <alignment horizontal="center"/>
    </xf>
    <xf numFmtId="165" fontId="15" fillId="37" borderId="0" xfId="0" applyNumberFormat="1" applyFont="1" applyFill="1" applyBorder="1" applyAlignment="1">
      <alignment horizontal="center"/>
    </xf>
    <xf numFmtId="165" fontId="15" fillId="37" borderId="23" xfId="0" applyNumberFormat="1" applyFont="1" applyFill="1" applyBorder="1" applyAlignment="1">
      <alignment horizontal="center"/>
    </xf>
    <xf numFmtId="165" fontId="15" fillId="37" borderId="12" xfId="0" applyNumberFormat="1" applyFont="1" applyFill="1" applyBorder="1" applyAlignment="1">
      <alignment horizontal="center"/>
    </xf>
    <xf numFmtId="165" fontId="49" fillId="37" borderId="10" xfId="0" applyNumberFormat="1" applyFont="1" applyFill="1" applyBorder="1" applyAlignment="1">
      <alignment horizontal="center"/>
    </xf>
    <xf numFmtId="165" fontId="49" fillId="37" borderId="12" xfId="0" applyNumberFormat="1" applyFont="1" applyFill="1" applyBorder="1" applyAlignment="1">
      <alignment horizontal="center"/>
    </xf>
    <xf numFmtId="165" fontId="49" fillId="37" borderId="23" xfId="0" applyNumberFormat="1" applyFont="1" applyFill="1" applyBorder="1" applyAlignment="1">
      <alignment horizontal="center"/>
    </xf>
    <xf numFmtId="0" fontId="15" fillId="37" borderId="14" xfId="0" applyFont="1" applyFill="1" applyBorder="1" applyAlignment="1">
      <alignment horizontal="right" vertical="center"/>
    </xf>
    <xf numFmtId="0" fontId="15" fillId="37" borderId="24" xfId="0" applyFont="1" applyFill="1" applyBorder="1" applyAlignment="1">
      <alignment horizontal="right" vertical="center"/>
    </xf>
    <xf numFmtId="0" fontId="15" fillId="37" borderId="23" xfId="0" applyFont="1" applyFill="1" applyBorder="1" applyAlignment="1">
      <alignment horizontal="right" vertical="center"/>
    </xf>
    <xf numFmtId="3" fontId="13" fillId="0" borderId="0" xfId="0" applyNumberFormat="1" applyFont="1" applyFill="1" applyAlignment="1"/>
    <xf numFmtId="3" fontId="38" fillId="0" borderId="0" xfId="0" applyNumberFormat="1" applyFont="1" applyFill="1" applyBorder="1" applyAlignment="1"/>
    <xf numFmtId="9" fontId="38" fillId="0" borderId="0" xfId="0" applyNumberFormat="1" applyFont="1" applyFill="1" applyBorder="1" applyAlignment="1"/>
    <xf numFmtId="14" fontId="15" fillId="37" borderId="12" xfId="0" applyNumberFormat="1" applyFont="1" applyFill="1" applyBorder="1" applyAlignment="1">
      <alignment horizontal="center" vertical="center" wrapText="1"/>
    </xf>
    <xf numFmtId="0" fontId="15" fillId="37" borderId="13" xfId="0" applyFont="1" applyFill="1" applyBorder="1" applyAlignment="1">
      <alignment horizontal="center" vertical="center" wrapText="1"/>
    </xf>
    <xf numFmtId="14" fontId="12" fillId="36" borderId="10" xfId="0" applyNumberFormat="1" applyFont="1" applyFill="1" applyBorder="1" applyAlignment="1">
      <alignment horizontal="center" vertical="center"/>
    </xf>
    <xf numFmtId="0" fontId="12" fillId="36" borderId="11" xfId="0" applyFont="1" applyFill="1" applyBorder="1" applyAlignment="1">
      <alignment horizontal="center" vertical="center"/>
    </xf>
    <xf numFmtId="14" fontId="12" fillId="36" borderId="11" xfId="0" applyNumberFormat="1" applyFont="1" applyFill="1" applyBorder="1" applyAlignment="1">
      <alignment horizontal="center" vertical="center"/>
    </xf>
    <xf numFmtId="14" fontId="15" fillId="2" borderId="12" xfId="0" applyNumberFormat="1" applyFont="1" applyFill="1" applyBorder="1" applyAlignment="1">
      <alignment horizontal="center" vertical="center"/>
    </xf>
    <xf numFmtId="0" fontId="15" fillId="2" borderId="13" xfId="0" applyFont="1" applyFill="1" applyBorder="1" applyAlignment="1">
      <alignment horizontal="center" vertical="center"/>
    </xf>
    <xf numFmtId="14" fontId="40" fillId="3" borderId="12" xfId="0" applyNumberFormat="1" applyFont="1" applyFill="1" applyBorder="1" applyAlignment="1">
      <alignment horizontal="center" vertical="center"/>
    </xf>
    <xf numFmtId="0" fontId="40" fillId="3" borderId="13" xfId="0" applyFont="1" applyFill="1" applyBorder="1" applyAlignment="1">
      <alignment horizontal="center" vertical="center"/>
    </xf>
    <xf numFmtId="14" fontId="15" fillId="2" borderId="12" xfId="0" applyNumberFormat="1" applyFont="1" applyFill="1" applyBorder="1" applyAlignment="1">
      <alignment horizontal="center" vertical="center" wrapText="1"/>
    </xf>
    <xf numFmtId="0" fontId="15" fillId="2" borderId="13" xfId="0" applyFont="1" applyFill="1" applyBorder="1" applyAlignment="1">
      <alignment horizontal="center" vertical="center" wrapText="1"/>
    </xf>
    <xf numFmtId="165" fontId="49" fillId="2" borderId="12" xfId="0" applyNumberFormat="1" applyFont="1" applyFill="1" applyBorder="1" applyAlignment="1">
      <alignment horizontal="center"/>
    </xf>
    <xf numFmtId="14" fontId="12" fillId="37" borderId="12" xfId="0" applyNumberFormat="1" applyFont="1" applyFill="1" applyBorder="1" applyAlignment="1">
      <alignment horizontal="center" vertical="center" wrapText="1"/>
    </xf>
    <xf numFmtId="14" fontId="12" fillId="37" borderId="13" xfId="0" applyNumberFormat="1" applyFont="1" applyFill="1" applyBorder="1" applyAlignment="1">
      <alignment horizontal="center" vertical="center" wrapText="1"/>
    </xf>
    <xf numFmtId="165" fontId="15" fillId="37" borderId="14" xfId="0" applyNumberFormat="1" applyFont="1" applyFill="1" applyBorder="1" applyAlignment="1">
      <alignment horizontal="center"/>
    </xf>
    <xf numFmtId="10" fontId="15" fillId="2" borderId="0" xfId="137" applyNumberFormat="1" applyFont="1" applyFill="1" applyBorder="1" applyAlignment="1">
      <alignment horizontal="center"/>
    </xf>
    <xf numFmtId="3" fontId="52" fillId="3" borderId="0" xfId="0" applyNumberFormat="1" applyFont="1" applyFill="1" applyBorder="1" applyAlignment="1"/>
    <xf numFmtId="3" fontId="52" fillId="36" borderId="0" xfId="0" applyNumberFormat="1" applyFont="1" applyFill="1" applyBorder="1" applyAlignment="1"/>
    <xf numFmtId="3" fontId="52" fillId="0" borderId="0" xfId="0" applyNumberFormat="1" applyFont="1" applyFill="1" applyBorder="1" applyAlignment="1"/>
    <xf numFmtId="0" fontId="53" fillId="2" borderId="0" xfId="0" applyFont="1" applyFill="1" applyAlignment="1">
      <alignment horizontal="left" indent="11"/>
    </xf>
    <xf numFmtId="0" fontId="53" fillId="2" borderId="0" xfId="0" applyFont="1" applyFill="1" applyAlignment="1">
      <alignment horizontal="left" indent="3"/>
    </xf>
    <xf numFmtId="165" fontId="38" fillId="3" borderId="0" xfId="137" applyNumberFormat="1" applyFont="1" applyFill="1" applyBorder="1" applyAlignment="1"/>
    <xf numFmtId="0" fontId="45" fillId="0" borderId="0" xfId="0" applyFont="1" applyFill="1"/>
    <xf numFmtId="166" fontId="54" fillId="36" borderId="0" xfId="0" applyNumberFormat="1" applyFont="1" applyFill="1" applyBorder="1"/>
    <xf numFmtId="166" fontId="54" fillId="0" borderId="0" xfId="0" applyNumberFormat="1" applyFont="1" applyFill="1" applyBorder="1"/>
    <xf numFmtId="0" fontId="55" fillId="0" borderId="0" xfId="0" applyFont="1" applyFill="1"/>
    <xf numFmtId="0" fontId="45" fillId="0" borderId="0" xfId="0" applyFont="1"/>
    <xf numFmtId="0" fontId="45" fillId="3" borderId="0" xfId="0" applyFont="1" applyFill="1"/>
    <xf numFmtId="14" fontId="12" fillId="36" borderId="10" xfId="0" applyNumberFormat="1" applyFont="1" applyFill="1" applyBorder="1" applyAlignment="1">
      <alignment horizontal="center" vertical="center"/>
    </xf>
    <xf numFmtId="14" fontId="12" fillId="36" borderId="11" xfId="0" applyNumberFormat="1" applyFont="1" applyFill="1" applyBorder="1" applyAlignment="1">
      <alignment horizontal="center" vertical="center"/>
    </xf>
    <xf numFmtId="0" fontId="12" fillId="36" borderId="11" xfId="0" applyFont="1" applyFill="1" applyBorder="1" applyAlignment="1">
      <alignment horizontal="center" vertical="center"/>
    </xf>
    <xf numFmtId="14" fontId="12" fillId="36" borderId="25" xfId="0" applyNumberFormat="1" applyFont="1" applyFill="1" applyBorder="1" applyAlignment="1">
      <alignment horizontal="center" vertical="center"/>
    </xf>
    <xf numFmtId="14" fontId="12" fillId="36" borderId="26" xfId="0" applyNumberFormat="1" applyFont="1" applyFill="1" applyBorder="1" applyAlignment="1">
      <alignment horizontal="center" vertical="center"/>
    </xf>
    <xf numFmtId="0" fontId="12" fillId="36" borderId="26" xfId="0" applyFont="1" applyFill="1" applyBorder="1" applyAlignment="1">
      <alignment horizontal="center" vertical="center"/>
    </xf>
    <xf numFmtId="0" fontId="53" fillId="0" borderId="0" xfId="0" applyFont="1" applyFill="1" applyAlignment="1">
      <alignment horizontal="left" vertical="center" indent="1"/>
    </xf>
    <xf numFmtId="0" fontId="56" fillId="0" borderId="0" xfId="0" applyFont="1" applyFill="1"/>
    <xf numFmtId="166" fontId="57" fillId="36" borderId="0" xfId="0" applyNumberFormat="1" applyFont="1" applyFill="1" applyBorder="1"/>
    <xf numFmtId="166" fontId="57" fillId="0" borderId="0" xfId="0" applyNumberFormat="1" applyFont="1" applyFill="1" applyBorder="1"/>
    <xf numFmtId="0" fontId="58" fillId="0" borderId="0" xfId="0" applyFont="1" applyFill="1"/>
    <xf numFmtId="0" fontId="56" fillId="3" borderId="0" xfId="0" applyFont="1" applyFill="1"/>
    <xf numFmtId="0" fontId="56" fillId="0" borderId="0" xfId="0" applyFont="1"/>
    <xf numFmtId="14" fontId="12" fillId="36" borderId="10" xfId="0" applyNumberFormat="1" applyFont="1" applyFill="1" applyBorder="1" applyAlignment="1">
      <alignment horizontal="center" vertical="center"/>
    </xf>
    <xf numFmtId="14" fontId="12" fillId="36" borderId="11" xfId="0" applyNumberFormat="1" applyFont="1" applyFill="1" applyBorder="1" applyAlignment="1">
      <alignment horizontal="center" vertical="center"/>
    </xf>
    <xf numFmtId="0" fontId="12" fillId="36" borderId="11" xfId="0" applyFont="1" applyFill="1" applyBorder="1" applyAlignment="1">
      <alignment horizontal="center" vertical="center"/>
    </xf>
    <xf numFmtId="166" fontId="13" fillId="36" borderId="0" xfId="0" applyNumberFormat="1" applyFont="1" applyFill="1"/>
    <xf numFmtId="14" fontId="12" fillId="36" borderId="25" xfId="0" applyNumberFormat="1" applyFont="1" applyFill="1" applyBorder="1" applyAlignment="1">
      <alignment horizontal="center" vertical="center"/>
    </xf>
    <xf numFmtId="0" fontId="12" fillId="36" borderId="26" xfId="0" applyFont="1" applyFill="1" applyBorder="1" applyAlignment="1">
      <alignment horizontal="center" vertical="center"/>
    </xf>
    <xf numFmtId="14" fontId="12" fillId="36" borderId="26" xfId="0" applyNumberFormat="1" applyFont="1" applyFill="1" applyBorder="1" applyAlignment="1">
      <alignment horizontal="center" vertical="center"/>
    </xf>
    <xf numFmtId="165" fontId="12" fillId="37" borderId="23" xfId="137" applyNumberFormat="1" applyFont="1" applyFill="1" applyBorder="1" applyAlignment="1">
      <alignment horizontal="left" vertical="center"/>
    </xf>
    <xf numFmtId="165" fontId="12" fillId="37" borderId="28" xfId="137" applyNumberFormat="1" applyFont="1" applyFill="1" applyBorder="1" applyAlignment="1">
      <alignment horizontal="left" vertical="center"/>
    </xf>
    <xf numFmtId="165" fontId="12" fillId="37" borderId="0" xfId="137" applyNumberFormat="1" applyFont="1" applyFill="1" applyAlignment="1">
      <alignment horizontal="left" vertical="center"/>
    </xf>
    <xf numFmtId="170" fontId="38" fillId="36" borderId="0" xfId="0" applyNumberFormat="1" applyFont="1" applyFill="1" applyBorder="1" applyAlignment="1"/>
    <xf numFmtId="170" fontId="53" fillId="2" borderId="0" xfId="0" applyNumberFormat="1" applyFont="1" applyFill="1" applyAlignment="1">
      <alignment horizontal="left" indent="3"/>
    </xf>
    <xf numFmtId="170" fontId="15" fillId="37" borderId="10" xfId="0" applyNumberFormat="1" applyFont="1" applyFill="1" applyBorder="1" applyAlignment="1">
      <alignment horizontal="center"/>
    </xf>
    <xf numFmtId="170" fontId="15" fillId="37" borderId="12" xfId="0" applyNumberFormat="1" applyFont="1" applyFill="1" applyBorder="1" applyAlignment="1">
      <alignment horizontal="center"/>
    </xf>
    <xf numFmtId="170" fontId="15" fillId="37" borderId="23" xfId="0" applyNumberFormat="1" applyFont="1" applyFill="1" applyBorder="1" applyAlignment="1">
      <alignment horizontal="center"/>
    </xf>
    <xf numFmtId="170" fontId="38" fillId="3" borderId="0" xfId="137" applyNumberFormat="1" applyFont="1" applyFill="1" applyBorder="1" applyAlignment="1"/>
    <xf numFmtId="170" fontId="38" fillId="3" borderId="0" xfId="0" applyNumberFormat="1" applyFont="1" applyFill="1" applyBorder="1" applyAlignment="1"/>
    <xf numFmtId="170" fontId="0" fillId="3" borderId="0" xfId="0" applyNumberFormat="1" applyFill="1"/>
    <xf numFmtId="170" fontId="0" fillId="0" borderId="0" xfId="0" applyNumberFormat="1"/>
    <xf numFmtId="170" fontId="39" fillId="2" borderId="0" xfId="0" applyNumberFormat="1" applyFont="1" applyFill="1" applyBorder="1" applyAlignment="1">
      <alignment horizontal="right"/>
    </xf>
    <xf numFmtId="170" fontId="52" fillId="0" borderId="0" xfId="0" applyNumberFormat="1" applyFont="1" applyFill="1" applyBorder="1" applyAlignment="1"/>
    <xf numFmtId="170" fontId="52" fillId="36" borderId="0" xfId="0" applyNumberFormat="1" applyFont="1" applyFill="1" applyBorder="1" applyAlignment="1"/>
    <xf numFmtId="170" fontId="52" fillId="3" borderId="0" xfId="0" applyNumberFormat="1" applyFont="1" applyFill="1" applyBorder="1" applyAlignment="1"/>
    <xf numFmtId="14" fontId="12" fillId="36" borderId="10" xfId="0" applyNumberFormat="1" applyFont="1" applyFill="1" applyBorder="1" applyAlignment="1">
      <alignment horizontal="center" vertical="center"/>
    </xf>
    <xf numFmtId="14" fontId="12" fillId="36" borderId="11" xfId="0" applyNumberFormat="1" applyFont="1" applyFill="1" applyBorder="1" applyAlignment="1">
      <alignment horizontal="center" vertical="center"/>
    </xf>
    <xf numFmtId="0" fontId="12" fillId="36" borderId="11" xfId="0" applyFont="1" applyFill="1" applyBorder="1" applyAlignment="1">
      <alignment horizontal="center" vertical="center"/>
    </xf>
    <xf numFmtId="164" fontId="15" fillId="2" borderId="0" xfId="138" applyFont="1" applyFill="1" applyBorder="1" applyAlignment="1">
      <alignment horizontal="center"/>
    </xf>
    <xf numFmtId="14" fontId="12" fillId="36" borderId="25" xfId="0" applyNumberFormat="1" applyFont="1" applyFill="1" applyBorder="1" applyAlignment="1">
      <alignment horizontal="center" vertical="center"/>
    </xf>
    <xf numFmtId="14" fontId="12" fillId="36" borderId="26" xfId="0" applyNumberFormat="1" applyFont="1" applyFill="1" applyBorder="1" applyAlignment="1">
      <alignment horizontal="center" vertical="center"/>
    </xf>
    <xf numFmtId="0" fontId="12" fillId="36" borderId="26" xfId="0" applyFont="1" applyFill="1" applyBorder="1" applyAlignment="1">
      <alignment horizontal="center" vertical="center"/>
    </xf>
    <xf numFmtId="9" fontId="38" fillId="3" borderId="0" xfId="137" applyFont="1" applyFill="1" applyBorder="1" applyAlignment="1"/>
    <xf numFmtId="14" fontId="12" fillId="36" borderId="10" xfId="0" applyNumberFormat="1" applyFont="1" applyFill="1" applyBorder="1" applyAlignment="1">
      <alignment horizontal="center" vertical="center"/>
    </xf>
    <xf numFmtId="0" fontId="12" fillId="36" borderId="11" xfId="0" applyFont="1" applyFill="1" applyBorder="1" applyAlignment="1">
      <alignment horizontal="center" vertical="center"/>
    </xf>
    <xf numFmtId="9" fontId="38" fillId="0" borderId="0" xfId="137" applyFont="1" applyFill="1" applyBorder="1" applyAlignment="1"/>
    <xf numFmtId="165" fontId="40" fillId="37" borderId="10" xfId="0" applyNumberFormat="1" applyFont="1" applyFill="1" applyBorder="1" applyAlignment="1">
      <alignment horizontal="center"/>
    </xf>
    <xf numFmtId="165" fontId="40" fillId="37" borderId="23" xfId="0" applyNumberFormat="1" applyFont="1" applyFill="1" applyBorder="1" applyAlignment="1">
      <alignment horizontal="center"/>
    </xf>
    <xf numFmtId="165" fontId="59" fillId="37" borderId="10" xfId="0" applyNumberFormat="1" applyFont="1" applyFill="1" applyBorder="1" applyAlignment="1">
      <alignment horizontal="center"/>
    </xf>
    <xf numFmtId="165" fontId="59" fillId="37" borderId="23" xfId="0" applyNumberFormat="1" applyFont="1" applyFill="1" applyBorder="1" applyAlignment="1">
      <alignment horizontal="center"/>
    </xf>
    <xf numFmtId="3" fontId="61" fillId="36" borderId="0" xfId="0" applyNumberFormat="1" applyFont="1" applyFill="1" applyBorder="1" applyAlignment="1"/>
    <xf numFmtId="165" fontId="61" fillId="36" borderId="0" xfId="0" applyNumberFormat="1" applyFont="1" applyFill="1" applyBorder="1" applyAlignment="1"/>
    <xf numFmtId="3" fontId="62" fillId="36" borderId="0" xfId="0" applyNumberFormat="1" applyFont="1" applyFill="1" applyBorder="1" applyAlignment="1"/>
    <xf numFmtId="3" fontId="60" fillId="36" borderId="0" xfId="0" applyNumberFormat="1" applyFont="1" applyFill="1"/>
    <xf numFmtId="3" fontId="51" fillId="36" borderId="0" xfId="0" applyNumberFormat="1" applyFont="1" applyFill="1"/>
    <xf numFmtId="3" fontId="14" fillId="36" borderId="0" xfId="0" applyNumberFormat="1" applyFont="1" applyFill="1" applyBorder="1" applyAlignment="1"/>
    <xf numFmtId="3" fontId="63" fillId="36" borderId="0" xfId="0" applyNumberFormat="1" applyFont="1" applyFill="1" applyBorder="1" applyAlignment="1"/>
    <xf numFmtId="3" fontId="64" fillId="36" borderId="0" xfId="0" applyNumberFormat="1" applyFont="1" applyFill="1"/>
    <xf numFmtId="165" fontId="63" fillId="36" borderId="0" xfId="0" applyNumberFormat="1" applyFont="1" applyFill="1" applyBorder="1" applyAlignment="1"/>
    <xf numFmtId="9" fontId="63" fillId="36" borderId="0" xfId="0" applyNumberFormat="1" applyFont="1" applyFill="1" applyBorder="1" applyAlignment="1"/>
    <xf numFmtId="166" fontId="65" fillId="36" borderId="0" xfId="0" applyNumberFormat="1" applyFont="1" applyFill="1" applyBorder="1"/>
    <xf numFmtId="166" fontId="66" fillId="36" borderId="0" xfId="0" applyNumberFormat="1" applyFont="1" applyFill="1" applyBorder="1"/>
    <xf numFmtId="166" fontId="14" fillId="36" borderId="0" xfId="0" applyNumberFormat="1" applyFont="1" applyFill="1" applyBorder="1"/>
    <xf numFmtId="165" fontId="65" fillId="36" borderId="0" xfId="0" applyNumberFormat="1" applyFont="1" applyFill="1"/>
    <xf numFmtId="170" fontId="63" fillId="36" borderId="0" xfId="0" applyNumberFormat="1" applyFont="1" applyFill="1" applyBorder="1" applyAlignment="1"/>
    <xf numFmtId="3" fontId="14" fillId="36" borderId="0" xfId="0" applyNumberFormat="1" applyFont="1" applyFill="1" applyAlignment="1"/>
    <xf numFmtId="0" fontId="67" fillId="3" borderId="0" xfId="0" applyFont="1" applyFill="1"/>
    <xf numFmtId="0" fontId="68" fillId="3" borderId="0" xfId="0" applyFont="1" applyFill="1" applyAlignment="1">
      <alignment horizontal="left" vertical="center"/>
    </xf>
    <xf numFmtId="0" fontId="68" fillId="2" borderId="0" xfId="0" applyFont="1" applyFill="1" applyAlignment="1">
      <alignment horizontal="left" vertical="center"/>
    </xf>
    <xf numFmtId="0" fontId="67" fillId="0" borderId="0" xfId="0" applyFont="1"/>
    <xf numFmtId="14" fontId="12" fillId="36" borderId="10" xfId="0" applyNumberFormat="1" applyFont="1" applyFill="1" applyBorder="1" applyAlignment="1">
      <alignment horizontal="center" vertical="center"/>
    </xf>
    <xf numFmtId="14" fontId="12" fillId="36" borderId="11" xfId="0" applyNumberFormat="1" applyFont="1" applyFill="1" applyBorder="1" applyAlignment="1">
      <alignment horizontal="center" vertical="center"/>
    </xf>
    <xf numFmtId="0" fontId="12" fillId="36" borderId="11" xfId="0" applyFont="1" applyFill="1" applyBorder="1" applyAlignment="1">
      <alignment horizontal="center" vertical="center"/>
    </xf>
    <xf numFmtId="164" fontId="14" fillId="0" borderId="0" xfId="138" applyFont="1" applyFill="1"/>
    <xf numFmtId="3" fontId="13" fillId="3" borderId="0" xfId="0" applyNumberFormat="1" applyFont="1" applyFill="1" applyBorder="1" applyAlignment="1"/>
    <xf numFmtId="14" fontId="12" fillId="36" borderId="25" xfId="0" applyNumberFormat="1" applyFont="1" applyFill="1" applyBorder="1" applyAlignment="1">
      <alignment horizontal="center" vertical="center"/>
    </xf>
    <xf numFmtId="0" fontId="12" fillId="36" borderId="26" xfId="0" applyFont="1" applyFill="1" applyBorder="1" applyAlignment="1">
      <alignment horizontal="center" vertical="center"/>
    </xf>
    <xf numFmtId="14" fontId="12" fillId="36" borderId="26" xfId="0" applyNumberFormat="1" applyFont="1" applyFill="1" applyBorder="1" applyAlignment="1">
      <alignment horizontal="center" vertical="center"/>
    </xf>
    <xf numFmtId="164" fontId="15" fillId="36" borderId="0" xfId="138" applyFont="1" applyFill="1" applyBorder="1" applyAlignment="1">
      <alignment horizontal="center"/>
    </xf>
    <xf numFmtId="171" fontId="68" fillId="2" borderId="0" xfId="0" applyNumberFormat="1" applyFont="1" applyFill="1" applyAlignment="1">
      <alignment horizontal="left" vertical="center"/>
    </xf>
    <xf numFmtId="164" fontId="14" fillId="36" borderId="0" xfId="138" applyFont="1" applyFill="1"/>
    <xf numFmtId="172" fontId="68" fillId="0" borderId="0" xfId="138" applyNumberFormat="1" applyFont="1" applyFill="1" applyAlignment="1">
      <alignment horizontal="left" vertical="center"/>
    </xf>
    <xf numFmtId="173" fontId="14" fillId="0" borderId="0" xfId="137" applyNumberFormat="1" applyFont="1" applyFill="1"/>
    <xf numFmtId="14" fontId="12" fillId="36" borderId="10" xfId="0" applyNumberFormat="1" applyFont="1" applyFill="1" applyBorder="1" applyAlignment="1">
      <alignment horizontal="center" vertical="center"/>
    </xf>
    <xf numFmtId="0" fontId="12" fillId="36" borderId="11" xfId="0" applyFont="1" applyFill="1" applyBorder="1" applyAlignment="1">
      <alignment horizontal="center" vertical="center"/>
    </xf>
    <xf numFmtId="165" fontId="38" fillId="3" borderId="0" xfId="0" applyNumberFormat="1" applyFont="1" applyFill="1" applyBorder="1" applyAlignment="1"/>
    <xf numFmtId="14" fontId="12" fillId="36" borderId="10" xfId="0" applyNumberFormat="1" applyFont="1" applyFill="1" applyBorder="1" applyAlignment="1">
      <alignment horizontal="center" vertical="center"/>
    </xf>
    <xf numFmtId="14" fontId="12" fillId="36" borderId="11" xfId="0" applyNumberFormat="1" applyFont="1" applyFill="1" applyBorder="1" applyAlignment="1">
      <alignment horizontal="center" vertical="center"/>
    </xf>
    <xf numFmtId="0" fontId="12" fillId="36" borderId="11" xfId="0" applyFont="1" applyFill="1" applyBorder="1" applyAlignment="1">
      <alignment horizontal="center" vertical="center"/>
    </xf>
    <xf numFmtId="0" fontId="0" fillId="3" borderId="0" xfId="0" applyFill="1" applyAlignment="1">
      <alignment wrapText="1"/>
    </xf>
    <xf numFmtId="0" fontId="0" fillId="3" borderId="0" xfId="0" applyFont="1" applyFill="1" applyAlignment="1">
      <alignment wrapText="1"/>
    </xf>
    <xf numFmtId="0" fontId="69" fillId="38" borderId="35" xfId="0" applyFont="1" applyFill="1" applyBorder="1" applyAlignment="1">
      <alignment horizontal="center" vertical="center"/>
    </xf>
    <xf numFmtId="0" fontId="0" fillId="0" borderId="36" xfId="0" applyBorder="1" applyAlignment="1">
      <alignment wrapText="1"/>
    </xf>
    <xf numFmtId="14" fontId="12" fillId="36" borderId="25" xfId="0" applyNumberFormat="1" applyFont="1" applyFill="1" applyBorder="1" applyAlignment="1">
      <alignment horizontal="center" vertical="center"/>
    </xf>
    <xf numFmtId="14" fontId="12" fillId="36" borderId="26" xfId="0" applyNumberFormat="1" applyFont="1" applyFill="1" applyBorder="1" applyAlignment="1">
      <alignment horizontal="center" vertical="center"/>
    </xf>
    <xf numFmtId="0" fontId="12" fillId="36" borderId="26" xfId="0" applyFont="1" applyFill="1" applyBorder="1" applyAlignment="1">
      <alignment horizontal="center" vertical="center"/>
    </xf>
    <xf numFmtId="0" fontId="15" fillId="2" borderId="0" xfId="0" applyNumberFormat="1" applyFont="1" applyFill="1" applyBorder="1" applyAlignment="1">
      <alignment horizontal="center"/>
    </xf>
    <xf numFmtId="14" fontId="12" fillId="36" borderId="10" xfId="0" applyNumberFormat="1" applyFont="1" applyFill="1" applyBorder="1" applyAlignment="1">
      <alignment horizontal="center" vertical="center"/>
    </xf>
    <xf numFmtId="0" fontId="12" fillId="36" borderId="11" xfId="0" applyFont="1" applyFill="1" applyBorder="1" applyAlignment="1">
      <alignment horizontal="center" vertical="center"/>
    </xf>
    <xf numFmtId="14" fontId="12" fillId="36" borderId="10" xfId="0" applyNumberFormat="1" applyFont="1" applyFill="1" applyBorder="1" applyAlignment="1">
      <alignment horizontal="center" vertical="center"/>
    </xf>
    <xf numFmtId="14" fontId="12" fillId="36" borderId="11" xfId="0" applyNumberFormat="1" applyFont="1" applyFill="1" applyBorder="1" applyAlignment="1">
      <alignment horizontal="center" vertical="center"/>
    </xf>
    <xf numFmtId="168" fontId="12" fillId="36" borderId="10" xfId="0" applyNumberFormat="1" applyFont="1" applyFill="1" applyBorder="1" applyAlignment="1">
      <alignment horizontal="center" vertical="center"/>
    </xf>
    <xf numFmtId="168" fontId="12" fillId="36" borderId="11" xfId="0" applyNumberFormat="1" applyFont="1" applyFill="1" applyBorder="1" applyAlignment="1">
      <alignment horizontal="center" vertical="center"/>
    </xf>
    <xf numFmtId="49" fontId="12" fillId="2" borderId="10" xfId="0" applyNumberFormat="1" applyFont="1" applyFill="1" applyBorder="1" applyAlignment="1">
      <alignment horizontal="center" vertical="center"/>
    </xf>
    <xf numFmtId="49" fontId="12" fillId="2" borderId="11" xfId="0" applyNumberFormat="1" applyFont="1" applyFill="1" applyBorder="1" applyAlignment="1">
      <alignment horizontal="center" vertical="center"/>
    </xf>
    <xf numFmtId="14" fontId="12" fillId="0" borderId="10" xfId="0" applyNumberFormat="1" applyFont="1" applyFill="1" applyBorder="1" applyAlignment="1">
      <alignment horizontal="center" vertical="center"/>
    </xf>
    <xf numFmtId="14" fontId="12" fillId="0" borderId="11" xfId="0" applyNumberFormat="1" applyFont="1" applyFill="1" applyBorder="1" applyAlignment="1">
      <alignment horizontal="center" vertical="center"/>
    </xf>
    <xf numFmtId="14" fontId="12" fillId="36" borderId="25" xfId="0" applyNumberFormat="1" applyFont="1" applyFill="1" applyBorder="1" applyAlignment="1">
      <alignment horizontal="center" vertical="center"/>
    </xf>
    <xf numFmtId="14" fontId="12" fillId="36" borderId="26" xfId="0" applyNumberFormat="1" applyFont="1" applyFill="1" applyBorder="1" applyAlignment="1">
      <alignment horizontal="center" vertical="center"/>
    </xf>
    <xf numFmtId="168" fontId="12" fillId="36" borderId="25" xfId="0" applyNumberFormat="1" applyFont="1" applyFill="1" applyBorder="1" applyAlignment="1">
      <alignment horizontal="center" vertical="center"/>
    </xf>
    <xf numFmtId="168" fontId="12" fillId="36" borderId="26" xfId="0" applyNumberFormat="1" applyFont="1" applyFill="1" applyBorder="1" applyAlignment="1">
      <alignment horizontal="center" vertical="center"/>
    </xf>
    <xf numFmtId="0" fontId="12" fillId="36" borderId="26" xfId="0" applyFont="1" applyFill="1" applyBorder="1" applyAlignment="1">
      <alignment horizontal="center" vertical="center"/>
    </xf>
    <xf numFmtId="14" fontId="12" fillId="2" borderId="29" xfId="0" applyNumberFormat="1" applyFont="1" applyFill="1" applyBorder="1" applyAlignment="1">
      <alignment horizontal="center" vertical="center"/>
    </xf>
    <xf numFmtId="14" fontId="12" fillId="2" borderId="30" xfId="0" applyNumberFormat="1" applyFont="1" applyFill="1" applyBorder="1" applyAlignment="1">
      <alignment horizontal="center" vertical="center"/>
    </xf>
    <xf numFmtId="14" fontId="12" fillId="0" borderId="29" xfId="0" applyNumberFormat="1" applyFont="1" applyFill="1" applyBorder="1" applyAlignment="1">
      <alignment horizontal="center" vertical="center"/>
    </xf>
    <xf numFmtId="14" fontId="12" fillId="0" borderId="30" xfId="0" applyNumberFormat="1" applyFont="1" applyFill="1" applyBorder="1" applyAlignment="1">
      <alignment horizontal="center" vertical="center"/>
    </xf>
    <xf numFmtId="14" fontId="12" fillId="36" borderId="33" xfId="0" applyNumberFormat="1" applyFont="1" applyFill="1" applyBorder="1" applyAlignment="1">
      <alignment horizontal="center" vertical="center"/>
    </xf>
    <xf numFmtId="14" fontId="12" fillId="36" borderId="34" xfId="0" applyNumberFormat="1" applyFont="1" applyFill="1" applyBorder="1" applyAlignment="1">
      <alignment horizontal="center" vertical="center"/>
    </xf>
    <xf numFmtId="168" fontId="12" fillId="36" borderId="33" xfId="0" applyNumberFormat="1" applyFont="1" applyFill="1" applyBorder="1" applyAlignment="1">
      <alignment horizontal="center" vertical="center"/>
    </xf>
    <xf numFmtId="168" fontId="12" fillId="36" borderId="34" xfId="0" applyNumberFormat="1" applyFont="1" applyFill="1" applyBorder="1" applyAlignment="1">
      <alignment horizontal="center" vertical="center"/>
    </xf>
    <xf numFmtId="14" fontId="12" fillId="2" borderId="10" xfId="0" applyNumberFormat="1" applyFont="1" applyFill="1" applyBorder="1" applyAlignment="1">
      <alignment horizontal="center" vertical="center"/>
    </xf>
    <xf numFmtId="0" fontId="12" fillId="2" borderId="11" xfId="0" applyFont="1" applyFill="1" applyBorder="1" applyAlignment="1">
      <alignment horizontal="center" vertical="center"/>
    </xf>
    <xf numFmtId="14" fontId="12" fillId="36" borderId="23" xfId="0" applyNumberFormat="1" applyFont="1" applyFill="1" applyBorder="1" applyAlignment="1">
      <alignment horizontal="center" vertical="center"/>
    </xf>
    <xf numFmtId="14" fontId="12" fillId="36" borderId="27" xfId="0" applyNumberFormat="1" applyFont="1" applyFill="1" applyBorder="1" applyAlignment="1">
      <alignment horizontal="center" vertical="center"/>
    </xf>
    <xf numFmtId="168" fontId="12" fillId="36" borderId="23" xfId="0" applyNumberFormat="1" applyFont="1" applyFill="1" applyBorder="1" applyAlignment="1">
      <alignment horizontal="center" vertical="center"/>
    </xf>
    <xf numFmtId="168" fontId="12" fillId="36" borderId="27" xfId="0" applyNumberFormat="1" applyFont="1" applyFill="1" applyBorder="1" applyAlignment="1">
      <alignment horizontal="center" vertical="center"/>
    </xf>
    <xf numFmtId="14" fontId="12" fillId="2" borderId="31" xfId="0" applyNumberFormat="1" applyFont="1" applyFill="1" applyBorder="1" applyAlignment="1">
      <alignment horizontal="center" vertical="center"/>
    </xf>
    <xf numFmtId="14" fontId="12" fillId="2" borderId="32" xfId="0" applyNumberFormat="1" applyFont="1" applyFill="1" applyBorder="1" applyAlignment="1">
      <alignment horizontal="center" vertical="center"/>
    </xf>
    <xf numFmtId="14" fontId="12" fillId="2" borderId="12" xfId="0" applyNumberFormat="1" applyFont="1" applyFill="1" applyBorder="1" applyAlignment="1">
      <alignment horizontal="center" vertical="center"/>
    </xf>
    <xf numFmtId="0" fontId="12" fillId="2" borderId="13" xfId="0" applyFont="1" applyFill="1" applyBorder="1" applyAlignment="1">
      <alignment horizontal="center" vertical="center"/>
    </xf>
    <xf numFmtId="14" fontId="12" fillId="2" borderId="11" xfId="0" applyNumberFormat="1" applyFont="1" applyFill="1" applyBorder="1" applyAlignment="1">
      <alignment horizontal="center" vertical="center"/>
    </xf>
    <xf numFmtId="14" fontId="12" fillId="3" borderId="10" xfId="0" applyNumberFormat="1" applyFont="1" applyFill="1" applyBorder="1" applyAlignment="1">
      <alignment horizontal="center" vertical="center"/>
    </xf>
    <xf numFmtId="14" fontId="12" fillId="3" borderId="11" xfId="0" applyNumberFormat="1" applyFont="1" applyFill="1" applyBorder="1" applyAlignment="1">
      <alignment horizontal="center" vertical="center"/>
    </xf>
    <xf numFmtId="0" fontId="35" fillId="35" borderId="12" xfId="130" applyFont="1" applyBorder="1">
      <alignment horizontal="center" vertical="center"/>
    </xf>
    <xf numFmtId="0" fontId="35" fillId="35" borderId="13" xfId="130" applyFont="1" applyBorder="1">
      <alignment horizontal="center" vertical="center"/>
    </xf>
    <xf numFmtId="14" fontId="15" fillId="37" borderId="10" xfId="0" applyNumberFormat="1" applyFont="1" applyFill="1" applyBorder="1" applyAlignment="1">
      <alignment horizontal="center" vertical="center" wrapText="1"/>
    </xf>
    <xf numFmtId="0" fontId="15" fillId="37" borderId="11" xfId="0" applyFont="1" applyFill="1" applyBorder="1" applyAlignment="1">
      <alignment horizontal="center" vertical="center" wrapText="1"/>
    </xf>
    <xf numFmtId="14" fontId="40" fillId="37" borderId="23" xfId="0" applyNumberFormat="1" applyFont="1" applyFill="1" applyBorder="1" applyAlignment="1">
      <alignment horizontal="center" vertical="center" wrapText="1"/>
    </xf>
    <xf numFmtId="14" fontId="40" fillId="37" borderId="27" xfId="0" applyNumberFormat="1" applyFont="1" applyFill="1" applyBorder="1" applyAlignment="1">
      <alignment horizontal="center" vertical="center" wrapText="1"/>
    </xf>
    <xf numFmtId="0" fontId="36" fillId="0" borderId="0" xfId="0" applyFont="1" applyFill="1" applyBorder="1" applyAlignment="1">
      <alignment horizontal="center" vertical="center"/>
    </xf>
    <xf numFmtId="14" fontId="15" fillId="37" borderId="12" xfId="0" applyNumberFormat="1" applyFont="1" applyFill="1" applyBorder="1" applyAlignment="1">
      <alignment horizontal="center" vertical="center" wrapText="1"/>
    </xf>
    <xf numFmtId="0" fontId="15" fillId="37" borderId="13" xfId="0" applyFont="1" applyFill="1" applyBorder="1" applyAlignment="1">
      <alignment horizontal="center" vertical="center" wrapText="1"/>
    </xf>
    <xf numFmtId="14" fontId="40" fillId="37" borderId="12" xfId="0" applyNumberFormat="1" applyFont="1" applyFill="1" applyBorder="1" applyAlignment="1">
      <alignment horizontal="center" vertical="center" wrapText="1"/>
    </xf>
    <xf numFmtId="0" fontId="40" fillId="37" borderId="13" xfId="0" applyFont="1" applyFill="1" applyBorder="1" applyAlignment="1">
      <alignment horizontal="center" vertical="center" wrapText="1"/>
    </xf>
    <xf numFmtId="14" fontId="15" fillId="37" borderId="23" xfId="0" applyNumberFormat="1" applyFont="1" applyFill="1" applyBorder="1" applyAlignment="1">
      <alignment horizontal="center" vertical="center" wrapText="1"/>
    </xf>
    <xf numFmtId="14" fontId="15" fillId="37" borderId="27" xfId="0" applyNumberFormat="1" applyFont="1" applyFill="1" applyBorder="1" applyAlignment="1">
      <alignment horizontal="center" vertical="center" wrapText="1"/>
    </xf>
    <xf numFmtId="14" fontId="12" fillId="36" borderId="29" xfId="0" applyNumberFormat="1" applyFont="1" applyFill="1" applyBorder="1" applyAlignment="1">
      <alignment horizontal="center" vertical="center"/>
    </xf>
    <xf numFmtId="14" fontId="12" fillId="36" borderId="30" xfId="0" applyNumberFormat="1" applyFont="1" applyFill="1" applyBorder="1" applyAlignment="1">
      <alignment horizontal="center" vertical="center"/>
    </xf>
    <xf numFmtId="168" fontId="12" fillId="36" borderId="29" xfId="0" applyNumberFormat="1" applyFont="1" applyFill="1" applyBorder="1" applyAlignment="1">
      <alignment horizontal="center" vertical="center"/>
    </xf>
    <xf numFmtId="168" fontId="12" fillId="36" borderId="30" xfId="0" applyNumberFormat="1" applyFont="1" applyFill="1" applyBorder="1" applyAlignment="1">
      <alignment horizontal="center" vertical="center"/>
    </xf>
    <xf numFmtId="0" fontId="12" fillId="36" borderId="11" xfId="0" applyFont="1" applyFill="1" applyBorder="1" applyAlignment="1">
      <alignment horizontal="center" vertical="center"/>
    </xf>
    <xf numFmtId="14" fontId="12" fillId="0" borderId="12" xfId="0" applyNumberFormat="1" applyFont="1" applyFill="1" applyBorder="1" applyAlignment="1">
      <alignment horizontal="center" vertical="center"/>
    </xf>
    <xf numFmtId="0" fontId="12" fillId="0" borderId="13" xfId="0" applyFont="1" applyFill="1" applyBorder="1" applyAlignment="1">
      <alignment horizontal="center" vertical="center"/>
    </xf>
    <xf numFmtId="0" fontId="35" fillId="35" borderId="12" xfId="130" applyBorder="1">
      <alignment horizontal="center" vertical="center"/>
    </xf>
    <xf numFmtId="0" fontId="35" fillId="35" borderId="13" xfId="130" applyBorder="1">
      <alignment horizontal="center" vertical="center"/>
    </xf>
    <xf numFmtId="14" fontId="15" fillId="2" borderId="10" xfId="0" applyNumberFormat="1" applyFont="1" applyFill="1" applyBorder="1" applyAlignment="1">
      <alignment horizontal="center" vertical="center"/>
    </xf>
    <xf numFmtId="0" fontId="15" fillId="2" borderId="11" xfId="0" applyFont="1" applyFill="1" applyBorder="1" applyAlignment="1">
      <alignment horizontal="center" vertical="center"/>
    </xf>
    <xf numFmtId="14" fontId="15" fillId="2" borderId="12" xfId="0" applyNumberFormat="1" applyFont="1" applyFill="1" applyBorder="1" applyAlignment="1">
      <alignment horizontal="center" vertical="center"/>
    </xf>
    <xf numFmtId="0" fontId="15" fillId="2" borderId="13" xfId="0" applyFont="1" applyFill="1" applyBorder="1" applyAlignment="1">
      <alignment horizontal="center" vertical="center"/>
    </xf>
    <xf numFmtId="14" fontId="15" fillId="2" borderId="23" xfId="0" applyNumberFormat="1" applyFont="1" applyFill="1" applyBorder="1" applyAlignment="1">
      <alignment horizontal="center" vertical="center"/>
    </xf>
    <xf numFmtId="14" fontId="15" fillId="2" borderId="27" xfId="0" applyNumberFormat="1" applyFont="1" applyFill="1" applyBorder="1" applyAlignment="1">
      <alignment horizontal="center" vertical="center"/>
    </xf>
    <xf numFmtId="14" fontId="40" fillId="3" borderId="10" xfId="0" applyNumberFormat="1" applyFont="1" applyFill="1" applyBorder="1" applyAlignment="1">
      <alignment horizontal="center" vertical="center" wrapText="1"/>
    </xf>
    <xf numFmtId="0" fontId="40" fillId="3" borderId="11" xfId="0" applyFont="1" applyFill="1" applyBorder="1" applyAlignment="1">
      <alignment horizontal="center" vertical="center" wrapText="1"/>
    </xf>
    <xf numFmtId="169" fontId="40" fillId="0" borderId="23" xfId="0" applyNumberFormat="1" applyFont="1" applyFill="1" applyBorder="1" applyAlignment="1">
      <alignment horizontal="center" vertical="center" wrapText="1"/>
    </xf>
    <xf numFmtId="169" fontId="40" fillId="0" borderId="27" xfId="0" applyNumberFormat="1" applyFont="1" applyFill="1" applyBorder="1" applyAlignment="1">
      <alignment horizontal="center" vertical="center" wrapText="1"/>
    </xf>
    <xf numFmtId="14" fontId="40" fillId="0" borderId="23" xfId="0" applyNumberFormat="1" applyFont="1" applyFill="1" applyBorder="1" applyAlignment="1">
      <alignment horizontal="center" vertical="center" wrapText="1"/>
    </xf>
    <xf numFmtId="14" fontId="40" fillId="0" borderId="27" xfId="0" applyNumberFormat="1" applyFont="1" applyFill="1" applyBorder="1" applyAlignment="1">
      <alignment horizontal="center" vertical="center" wrapText="1"/>
    </xf>
    <xf numFmtId="14" fontId="40" fillId="3" borderId="12" xfId="0" applyNumberFormat="1" applyFont="1" applyFill="1" applyBorder="1" applyAlignment="1">
      <alignment horizontal="center" vertical="center"/>
    </xf>
    <xf numFmtId="0" fontId="40" fillId="3" borderId="13" xfId="0" applyFont="1" applyFill="1" applyBorder="1" applyAlignment="1">
      <alignment horizontal="center" vertical="center"/>
    </xf>
    <xf numFmtId="167" fontId="12" fillId="36" borderId="29" xfId="0" applyNumberFormat="1" applyFont="1" applyFill="1" applyBorder="1" applyAlignment="1">
      <alignment horizontal="center" vertical="center"/>
    </xf>
    <xf numFmtId="167" fontId="12" fillId="36" borderId="30" xfId="0" applyNumberFormat="1" applyFont="1" applyFill="1" applyBorder="1" applyAlignment="1">
      <alignment horizontal="center" vertical="center"/>
    </xf>
    <xf numFmtId="167" fontId="12" fillId="36" borderId="10" xfId="0" applyNumberFormat="1" applyFont="1" applyFill="1" applyBorder="1" applyAlignment="1">
      <alignment horizontal="center" vertical="center"/>
    </xf>
    <xf numFmtId="167" fontId="12" fillId="36" borderId="11" xfId="0" applyNumberFormat="1" applyFont="1" applyFill="1" applyBorder="1" applyAlignment="1">
      <alignment horizontal="center" vertical="center"/>
    </xf>
    <xf numFmtId="167" fontId="12" fillId="36" borderId="25" xfId="0" applyNumberFormat="1" applyFont="1" applyFill="1" applyBorder="1" applyAlignment="1">
      <alignment horizontal="center" vertical="center"/>
    </xf>
    <xf numFmtId="167" fontId="12" fillId="36" borderId="26" xfId="0" applyNumberFormat="1" applyFont="1" applyFill="1" applyBorder="1" applyAlignment="1">
      <alignment horizontal="center" vertical="center"/>
    </xf>
    <xf numFmtId="167" fontId="12" fillId="36" borderId="23" xfId="0" applyNumberFormat="1" applyFont="1" applyFill="1" applyBorder="1" applyAlignment="1">
      <alignment horizontal="center" vertical="center"/>
    </xf>
    <xf numFmtId="167" fontId="12" fillId="36" borderId="27" xfId="0" applyNumberFormat="1" applyFont="1" applyFill="1" applyBorder="1" applyAlignment="1">
      <alignment horizontal="center" vertical="center"/>
    </xf>
    <xf numFmtId="1" fontId="12" fillId="2" borderId="29" xfId="0" applyNumberFormat="1" applyFont="1" applyFill="1" applyBorder="1" applyAlignment="1">
      <alignment horizontal="center" vertical="center"/>
    </xf>
    <xf numFmtId="1" fontId="12" fillId="2" borderId="30" xfId="0" applyNumberFormat="1" applyFont="1" applyFill="1" applyBorder="1" applyAlignment="1">
      <alignment horizontal="center" vertical="center"/>
    </xf>
    <xf numFmtId="14" fontId="15" fillId="2" borderId="10" xfId="0" applyNumberFormat="1" applyFont="1" applyFill="1" applyBorder="1" applyAlignment="1">
      <alignment horizontal="center" vertical="center" wrapText="1"/>
    </xf>
    <xf numFmtId="0" fontId="15" fillId="2" borderId="11" xfId="0" applyFont="1" applyFill="1" applyBorder="1" applyAlignment="1">
      <alignment horizontal="center" vertical="center" wrapText="1"/>
    </xf>
    <xf numFmtId="14" fontId="15" fillId="2" borderId="12" xfId="0" applyNumberFormat="1" applyFont="1" applyFill="1" applyBorder="1" applyAlignment="1">
      <alignment horizontal="center" vertical="center" wrapText="1"/>
    </xf>
    <xf numFmtId="0" fontId="15" fillId="2" borderId="13" xfId="0" applyFont="1" applyFill="1" applyBorder="1" applyAlignment="1">
      <alignment horizontal="center" vertical="center" wrapText="1"/>
    </xf>
    <xf numFmtId="1" fontId="12" fillId="2" borderId="10" xfId="0" applyNumberFormat="1" applyFont="1" applyFill="1" applyBorder="1" applyAlignment="1">
      <alignment horizontal="center" vertical="center"/>
    </xf>
    <xf numFmtId="14" fontId="15" fillId="2" borderId="23" xfId="0" applyNumberFormat="1" applyFont="1" applyFill="1" applyBorder="1" applyAlignment="1">
      <alignment horizontal="center" vertical="center" wrapText="1"/>
    </xf>
    <xf numFmtId="14" fontId="15" fillId="2" borderId="27" xfId="0" applyNumberFormat="1" applyFont="1" applyFill="1" applyBorder="1" applyAlignment="1">
      <alignment horizontal="center" vertical="center" wrapText="1"/>
    </xf>
  </cellXfs>
  <cellStyles count="139">
    <cellStyle name="20% — акцент1" xfId="19" builtinId="30" customBuiltin="1"/>
    <cellStyle name="20% — акцент1 2" xfId="46"/>
    <cellStyle name="20% — акцент1 3" xfId="60"/>
    <cellStyle name="20% — акцент1 4" xfId="74"/>
    <cellStyle name="20% — акцент1 5" xfId="88"/>
    <cellStyle name="20% — акцент1 6" xfId="102"/>
    <cellStyle name="20% — акцент1 7" xfId="116"/>
    <cellStyle name="20% — акцент2" xfId="23" builtinId="34" customBuiltin="1"/>
    <cellStyle name="20% — акцент2 2" xfId="48"/>
    <cellStyle name="20% — акцент2 3" xfId="62"/>
    <cellStyle name="20% — акцент2 4" xfId="76"/>
    <cellStyle name="20% — акцент2 5" xfId="90"/>
    <cellStyle name="20% — акцент2 6" xfId="104"/>
    <cellStyle name="20% — акцент2 7" xfId="118"/>
    <cellStyle name="20% — акцент3" xfId="27" builtinId="38" customBuiltin="1"/>
    <cellStyle name="20% — акцент3 2" xfId="50"/>
    <cellStyle name="20% — акцент3 3" xfId="64"/>
    <cellStyle name="20% — акцент3 4" xfId="78"/>
    <cellStyle name="20% — акцент3 5" xfId="92"/>
    <cellStyle name="20% — акцент3 6" xfId="106"/>
    <cellStyle name="20% — акцент3 7" xfId="120"/>
    <cellStyle name="20% — акцент4" xfId="31" builtinId="42" customBuiltin="1"/>
    <cellStyle name="20% — акцент4 2" xfId="52"/>
    <cellStyle name="20% — акцент4 3" xfId="66"/>
    <cellStyle name="20% — акцент4 4" xfId="80"/>
    <cellStyle name="20% — акцент4 5" xfId="94"/>
    <cellStyle name="20% — акцент4 6" xfId="108"/>
    <cellStyle name="20% — акцент4 7" xfId="122"/>
    <cellStyle name="20% — акцент5" xfId="35" builtinId="46" customBuiltin="1"/>
    <cellStyle name="20% — акцент5 2" xfId="54"/>
    <cellStyle name="20% — акцент5 3" xfId="68"/>
    <cellStyle name="20% — акцент5 4" xfId="82"/>
    <cellStyle name="20% — акцент5 5" xfId="96"/>
    <cellStyle name="20% — акцент5 6" xfId="110"/>
    <cellStyle name="20% — акцент5 7" xfId="124"/>
    <cellStyle name="20% — акцент6" xfId="39" builtinId="50" customBuiltin="1"/>
    <cellStyle name="20% — акцент6 2" xfId="56"/>
    <cellStyle name="20% — акцент6 3" xfId="70"/>
    <cellStyle name="20% — акцент6 4" xfId="84"/>
    <cellStyle name="20% — акцент6 5" xfId="98"/>
    <cellStyle name="20% — акцент6 6" xfId="112"/>
    <cellStyle name="20% — акцент6 7" xfId="126"/>
    <cellStyle name="40% — акцент1" xfId="20" builtinId="31" customBuiltin="1"/>
    <cellStyle name="40% — акцент1 2" xfId="47"/>
    <cellStyle name="40% — акцент1 3" xfId="61"/>
    <cellStyle name="40% — акцент1 4" xfId="75"/>
    <cellStyle name="40% — акцент1 5" xfId="89"/>
    <cellStyle name="40% — акцент1 6" xfId="103"/>
    <cellStyle name="40% — акцент1 7" xfId="117"/>
    <cellStyle name="40% — акцент2" xfId="24" builtinId="35" customBuiltin="1"/>
    <cellStyle name="40% — акцент2 2" xfId="49"/>
    <cellStyle name="40% — акцент2 3" xfId="63"/>
    <cellStyle name="40% — акцент2 4" xfId="77"/>
    <cellStyle name="40% — акцент2 5" xfId="91"/>
    <cellStyle name="40% — акцент2 6" xfId="105"/>
    <cellStyle name="40% — акцент2 7" xfId="119"/>
    <cellStyle name="40% — акцент3" xfId="28" builtinId="39" customBuiltin="1"/>
    <cellStyle name="40% — акцент3 2" xfId="51"/>
    <cellStyle name="40% — акцент3 3" xfId="65"/>
    <cellStyle name="40% — акцент3 4" xfId="79"/>
    <cellStyle name="40% — акцент3 5" xfId="93"/>
    <cellStyle name="40% — акцент3 6" xfId="107"/>
    <cellStyle name="40% — акцент3 7" xfId="121"/>
    <cellStyle name="40% — акцент4" xfId="32" builtinId="43" customBuiltin="1"/>
    <cellStyle name="40% — акцент4 2" xfId="53"/>
    <cellStyle name="40% — акцент4 3" xfId="67"/>
    <cellStyle name="40% — акцент4 4" xfId="81"/>
    <cellStyle name="40% — акцент4 5" xfId="95"/>
    <cellStyle name="40% — акцент4 6" xfId="109"/>
    <cellStyle name="40% — акцент4 7" xfId="123"/>
    <cellStyle name="40% — акцент5" xfId="36" builtinId="47" customBuiltin="1"/>
    <cellStyle name="40% — акцент5 2" xfId="55"/>
    <cellStyle name="40% — акцент5 3" xfId="69"/>
    <cellStyle name="40% — акцент5 4" xfId="83"/>
    <cellStyle name="40% — акцент5 5" xfId="97"/>
    <cellStyle name="40% — акцент5 6" xfId="111"/>
    <cellStyle name="40% — акцент5 7" xfId="125"/>
    <cellStyle name="40% — акцент6" xfId="40" builtinId="51" customBuiltin="1"/>
    <cellStyle name="40% — акцент6 2" xfId="57"/>
    <cellStyle name="40% — акцент6 3" xfId="71"/>
    <cellStyle name="40% — акцент6 4" xfId="85"/>
    <cellStyle name="40% — акцент6 5" xfId="99"/>
    <cellStyle name="40% — акцент6 6" xfId="113"/>
    <cellStyle name="40% — акцент6 7" xfId="127"/>
    <cellStyle name="60% — акцент1" xfId="21" builtinId="32" customBuiltin="1"/>
    <cellStyle name="60% — акцент2" xfId="25" builtinId="36" customBuiltin="1"/>
    <cellStyle name="60% — акцент3" xfId="29" builtinId="40" customBuiltin="1"/>
    <cellStyle name="60% — акцент4" xfId="33" builtinId="44" customBuiltin="1"/>
    <cellStyle name="60% — акцент5" xfId="37" builtinId="48" customBuiltin="1"/>
    <cellStyle name="60% — акцент6" xfId="41" builtinId="52" customBuiltin="1"/>
    <cellStyle name="Акцент1" xfId="18" builtinId="29" customBuiltin="1"/>
    <cellStyle name="Акцент2" xfId="22" builtinId="33" customBuiltin="1"/>
    <cellStyle name="Акцент3" xfId="26" builtinId="37" customBuiltin="1"/>
    <cellStyle name="Акцент4" xfId="30" builtinId="41" customBuiltin="1"/>
    <cellStyle name="Акцент5" xfId="34" builtinId="45" customBuiltin="1"/>
    <cellStyle name="Акцент6" xfId="38" builtinId="49" customBuiltin="1"/>
    <cellStyle name="Ввод " xfId="10" builtinId="20" customBuiltin="1"/>
    <cellStyle name="Вывод" xfId="11" builtinId="21" customBuiltin="1"/>
    <cellStyle name="Вычисление" xfId="12" builtinId="22" customBuiltin="1"/>
    <cellStyle name="Заголовок 1" xfId="3" builtinId="16" customBuiltin="1"/>
    <cellStyle name="Заголовок 2" xfId="4" builtinId="17" customBuiltin="1"/>
    <cellStyle name="Заголовок 3" xfId="5" builtinId="18" customBuiltin="1"/>
    <cellStyle name="Заголовок 4" xfId="6" builtinId="19" customBuiltin="1"/>
    <cellStyle name="Заливон" xfId="130"/>
    <cellStyle name="Итог" xfId="17" builtinId="25" customBuiltin="1"/>
    <cellStyle name="Контрольная ячейка" xfId="14" builtinId="23" customBuiltin="1"/>
    <cellStyle name="Название" xfId="2" builtinId="15" customBuiltin="1"/>
    <cellStyle name="Нейтральный" xfId="9" builtinId="28" customBuiltin="1"/>
    <cellStyle name="Обычный" xfId="0" builtinId="0"/>
    <cellStyle name="Обычный 10" xfId="128"/>
    <cellStyle name="Обычный 11" xfId="129"/>
    <cellStyle name="Обычный 12" xfId="131"/>
    <cellStyle name="Обычный 13" xfId="133"/>
    <cellStyle name="Обычный 13 2" xfId="134"/>
    <cellStyle name="Обычный 14" xfId="136"/>
    <cellStyle name="Обычный 2" xfId="42"/>
    <cellStyle name="Обычный 3" xfId="1"/>
    <cellStyle name="Обычный 4" xfId="44"/>
    <cellStyle name="Обычный 5" xfId="58"/>
    <cellStyle name="Обычный 6" xfId="72"/>
    <cellStyle name="Обычный 7" xfId="86"/>
    <cellStyle name="Обычный 8" xfId="100"/>
    <cellStyle name="Обычный 9" xfId="114"/>
    <cellStyle name="Плохой" xfId="8" builtinId="27" customBuiltin="1"/>
    <cellStyle name="Пояснение" xfId="16" builtinId="53" customBuiltin="1"/>
    <cellStyle name="Примечание 2" xfId="43"/>
    <cellStyle name="Примечание 3" xfId="45"/>
    <cellStyle name="Примечание 4" xfId="59"/>
    <cellStyle name="Примечание 5" xfId="73"/>
    <cellStyle name="Примечание 6" xfId="87"/>
    <cellStyle name="Примечание 7" xfId="101"/>
    <cellStyle name="Примечание 8" xfId="115"/>
    <cellStyle name="Процентный" xfId="137" builtinId="5"/>
    <cellStyle name="Процентный 2" xfId="132"/>
    <cellStyle name="Связанная ячейка" xfId="13" builtinId="24" customBuiltin="1"/>
    <cellStyle name="Текст предупреждения" xfId="15" builtinId="11" customBuiltin="1"/>
    <cellStyle name="Финансовый" xfId="138" builtinId="3"/>
    <cellStyle name="Финансовый 2" xfId="135"/>
    <cellStyle name="Хороший" xfId="7" builtinId="26" customBuiltin="1"/>
  </cellStyles>
  <dxfs count="0"/>
  <tableStyles count="0" defaultTableStyle="TableStyleMedium9" defaultPivotStyle="PivotStyleLight16"/>
  <colors>
    <mruColors>
      <color rgb="FF0087E2"/>
      <color rgb="FF00CCFF"/>
      <color rgb="FFFFCCCC"/>
      <color rgb="FF28CACA"/>
      <color rgb="FFFF63A4"/>
      <color rgb="FF29B8FF"/>
      <color rgb="FFFFFFCD"/>
      <color rgb="FFECEADC"/>
      <color rgb="FFF2C4C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145677</xdr:colOff>
      <xdr:row>0</xdr:row>
      <xdr:rowOff>0</xdr:rowOff>
    </xdr:from>
    <xdr:to>
      <xdr:col>1</xdr:col>
      <xdr:colOff>1986829</xdr:colOff>
      <xdr:row>1</xdr:row>
      <xdr:rowOff>16555</xdr:rowOff>
    </xdr:to>
    <xdr:pic>
      <xdr:nvPicPr>
        <xdr:cNvPr id="3" name="Рисунок 2"/>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06824" y="0"/>
          <a:ext cx="1841152" cy="6889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313765</xdr:colOff>
      <xdr:row>0</xdr:row>
      <xdr:rowOff>21167</xdr:rowOff>
    </xdr:from>
    <xdr:to>
      <xdr:col>1</xdr:col>
      <xdr:colOff>2154917</xdr:colOff>
      <xdr:row>1</xdr:row>
      <xdr:rowOff>75698</xdr:rowOff>
    </xdr:to>
    <xdr:pic>
      <xdr:nvPicPr>
        <xdr:cNvPr id="3" name="Рисунок 2"/>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94765" y="21167"/>
          <a:ext cx="1841152" cy="6895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235322</xdr:colOff>
      <xdr:row>0</xdr:row>
      <xdr:rowOff>0</xdr:rowOff>
    </xdr:from>
    <xdr:to>
      <xdr:col>1</xdr:col>
      <xdr:colOff>2076474</xdr:colOff>
      <xdr:row>1</xdr:row>
      <xdr:rowOff>128614</xdr:rowOff>
    </xdr:to>
    <xdr:pic>
      <xdr:nvPicPr>
        <xdr:cNvPr id="5" name="Рисунок 4"/>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96469" y="0"/>
          <a:ext cx="1841152" cy="6889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224117</xdr:colOff>
      <xdr:row>0</xdr:row>
      <xdr:rowOff>0</xdr:rowOff>
    </xdr:from>
    <xdr:to>
      <xdr:col>1</xdr:col>
      <xdr:colOff>2065269</xdr:colOff>
      <xdr:row>1</xdr:row>
      <xdr:rowOff>128614</xdr:rowOff>
    </xdr:to>
    <xdr:pic>
      <xdr:nvPicPr>
        <xdr:cNvPr id="4" name="Рисунок 3"/>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85264" y="0"/>
          <a:ext cx="1841152" cy="688908"/>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ir@bspb.ru"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ir@bspb.ru"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mailto:ir@bspb.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3"/>
  <sheetViews>
    <sheetView showGridLines="0" workbookViewId="0">
      <selection activeCell="B2" sqref="B2"/>
    </sheetView>
  </sheetViews>
  <sheetFormatPr defaultRowHeight="12.75" x14ac:dyDescent="0.2"/>
  <cols>
    <col min="2" max="2" width="110" customWidth="1"/>
  </cols>
  <sheetData>
    <row r="1" spans="2:2" ht="13.5" thickBot="1" x14ac:dyDescent="0.25"/>
    <row r="2" spans="2:2" ht="299.25" customHeight="1" thickTop="1" thickBot="1" x14ac:dyDescent="0.25">
      <c r="B2" s="249" t="str">
        <f>IF(Main!$G$2=Main!$H$2,E!B103,'R'!B103)</f>
        <v>ОГРАНИЧЕНИЕ ОТВЕТСТВЕННОСТИ
НАСТОЯЩИЙ МАТЕРИАЛ СОДЕРЖИТ ЗАЯВЛЕНИЯ ПРОГНОЗНОГО ХАРАКТЕРА ОТНОСИТЕЛЬНО БУДУЩИХ СОБЫТИЙ И ФИНАНСОВЫХ ПОКАЗАТЕЛЕЙ ПАО "БАНК "САНКТ-ПЕТЕРБУРГ" (ДАЛЕЕ – «БАНК»). ТАКИЕ ПРОГНОЗНЫЕ ЗАЯВЛЕНИЯ ОСНОВАНЫ НА ТЕКУЩИХ ОЖИДАНИЯХ И ПРЕДПОЛОЖЕНИЯХ РУКОВОДСТВА БАНКА, ЯВЛЯЮТСЯ ДОБРОСОВЕСТНЫМИ И ОТРАЖАЮТ ИМЕЮЩУЮСЯ НА ДАННЫЙ МОМЕНТ ИНФОРМАЦИЮ. ОДНАКО ФАКТИЧЕСКИЕ РЕЗУЛЬТАТЫ МОГУТ СУЩЕСТВЕННО ОТЛИЧАТЬСЯ ОТ ПРОГНОЗИРУЕМЫХ В СИЛУ РАЗЛИЧНЫХ ФАКТОРОВ, ВКЛЮЧАЯ, НО НЕ ОГРАНИЧИВАЯСЬ: ИЗМЕНЕНИЯ РЫНОЧНОЙ КОНЪЮНКТУРЫ, ДЕЙСТВИЯ РЕГУЛЯТОРОВ, МАКРОЭКОНОМИЧЕСКИЕ УСЛОВИЯ И ДРУГИЕ РИСКИ, ХАРАКТЕРНЫЕ ДЛЯ БАНКОВСКОЙ ДЕЯТЕЛЬНОСТИ. 
ИНФОРМАЦИЯ, СОДЕРЖАЩАЯСЯ В ДАННОМ МАТЕРИАЛЕ, НЕ ПОДВЕРГАЛАСЬ НЕЗАВИСИМОЙ ПРОВЕРКЕ ИЛИ АУДИТУ И МОЖЕТ ВКЛЮЧАТЬ ПРЕДВАРИТЕЛЬНЫЕ ДАННЫЕ. ПРЕДСТАВЛЕННЫЕ В МАТЕРИАЛЕ ПОКАЗАТЕЛИ РАССЧИТАНЫ В СООТВЕТСТВИИ С ДЕЙСТВУЮЩЕЙ МЕТОДОЛОГИЕЙ ИХ РАСЧЕТА И УЧЕТА, КОТОРАЯ МОЖЕТ БЫТЬ ИЗМЕНЕНА В БУДУЩЕМ. В СЛУЧАЕ ИЗМЕНЕНИЯ МЕТОДОЛОГИИ, ПОЯВЛЕНИЯ НОВОЙ ИНФОРМАЦИИ ИЛИ ПО ИНЫМ ОСНОВАНИЯМ СООТВЕТСТВУЮЩИЕ ПОКАЗАТЕЛИ МОГУТ БЫТЬ ПЕРЕСЧИТАНЫ ИЛИ ОБНОВЛЕНЫ. 
НАСТОЯЩИЙ МАТЕРИАЛ НЕ ЯВЛЯЕТСЯ ОФЕРТОЙ ИЛИ РЕКОМЕНДАЦИЕЙ В ОТНОШЕНИИ ПОКУПКИ ИЛИ ПРОДАЖИ КАКИХ-ЛИБО ЦЕННЫХ БУМАГ БАНКА И НЕ ДОЛЖЕН РАССМАТРИВАТЬСЯ КАК ОСНОВАНИЕ ДЛЯ ПРИНЯТИЯ ИНВЕСТИЦИОННЫХ РЕШЕНИЙ. 
ДО МОМЕНТА ОФИЦИАЛЬНОЙ ПУБЛИКАЦИИ СОДЕРЖАЩАЯСЯ В МАТЕРИАЛЕ ИНФОРМАЦИЯ МОЖЕТ ЯВЛЯТЬСЯ ИНСАЙДЕРСКОЙ В СООТВЕТСТВИИ С ДЕЙСТВУЮЩИМ ЗАКОНОДАТЕЛЬСТВОМ.</v>
      </c>
    </row>
    <row r="3" spans="2:2" ht="13.5" thickTop="1" x14ac:dyDescent="0.2"/>
  </sheetData>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449"/>
  <sheetViews>
    <sheetView showGridLines="0" tabSelected="1" zoomScale="85" zoomScaleNormal="85" workbookViewId="0">
      <selection activeCell="N15" sqref="N15"/>
    </sheetView>
  </sheetViews>
  <sheetFormatPr defaultRowHeight="14.1" customHeight="1" x14ac:dyDescent="0.2"/>
  <cols>
    <col min="1" max="1" width="9.85546875" style="1" customWidth="1"/>
    <col min="2" max="2" width="33.28515625" customWidth="1"/>
    <col min="3" max="4" width="9.85546875" customWidth="1"/>
    <col min="5" max="5" width="13.5703125" customWidth="1"/>
    <col min="6" max="6" width="24.5703125" customWidth="1"/>
    <col min="7" max="7" width="18.28515625" customWidth="1"/>
    <col min="8" max="10" width="9.85546875" customWidth="1"/>
    <col min="11" max="11" width="11" customWidth="1"/>
    <col min="12" max="13" width="9.85546875" customWidth="1"/>
    <col min="14" max="18" width="11" customWidth="1"/>
    <col min="19" max="19" width="11" style="1" customWidth="1"/>
    <col min="20" max="20" width="10.28515625" style="1" bestFit="1" customWidth="1"/>
    <col min="21" max="35" width="9.140625" style="1"/>
  </cols>
  <sheetData>
    <row r="1" spans="2:36" ht="52.5" customHeight="1" x14ac:dyDescent="0.2">
      <c r="B1" s="48"/>
      <c r="C1" s="49"/>
      <c r="D1" s="49"/>
      <c r="E1" s="50"/>
      <c r="F1" s="49"/>
      <c r="G1" s="49"/>
      <c r="H1" s="49"/>
      <c r="I1" s="49"/>
      <c r="J1" s="51"/>
      <c r="K1" s="5"/>
      <c r="L1" s="5"/>
      <c r="M1" s="5"/>
      <c r="N1" s="5"/>
      <c r="O1" s="5"/>
      <c r="P1" s="5"/>
      <c r="Q1" s="5"/>
      <c r="R1" s="5"/>
    </row>
    <row r="2" spans="2:36" ht="19.5" customHeight="1" x14ac:dyDescent="0.3">
      <c r="B2" s="69" t="str">
        <f ca="1">IF($G$2=$H$2,E!B78,'R'!B78)</f>
        <v>Вспомогательная финансовая информация за 5M 2026 по РСБУ</v>
      </c>
      <c r="C2" s="52"/>
      <c r="D2" s="52"/>
      <c r="F2" s="70" t="str">
        <f>IF(G2="English","Choose a language:","Выберите язык:")</f>
        <v>Выберите язык:</v>
      </c>
      <c r="G2" s="248" t="s">
        <v>55</v>
      </c>
      <c r="H2" s="53" t="s">
        <v>56</v>
      </c>
      <c r="I2" s="52"/>
      <c r="J2" s="54"/>
      <c r="K2" s="5"/>
      <c r="L2" s="5"/>
      <c r="M2" s="5"/>
      <c r="N2" s="5"/>
      <c r="O2" s="5"/>
      <c r="P2" s="5"/>
      <c r="Q2" s="5"/>
      <c r="R2" s="5"/>
    </row>
    <row r="3" spans="2:36" ht="13.5" customHeight="1" x14ac:dyDescent="0.3">
      <c r="B3" s="69" t="str">
        <f>IF($G$2=$H$2,E!B79,'R'!B79)</f>
        <v>Показатели рассчитаны по внутренней методике ПАО «Банк «Санкт-Петербург», действующей на момент публикации</v>
      </c>
      <c r="C3" s="52"/>
      <c r="D3" s="52"/>
      <c r="F3" s="52"/>
      <c r="G3" s="52"/>
      <c r="H3" s="53" t="s">
        <v>55</v>
      </c>
      <c r="I3" s="52"/>
      <c r="J3" s="54"/>
      <c r="K3" s="5"/>
      <c r="L3" s="5"/>
      <c r="M3" s="5"/>
      <c r="N3" s="5"/>
      <c r="O3" s="5"/>
      <c r="P3" s="5"/>
      <c r="Q3" s="5"/>
      <c r="R3" s="5"/>
    </row>
    <row r="4" spans="2:36" ht="13.5" customHeight="1" x14ac:dyDescent="0.2">
      <c r="B4" s="55"/>
      <c r="C4" s="52"/>
      <c r="D4" s="52"/>
      <c r="E4" s="52"/>
      <c r="F4" s="52"/>
      <c r="G4" s="56"/>
      <c r="H4" s="52"/>
      <c r="I4" s="52"/>
      <c r="J4" s="54"/>
      <c r="K4" s="5"/>
      <c r="L4" s="5"/>
      <c r="M4" s="25"/>
      <c r="N4" s="5"/>
      <c r="O4" s="5"/>
      <c r="P4" s="5"/>
      <c r="Q4" s="5"/>
      <c r="R4" s="5"/>
      <c r="S4" s="5"/>
      <c r="AJ4" s="1"/>
    </row>
    <row r="5" spans="2:36" ht="13.5" customHeight="1" x14ac:dyDescent="0.25">
      <c r="B5" s="67" t="str">
        <f>IF($G$2=$H$2,E!B81,'R'!B81)</f>
        <v>Методология:</v>
      </c>
      <c r="C5" s="57"/>
      <c r="D5" s="57"/>
      <c r="E5" s="11"/>
      <c r="F5" s="11"/>
      <c r="G5" s="11"/>
      <c r="H5" s="11"/>
      <c r="I5" s="11"/>
      <c r="J5" s="58"/>
      <c r="K5" s="8"/>
      <c r="L5" s="11"/>
      <c r="M5" s="11"/>
      <c r="N5" s="8"/>
      <c r="O5" s="8"/>
      <c r="P5" s="8"/>
      <c r="Q5" s="8"/>
      <c r="R5" s="8"/>
      <c r="S5" s="3"/>
    </row>
    <row r="6" spans="2:36" s="1" customFormat="1" ht="20.25" customHeight="1" x14ac:dyDescent="0.2">
      <c r="B6" s="68" t="str">
        <f>IF($G$2=$H$2,E!B82,'R'!B82)</f>
        <v>Активы:</v>
      </c>
      <c r="C6" s="57"/>
      <c r="D6" s="57"/>
      <c r="E6" s="57"/>
      <c r="F6" s="57"/>
      <c r="G6" s="57"/>
      <c r="H6" s="57"/>
      <c r="I6" s="57"/>
      <c r="J6" s="59"/>
    </row>
    <row r="7" spans="2:36" s="1" customFormat="1" ht="14.1" customHeight="1" x14ac:dyDescent="0.2">
      <c r="B7" s="64" t="str">
        <f>IF($G$2=$H$2,E!B83,'R'!B83)</f>
        <v>Кредитный портфель включает требования по аккредитивам, переуступки и права требования, начисленные проценты.</v>
      </c>
      <c r="C7" s="57"/>
      <c r="D7" s="57"/>
      <c r="E7" s="57"/>
      <c r="F7" s="57"/>
      <c r="G7" s="57"/>
      <c r="H7" s="57"/>
      <c r="I7" s="57"/>
      <c r="J7" s="59"/>
    </row>
    <row r="8" spans="2:36" s="1" customFormat="1" ht="14.1" customHeight="1" x14ac:dyDescent="0.2">
      <c r="B8" s="64" t="str">
        <f>IF($G$2=$H$2,E!B84,'R'!B84)</f>
        <v>Розничные кредиты включают секъюритизированный ипотечный портфель.</v>
      </c>
      <c r="C8" s="57"/>
      <c r="D8" s="57"/>
      <c r="E8" s="57"/>
      <c r="F8" s="57"/>
      <c r="G8" s="57"/>
      <c r="H8" s="57"/>
      <c r="I8" s="57"/>
      <c r="J8" s="59"/>
    </row>
    <row r="9" spans="2:36" s="1" customFormat="1" ht="14.1" customHeight="1" x14ac:dyDescent="0.2">
      <c r="B9" s="60"/>
      <c r="C9" s="57"/>
      <c r="D9" s="57"/>
      <c r="E9" s="57"/>
      <c r="F9" s="57"/>
      <c r="G9" s="57"/>
      <c r="H9" s="57"/>
      <c r="I9" s="57"/>
      <c r="J9" s="59"/>
    </row>
    <row r="10" spans="2:36" s="1" customFormat="1" ht="20.25" customHeight="1" x14ac:dyDescent="0.2">
      <c r="B10" s="68" t="str">
        <f>IF($G$2=$H$2,E!B86,'R'!B86)</f>
        <v>Пассивы:</v>
      </c>
      <c r="C10" s="57"/>
      <c r="D10" s="57"/>
      <c r="E10" s="57"/>
      <c r="F10" s="57"/>
      <c r="G10" s="57"/>
      <c r="H10" s="57"/>
      <c r="I10" s="57"/>
      <c r="J10" s="59"/>
    </row>
    <row r="11" spans="2:36" s="1" customFormat="1" ht="14.1" customHeight="1" x14ac:dyDescent="0.2">
      <c r="B11" s="64" t="str">
        <f>IF($G$2=$H$2,E!B87,'R'!B87)</f>
        <v>Средства клиентов включают обязательства по аккредитивам, векселя, депозитные и сберегательные сертификаты.</v>
      </c>
      <c r="C11" s="57"/>
      <c r="D11" s="57"/>
      <c r="E11" s="57"/>
      <c r="F11" s="57"/>
      <c r="G11" s="57"/>
      <c r="H11" s="57"/>
      <c r="I11" s="57"/>
      <c r="J11" s="59"/>
    </row>
    <row r="12" spans="2:36" s="1" customFormat="1" ht="14.1" customHeight="1" x14ac:dyDescent="0.2">
      <c r="B12" s="64"/>
      <c r="C12" s="57"/>
      <c r="D12" s="57"/>
      <c r="E12" s="57"/>
      <c r="F12" s="57"/>
      <c r="G12" s="57"/>
      <c r="H12" s="57"/>
      <c r="I12" s="57"/>
      <c r="J12" s="59"/>
    </row>
    <row r="13" spans="2:36" s="1" customFormat="1" ht="20.25" customHeight="1" x14ac:dyDescent="0.2">
      <c r="B13" s="68" t="str">
        <f>IF($G$2=$H$2,E!B89,'R'!B89)</f>
        <v>Отчет о финансовых результатах:</v>
      </c>
      <c r="C13" s="57"/>
      <c r="D13" s="57"/>
      <c r="E13" s="57"/>
      <c r="F13" s="57"/>
      <c r="G13" s="57"/>
      <c r="H13" s="57"/>
      <c r="I13" s="57"/>
      <c r="J13" s="59"/>
    </row>
    <row r="14" spans="2:36" s="1" customFormat="1" ht="14.1" customHeight="1" x14ac:dyDescent="0.2">
      <c r="B14" s="64" t="str">
        <f>IF($G$2=$H$2,E!B90,'R'!B90)</f>
        <v>Чистый процентный доход включает расходы по страхованию вкладов и доходы за досрочное погашение вкладов.</v>
      </c>
      <c r="C14" s="57"/>
      <c r="D14" s="57"/>
      <c r="E14" s="57"/>
      <c r="F14" s="57"/>
      <c r="G14" s="57"/>
      <c r="H14" s="57"/>
      <c r="I14" s="57"/>
      <c r="J14" s="59"/>
    </row>
    <row r="15" spans="2:36" s="1" customFormat="1" ht="14.1" customHeight="1" x14ac:dyDescent="0.2">
      <c r="B15" s="64" t="str">
        <f>IF($G$2=$H$2,E!B91,'R'!B91)</f>
        <v>Чистый комиссионный доход включает расходы по лояльности.</v>
      </c>
      <c r="C15" s="57"/>
      <c r="D15" s="57"/>
      <c r="E15" s="57"/>
      <c r="F15" s="57"/>
      <c r="G15" s="57"/>
      <c r="H15" s="57"/>
      <c r="I15" s="57"/>
      <c r="J15" s="59"/>
    </row>
    <row r="16" spans="2:36" s="1" customFormat="1" ht="14.1" customHeight="1" x14ac:dyDescent="0.2">
      <c r="B16" s="64" t="str">
        <f>IF($G$2=$H$2,E!B92,'R'!B92)</f>
        <v>Чистый торговый доход включает валютную переоценку резервов по кредитам.</v>
      </c>
      <c r="C16" s="57"/>
      <c r="D16" s="57"/>
      <c r="E16" s="57"/>
      <c r="F16" s="57"/>
      <c r="G16" s="57"/>
      <c r="H16" s="57"/>
      <c r="I16" s="57"/>
      <c r="J16" s="59"/>
    </row>
    <row r="17" spans="2:10" s="1" customFormat="1" ht="14.1" customHeight="1" x14ac:dyDescent="0.2">
      <c r="B17" s="64" t="str">
        <f>IF($G$2=$H$2,E!B93,'R'!B93)</f>
        <v>Прочие доходы включают доходы от участия в капитале юридических лиц.</v>
      </c>
      <c r="C17" s="57"/>
      <c r="D17" s="57"/>
      <c r="E17" s="57"/>
      <c r="F17" s="57"/>
      <c r="G17" s="57"/>
      <c r="H17" s="57"/>
      <c r="I17" s="57"/>
      <c r="J17" s="59"/>
    </row>
    <row r="18" spans="2:10" s="1" customFormat="1" ht="14.1" customHeight="1" x14ac:dyDescent="0.2">
      <c r="B18" s="64" t="str">
        <f>IF($G$2=$H$2,E!B94,'R'!B94)</f>
        <v>Операционные расходы не включают расходы по страхованию вкладов, расходы по лояльности.</v>
      </c>
      <c r="C18" s="57"/>
      <c r="D18" s="57"/>
      <c r="E18" s="57"/>
      <c r="F18" s="57"/>
      <c r="G18" s="57"/>
      <c r="H18" s="57"/>
      <c r="I18" s="57"/>
      <c r="J18" s="59"/>
    </row>
    <row r="19" spans="2:10" s="1" customFormat="1" ht="14.1" customHeight="1" x14ac:dyDescent="0.2">
      <c r="B19" s="64" t="str">
        <f>IF($G$2=$H$2,E!B95,'R'!B95)</f>
        <v>Резервы не включают валютную переоценку</v>
      </c>
      <c r="C19" s="57"/>
      <c r="D19" s="57"/>
      <c r="E19" s="57"/>
      <c r="F19" s="57"/>
      <c r="G19" s="57"/>
      <c r="H19" s="57"/>
      <c r="I19" s="57"/>
      <c r="J19" s="59"/>
    </row>
    <row r="20" spans="2:10" s="1" customFormat="1" ht="14.1" customHeight="1" x14ac:dyDescent="0.2">
      <c r="B20" s="60"/>
      <c r="C20" s="57"/>
      <c r="D20" s="57"/>
      <c r="E20" s="57"/>
      <c r="F20" s="57"/>
      <c r="G20" s="57"/>
      <c r="H20" s="57"/>
      <c r="I20" s="57"/>
      <c r="J20" s="59"/>
    </row>
    <row r="21" spans="2:10" s="1" customFormat="1" ht="14.1" customHeight="1" x14ac:dyDescent="0.2">
      <c r="B21" s="60"/>
      <c r="C21" s="57"/>
      <c r="D21" s="57"/>
      <c r="E21" s="57"/>
      <c r="F21" s="57"/>
      <c r="G21" s="57"/>
      <c r="H21" s="57"/>
      <c r="I21" s="57"/>
      <c r="J21" s="59"/>
    </row>
    <row r="22" spans="2:10" s="1" customFormat="1" ht="14.1" customHeight="1" x14ac:dyDescent="0.2">
      <c r="B22" s="60"/>
      <c r="C22" s="57"/>
      <c r="D22" s="57"/>
      <c r="E22" s="57"/>
      <c r="F22" s="57"/>
      <c r="G22" s="57"/>
      <c r="H22" s="57"/>
      <c r="I22" s="57"/>
      <c r="J22" s="59"/>
    </row>
    <row r="23" spans="2:10" s="1" customFormat="1" ht="14.1" customHeight="1" x14ac:dyDescent="0.2">
      <c r="B23" s="65" t="str">
        <f>IF($G$2=$H$2,E!B99,'R'!B99)</f>
        <v>Контакты IR BSPB</v>
      </c>
      <c r="C23" s="57"/>
      <c r="D23" s="57"/>
      <c r="E23" s="57"/>
      <c r="F23" s="57"/>
      <c r="G23" s="57"/>
      <c r="H23" s="57"/>
      <c r="I23" s="57"/>
      <c r="J23" s="59"/>
    </row>
    <row r="24" spans="2:10" s="1" customFormat="1" ht="14.1" customHeight="1" x14ac:dyDescent="0.2">
      <c r="B24" s="66" t="s">
        <v>108</v>
      </c>
      <c r="C24" s="57"/>
      <c r="D24" s="57"/>
      <c r="E24" s="57"/>
      <c r="F24" s="57"/>
      <c r="G24" s="57"/>
      <c r="H24" s="57"/>
      <c r="I24" s="57"/>
      <c r="J24" s="59"/>
    </row>
    <row r="25" spans="2:10" s="1" customFormat="1" ht="14.1" customHeight="1" x14ac:dyDescent="0.2">
      <c r="B25" s="65" t="s">
        <v>109</v>
      </c>
      <c r="C25" s="57"/>
      <c r="D25" s="57"/>
      <c r="E25" s="57"/>
      <c r="F25" s="57"/>
      <c r="G25" s="57"/>
      <c r="H25" s="57"/>
      <c r="I25" s="57"/>
      <c r="J25" s="59"/>
    </row>
    <row r="26" spans="2:10" s="1" customFormat="1" ht="14.1" customHeight="1" thickBot="1" x14ac:dyDescent="0.25">
      <c r="B26" s="61"/>
      <c r="C26" s="62"/>
      <c r="D26" s="62"/>
      <c r="E26" s="62"/>
      <c r="F26" s="62"/>
      <c r="G26" s="62"/>
      <c r="H26" s="62"/>
      <c r="I26" s="62"/>
      <c r="J26" s="63"/>
    </row>
    <row r="27" spans="2:10" s="1" customFormat="1" ht="14.1" customHeight="1" x14ac:dyDescent="0.2"/>
    <row r="28" spans="2:10" s="1" customFormat="1" ht="14.1" customHeight="1" x14ac:dyDescent="0.2"/>
    <row r="29" spans="2:10" s="1" customFormat="1" ht="14.1" customHeight="1" x14ac:dyDescent="0.2"/>
    <row r="30" spans="2:10" s="1" customFormat="1" ht="14.1" customHeight="1" x14ac:dyDescent="0.2"/>
    <row r="31" spans="2:10" s="1" customFormat="1" ht="14.1" customHeight="1" x14ac:dyDescent="0.2"/>
    <row r="32" spans="2:10" s="1" customFormat="1" ht="14.1" customHeight="1" x14ac:dyDescent="0.2"/>
    <row r="33" s="1" customFormat="1" ht="14.1" customHeight="1" x14ac:dyDescent="0.2"/>
    <row r="34" s="1" customFormat="1" ht="14.1" customHeight="1" x14ac:dyDescent="0.2"/>
    <row r="35" s="1" customFormat="1" ht="14.1" customHeight="1" x14ac:dyDescent="0.2"/>
    <row r="36" s="1" customFormat="1" ht="14.1" customHeight="1" x14ac:dyDescent="0.2"/>
    <row r="37" s="1" customFormat="1" ht="14.1" customHeight="1" x14ac:dyDescent="0.2"/>
    <row r="38" s="1" customFormat="1" ht="14.1" customHeight="1" x14ac:dyDescent="0.2"/>
    <row r="39" s="1" customFormat="1" ht="14.1" customHeight="1" x14ac:dyDescent="0.2"/>
    <row r="40" s="1" customFormat="1" ht="14.1" customHeight="1" x14ac:dyDescent="0.2"/>
    <row r="41" s="1" customFormat="1" ht="14.1" customHeight="1" x14ac:dyDescent="0.2"/>
    <row r="42" s="1" customFormat="1" ht="14.1" customHeight="1" x14ac:dyDescent="0.2"/>
    <row r="43" s="1" customFormat="1" ht="14.1" customHeight="1" x14ac:dyDescent="0.2"/>
    <row r="44" s="1" customFormat="1" ht="14.1" customHeight="1" x14ac:dyDescent="0.2"/>
    <row r="45" s="1" customFormat="1" ht="14.1" customHeight="1" x14ac:dyDescent="0.2"/>
    <row r="46" s="1" customFormat="1" ht="14.1" customHeight="1" x14ac:dyDescent="0.2"/>
    <row r="47" s="1" customFormat="1" ht="14.1" customHeight="1" x14ac:dyDescent="0.2"/>
    <row r="48" s="1" customFormat="1" ht="14.1" customHeight="1" x14ac:dyDescent="0.2"/>
    <row r="49" s="1" customFormat="1" ht="14.1" customHeight="1" x14ac:dyDescent="0.2"/>
    <row r="50" s="1" customFormat="1" ht="14.1" customHeight="1" x14ac:dyDescent="0.2"/>
    <row r="51" s="1" customFormat="1" ht="14.1" customHeight="1" x14ac:dyDescent="0.2"/>
    <row r="52" s="1" customFormat="1" ht="14.1" customHeight="1" x14ac:dyDescent="0.2"/>
    <row r="53" s="1" customFormat="1" ht="14.1" customHeight="1" x14ac:dyDescent="0.2"/>
    <row r="54" s="1" customFormat="1" ht="14.1" customHeight="1" x14ac:dyDescent="0.2"/>
    <row r="55" s="1" customFormat="1" ht="14.1" customHeight="1" x14ac:dyDescent="0.2"/>
    <row r="56" s="1" customFormat="1" ht="14.1" customHeight="1" x14ac:dyDescent="0.2"/>
    <row r="57" s="1" customFormat="1" ht="14.1" customHeight="1" x14ac:dyDescent="0.2"/>
    <row r="58" s="1" customFormat="1" ht="14.1" customHeight="1" x14ac:dyDescent="0.2"/>
    <row r="59" s="1" customFormat="1" ht="14.1" customHeight="1" x14ac:dyDescent="0.2"/>
    <row r="60" s="1" customFormat="1" ht="14.1" customHeight="1" x14ac:dyDescent="0.2"/>
    <row r="61" s="1" customFormat="1" ht="14.1" customHeight="1" x14ac:dyDescent="0.2"/>
    <row r="62" s="1" customFormat="1" ht="14.1" customHeight="1" x14ac:dyDescent="0.2"/>
    <row r="63" s="1" customFormat="1" ht="14.1" customHeight="1" x14ac:dyDescent="0.2"/>
    <row r="64" s="1" customFormat="1" ht="14.1" customHeight="1" x14ac:dyDescent="0.2"/>
    <row r="65" s="1" customFormat="1" ht="14.1" customHeight="1" x14ac:dyDescent="0.2"/>
    <row r="66" s="1" customFormat="1" ht="14.1" customHeight="1" x14ac:dyDescent="0.2"/>
    <row r="67" s="1" customFormat="1" ht="14.1" customHeight="1" x14ac:dyDescent="0.2"/>
    <row r="68" s="1" customFormat="1" ht="14.1" customHeight="1" x14ac:dyDescent="0.2"/>
    <row r="69" s="1" customFormat="1" ht="14.1" customHeight="1" x14ac:dyDescent="0.2"/>
    <row r="70" s="1" customFormat="1" ht="14.1" customHeight="1" x14ac:dyDescent="0.2"/>
    <row r="71" s="1" customFormat="1" ht="14.1" customHeight="1" x14ac:dyDescent="0.2"/>
    <row r="72" s="1" customFormat="1" ht="14.1" customHeight="1" x14ac:dyDescent="0.2"/>
    <row r="73" s="1" customFormat="1" ht="14.1" customHeight="1" x14ac:dyDescent="0.2"/>
    <row r="74" s="1" customFormat="1" ht="14.1" customHeight="1" x14ac:dyDescent="0.2"/>
    <row r="75" s="1" customFormat="1" ht="14.1" customHeight="1" x14ac:dyDescent="0.2"/>
    <row r="76" s="1" customFormat="1" ht="14.1" customHeight="1" x14ac:dyDescent="0.2"/>
    <row r="77" s="1" customFormat="1" ht="14.1" customHeight="1" x14ac:dyDescent="0.2"/>
    <row r="78" s="1" customFormat="1" ht="14.1" customHeight="1" x14ac:dyDescent="0.2"/>
    <row r="79" s="1" customFormat="1" ht="14.1" customHeight="1" x14ac:dyDescent="0.2"/>
    <row r="80" s="1" customFormat="1" ht="14.1" customHeight="1" x14ac:dyDescent="0.2"/>
    <row r="81" s="1" customFormat="1" ht="14.1" customHeight="1" x14ac:dyDescent="0.2"/>
    <row r="82" s="1" customFormat="1" ht="14.1" customHeight="1" x14ac:dyDescent="0.2"/>
    <row r="83" s="1" customFormat="1" ht="14.1" customHeight="1" x14ac:dyDescent="0.2"/>
    <row r="84" s="1" customFormat="1" ht="14.1" customHeight="1" x14ac:dyDescent="0.2"/>
    <row r="85" s="1" customFormat="1" ht="14.1" customHeight="1" x14ac:dyDescent="0.2"/>
    <row r="86" s="1" customFormat="1" ht="14.1" customHeight="1" x14ac:dyDescent="0.2"/>
    <row r="87" s="1" customFormat="1" ht="14.1" customHeight="1" x14ac:dyDescent="0.2"/>
    <row r="88" s="1" customFormat="1" ht="14.1" customHeight="1" x14ac:dyDescent="0.2"/>
    <row r="89" s="1" customFormat="1" ht="14.1" customHeight="1" x14ac:dyDescent="0.2"/>
    <row r="90" s="1" customFormat="1" ht="14.1" customHeight="1" x14ac:dyDescent="0.2"/>
    <row r="91" s="1" customFormat="1" ht="14.1" customHeight="1" x14ac:dyDescent="0.2"/>
    <row r="92" s="1" customFormat="1" ht="14.1" customHeight="1" x14ac:dyDescent="0.2"/>
    <row r="93" s="1" customFormat="1" ht="14.1" customHeight="1" x14ac:dyDescent="0.2"/>
    <row r="94" s="1" customFormat="1" ht="14.1" customHeight="1" x14ac:dyDescent="0.2"/>
    <row r="95" s="1" customFormat="1" ht="14.1" customHeight="1" x14ac:dyDescent="0.2"/>
    <row r="96" s="1" customFormat="1" ht="14.1" customHeight="1" x14ac:dyDescent="0.2"/>
    <row r="97" s="1" customFormat="1" ht="14.1" customHeight="1" x14ac:dyDescent="0.2"/>
    <row r="98" s="1" customFormat="1" ht="14.1" customHeight="1" x14ac:dyDescent="0.2"/>
    <row r="99" s="1" customFormat="1" ht="14.1" customHeight="1" x14ac:dyDescent="0.2"/>
    <row r="100" s="1" customFormat="1" ht="14.1" customHeight="1" x14ac:dyDescent="0.2"/>
    <row r="101" s="1" customFormat="1" ht="14.1" customHeight="1" x14ac:dyDescent="0.2"/>
    <row r="102" s="1" customFormat="1" ht="14.1" customHeight="1" x14ac:dyDescent="0.2"/>
    <row r="103" s="1" customFormat="1" ht="14.1" customHeight="1" x14ac:dyDescent="0.2"/>
    <row r="104" s="1" customFormat="1" ht="14.1" customHeight="1" x14ac:dyDescent="0.2"/>
    <row r="105" s="1" customFormat="1" ht="14.1" customHeight="1" x14ac:dyDescent="0.2"/>
    <row r="106" s="1" customFormat="1" ht="14.1" customHeight="1" x14ac:dyDescent="0.2"/>
    <row r="107" s="1" customFormat="1" ht="14.1" customHeight="1" x14ac:dyDescent="0.2"/>
    <row r="108" s="1" customFormat="1" ht="14.1" customHeight="1" x14ac:dyDescent="0.2"/>
    <row r="109" s="1" customFormat="1" ht="14.1" customHeight="1" x14ac:dyDescent="0.2"/>
    <row r="110" s="1" customFormat="1" ht="14.1" customHeight="1" x14ac:dyDescent="0.2"/>
    <row r="111" s="1" customFormat="1" ht="14.1" customHeight="1" x14ac:dyDescent="0.2"/>
    <row r="112" s="1" customFormat="1" ht="14.1" customHeight="1" x14ac:dyDescent="0.2"/>
    <row r="113" s="1" customFormat="1" ht="14.1" customHeight="1" x14ac:dyDescent="0.2"/>
    <row r="114" s="1" customFormat="1" ht="14.1" customHeight="1" x14ac:dyDescent="0.2"/>
    <row r="115" s="1" customFormat="1" ht="14.1" customHeight="1" x14ac:dyDescent="0.2"/>
    <row r="116" s="1" customFormat="1" ht="14.1" customHeight="1" x14ac:dyDescent="0.2"/>
    <row r="117" s="1" customFormat="1" ht="14.1" customHeight="1" x14ac:dyDescent="0.2"/>
    <row r="118" s="1" customFormat="1" ht="14.1" customHeight="1" x14ac:dyDescent="0.2"/>
    <row r="119" s="1" customFormat="1" ht="14.1" customHeight="1" x14ac:dyDescent="0.2"/>
    <row r="120" s="1" customFormat="1" ht="14.1" customHeight="1" x14ac:dyDescent="0.2"/>
    <row r="121" s="1" customFormat="1" ht="14.1" customHeight="1" x14ac:dyDescent="0.2"/>
    <row r="122" s="1" customFormat="1" ht="14.1" customHeight="1" x14ac:dyDescent="0.2"/>
    <row r="123" s="1" customFormat="1" ht="14.1" customHeight="1" x14ac:dyDescent="0.2"/>
    <row r="124" s="1" customFormat="1" ht="14.1" customHeight="1" x14ac:dyDescent="0.2"/>
    <row r="125" s="1" customFormat="1" ht="14.1" customHeight="1" x14ac:dyDescent="0.2"/>
    <row r="126" s="1" customFormat="1" ht="14.1" customHeight="1" x14ac:dyDescent="0.2"/>
    <row r="127" s="1" customFormat="1" ht="14.1" customHeight="1" x14ac:dyDescent="0.2"/>
    <row r="128" s="1" customFormat="1" ht="14.1" customHeight="1" x14ac:dyDescent="0.2"/>
    <row r="129" s="1" customFormat="1" ht="14.1" customHeight="1" x14ac:dyDescent="0.2"/>
    <row r="130" s="1" customFormat="1" ht="14.1" customHeight="1" x14ac:dyDescent="0.2"/>
    <row r="131" s="1" customFormat="1" ht="14.1" customHeight="1" x14ac:dyDescent="0.2"/>
    <row r="132" s="1" customFormat="1" ht="14.1" customHeight="1" x14ac:dyDescent="0.2"/>
    <row r="133" s="1" customFormat="1" ht="14.1" customHeight="1" x14ac:dyDescent="0.2"/>
    <row r="134" s="1" customFormat="1" ht="14.1" customHeight="1" x14ac:dyDescent="0.2"/>
    <row r="135" s="1" customFormat="1" ht="14.1" customHeight="1" x14ac:dyDescent="0.2"/>
    <row r="136" s="1" customFormat="1" ht="14.1" customHeight="1" x14ac:dyDescent="0.2"/>
    <row r="137" s="1" customFormat="1" ht="14.1" customHeight="1" x14ac:dyDescent="0.2"/>
    <row r="138" s="1" customFormat="1" ht="14.1" customHeight="1" x14ac:dyDescent="0.2"/>
    <row r="139" s="1" customFormat="1" ht="14.1" customHeight="1" x14ac:dyDescent="0.2"/>
    <row r="140" s="1" customFormat="1" ht="14.1" customHeight="1" x14ac:dyDescent="0.2"/>
    <row r="141" s="1" customFormat="1" ht="14.1" customHeight="1" x14ac:dyDescent="0.2"/>
    <row r="142" s="1" customFormat="1" ht="14.1" customHeight="1" x14ac:dyDescent="0.2"/>
    <row r="143" s="1" customFormat="1" ht="14.1" customHeight="1" x14ac:dyDescent="0.2"/>
    <row r="144" s="1" customFormat="1" ht="14.1" customHeight="1" x14ac:dyDescent="0.2"/>
    <row r="145" s="1" customFormat="1" ht="14.1" customHeight="1" x14ac:dyDescent="0.2"/>
    <row r="146" s="1" customFormat="1" ht="14.1" customHeight="1" x14ac:dyDescent="0.2"/>
    <row r="147" s="1" customFormat="1" ht="14.1" customHeight="1" x14ac:dyDescent="0.2"/>
    <row r="148" s="1" customFormat="1" ht="14.1" customHeight="1" x14ac:dyDescent="0.2"/>
    <row r="149" s="1" customFormat="1" ht="14.1" customHeight="1" x14ac:dyDescent="0.2"/>
    <row r="150" s="1" customFormat="1" ht="14.1" customHeight="1" x14ac:dyDescent="0.2"/>
    <row r="151" s="1" customFormat="1" ht="14.1" customHeight="1" x14ac:dyDescent="0.2"/>
    <row r="152" s="1" customFormat="1" ht="14.1" customHeight="1" x14ac:dyDescent="0.2"/>
    <row r="153" s="1" customFormat="1" ht="14.1" customHeight="1" x14ac:dyDescent="0.2"/>
    <row r="154" s="1" customFormat="1" ht="14.1" customHeight="1" x14ac:dyDescent="0.2"/>
    <row r="155" s="1" customFormat="1" ht="14.1" customHeight="1" x14ac:dyDescent="0.2"/>
    <row r="156" s="1" customFormat="1" ht="14.1" customHeight="1" x14ac:dyDescent="0.2"/>
    <row r="157" s="1" customFormat="1" ht="14.1" customHeight="1" x14ac:dyDescent="0.2"/>
    <row r="158" s="1" customFormat="1" ht="14.1" customHeight="1" x14ac:dyDescent="0.2"/>
    <row r="159" s="1" customFormat="1" ht="14.1" customHeight="1" x14ac:dyDescent="0.2"/>
    <row r="160" s="1" customFormat="1" ht="14.1" customHeight="1" x14ac:dyDescent="0.2"/>
    <row r="161" s="1" customFormat="1" ht="14.1" customHeight="1" x14ac:dyDescent="0.2"/>
    <row r="162" s="1" customFormat="1" ht="14.1" customHeight="1" x14ac:dyDescent="0.2"/>
    <row r="163" s="1" customFormat="1" ht="14.1" customHeight="1" x14ac:dyDescent="0.2"/>
    <row r="164" s="1" customFormat="1" ht="14.1" customHeight="1" x14ac:dyDescent="0.2"/>
    <row r="165" s="1" customFormat="1" ht="14.1" customHeight="1" x14ac:dyDescent="0.2"/>
    <row r="166" s="1" customFormat="1" ht="14.1" customHeight="1" x14ac:dyDescent="0.2"/>
    <row r="167" s="1" customFormat="1" ht="14.1" customHeight="1" x14ac:dyDescent="0.2"/>
    <row r="168" s="1" customFormat="1" ht="14.1" customHeight="1" x14ac:dyDescent="0.2"/>
    <row r="169" s="1" customFormat="1" ht="14.1" customHeight="1" x14ac:dyDescent="0.2"/>
    <row r="170" s="1" customFormat="1" ht="14.1" customHeight="1" x14ac:dyDescent="0.2"/>
    <row r="171" s="1" customFormat="1" ht="14.1" customHeight="1" x14ac:dyDescent="0.2"/>
    <row r="172" s="1" customFormat="1" ht="14.1" customHeight="1" x14ac:dyDescent="0.2"/>
    <row r="173" s="1" customFormat="1" ht="14.1" customHeight="1" x14ac:dyDescent="0.2"/>
    <row r="174" s="1" customFormat="1" ht="14.1" customHeight="1" x14ac:dyDescent="0.2"/>
    <row r="175" s="1" customFormat="1" ht="14.1" customHeight="1" x14ac:dyDescent="0.2"/>
    <row r="176" s="1" customFormat="1" ht="14.1" customHeight="1" x14ac:dyDescent="0.2"/>
    <row r="177" s="1" customFormat="1" ht="14.1" customHeight="1" x14ac:dyDescent="0.2"/>
    <row r="178" s="1" customFormat="1" ht="14.1" customHeight="1" x14ac:dyDescent="0.2"/>
    <row r="179" s="1" customFormat="1" ht="14.1" customHeight="1" x14ac:dyDescent="0.2"/>
    <row r="180" s="1" customFormat="1" ht="14.1" customHeight="1" x14ac:dyDescent="0.2"/>
    <row r="181" s="1" customFormat="1" ht="14.1" customHeight="1" x14ac:dyDescent="0.2"/>
    <row r="182" s="1" customFormat="1" ht="14.1" customHeight="1" x14ac:dyDescent="0.2"/>
    <row r="183" s="1" customFormat="1" ht="14.1" customHeight="1" x14ac:dyDescent="0.2"/>
    <row r="184" s="1" customFormat="1" ht="14.1" customHeight="1" x14ac:dyDescent="0.2"/>
    <row r="185" s="1" customFormat="1" ht="14.1" customHeight="1" x14ac:dyDescent="0.2"/>
    <row r="186" s="1" customFormat="1" ht="14.1" customHeight="1" x14ac:dyDescent="0.2"/>
    <row r="187" s="1" customFormat="1" ht="14.1" customHeight="1" x14ac:dyDescent="0.2"/>
    <row r="188" s="1" customFormat="1" ht="14.1" customHeight="1" x14ac:dyDescent="0.2"/>
    <row r="189" s="1" customFormat="1" ht="14.1" customHeight="1" x14ac:dyDescent="0.2"/>
    <row r="190" s="1" customFormat="1" ht="14.1" customHeight="1" x14ac:dyDescent="0.2"/>
    <row r="191" s="1" customFormat="1" ht="14.1" customHeight="1" x14ac:dyDescent="0.2"/>
    <row r="192" s="1" customFormat="1" ht="14.1" customHeight="1" x14ac:dyDescent="0.2"/>
    <row r="193" s="1" customFormat="1" ht="14.1" customHeight="1" x14ac:dyDescent="0.2"/>
    <row r="194" s="1" customFormat="1" ht="14.1" customHeight="1" x14ac:dyDescent="0.2"/>
    <row r="195" s="1" customFormat="1" ht="14.1" customHeight="1" x14ac:dyDescent="0.2"/>
    <row r="196" s="1" customFormat="1" ht="14.1" customHeight="1" x14ac:dyDescent="0.2"/>
    <row r="197" s="1" customFormat="1" ht="14.1" customHeight="1" x14ac:dyDescent="0.2"/>
    <row r="198" s="1" customFormat="1" ht="14.1" customHeight="1" x14ac:dyDescent="0.2"/>
    <row r="199" s="1" customFormat="1" ht="14.1" customHeight="1" x14ac:dyDescent="0.2"/>
    <row r="200" s="1" customFormat="1" ht="14.1" customHeight="1" x14ac:dyDescent="0.2"/>
    <row r="201" s="1" customFormat="1" ht="14.1" customHeight="1" x14ac:dyDescent="0.2"/>
    <row r="202" s="1" customFormat="1" ht="14.1" customHeight="1" x14ac:dyDescent="0.2"/>
    <row r="203" s="1" customFormat="1" ht="14.1" customHeight="1" x14ac:dyDescent="0.2"/>
    <row r="204" s="1" customFormat="1" ht="14.1" customHeight="1" x14ac:dyDescent="0.2"/>
    <row r="205" s="1" customFormat="1" ht="14.1" customHeight="1" x14ac:dyDescent="0.2"/>
    <row r="206" s="1" customFormat="1" ht="14.1" customHeight="1" x14ac:dyDescent="0.2"/>
    <row r="207" s="1" customFormat="1" ht="14.1" customHeight="1" x14ac:dyDescent="0.2"/>
    <row r="208" s="1" customFormat="1" ht="14.1" customHeight="1" x14ac:dyDescent="0.2"/>
    <row r="209" s="1" customFormat="1" ht="14.1" customHeight="1" x14ac:dyDescent="0.2"/>
    <row r="210" s="1" customFormat="1" ht="14.1" customHeight="1" x14ac:dyDescent="0.2"/>
    <row r="211" s="1" customFormat="1" ht="14.1" customHeight="1" x14ac:dyDescent="0.2"/>
    <row r="212" s="1" customFormat="1" ht="14.1" customHeight="1" x14ac:dyDescent="0.2"/>
    <row r="213" s="1" customFormat="1" ht="14.1" customHeight="1" x14ac:dyDescent="0.2"/>
    <row r="214" s="1" customFormat="1" ht="14.1" customHeight="1" x14ac:dyDescent="0.2"/>
    <row r="215" s="1" customFormat="1" ht="14.1" customHeight="1" x14ac:dyDescent="0.2"/>
    <row r="216" s="1" customFormat="1" ht="14.1" customHeight="1" x14ac:dyDescent="0.2"/>
    <row r="217" s="1" customFormat="1" ht="14.1" customHeight="1" x14ac:dyDescent="0.2"/>
    <row r="218" s="1" customFormat="1" ht="14.1" customHeight="1" x14ac:dyDescent="0.2"/>
    <row r="219" s="1" customFormat="1" ht="14.1" customHeight="1" x14ac:dyDescent="0.2"/>
    <row r="220" s="1" customFormat="1" ht="14.1" customHeight="1" x14ac:dyDescent="0.2"/>
    <row r="221" s="1" customFormat="1" ht="14.1" customHeight="1" x14ac:dyDescent="0.2"/>
    <row r="222" s="1" customFormat="1" ht="14.1" customHeight="1" x14ac:dyDescent="0.2"/>
    <row r="223" s="1" customFormat="1" ht="14.1" customHeight="1" x14ac:dyDescent="0.2"/>
    <row r="224" s="1" customFormat="1" ht="14.1" customHeight="1" x14ac:dyDescent="0.2"/>
    <row r="225" s="1" customFormat="1" ht="14.1" customHeight="1" x14ac:dyDescent="0.2"/>
    <row r="226" s="1" customFormat="1" ht="14.1" customHeight="1" x14ac:dyDescent="0.2"/>
    <row r="227" s="1" customFormat="1" ht="14.1" customHeight="1" x14ac:dyDescent="0.2"/>
    <row r="228" s="1" customFormat="1" ht="14.1" customHeight="1" x14ac:dyDescent="0.2"/>
    <row r="229" s="1" customFormat="1" ht="14.1" customHeight="1" x14ac:dyDescent="0.2"/>
    <row r="230" s="1" customFormat="1" ht="14.1" customHeight="1" x14ac:dyDescent="0.2"/>
    <row r="231" s="1" customFormat="1" ht="14.1" customHeight="1" x14ac:dyDescent="0.2"/>
    <row r="232" s="1" customFormat="1" ht="14.1" customHeight="1" x14ac:dyDescent="0.2"/>
    <row r="233" s="1" customFormat="1" ht="14.1" customHeight="1" x14ac:dyDescent="0.2"/>
    <row r="234" s="1" customFormat="1" ht="14.1" customHeight="1" x14ac:dyDescent="0.2"/>
    <row r="235" s="1" customFormat="1" ht="14.1" customHeight="1" x14ac:dyDescent="0.2"/>
    <row r="236" s="1" customFormat="1" ht="14.1" customHeight="1" x14ac:dyDescent="0.2"/>
    <row r="237" s="1" customFormat="1" ht="14.1" customHeight="1" x14ac:dyDescent="0.2"/>
    <row r="238" s="1" customFormat="1" ht="14.1" customHeight="1" x14ac:dyDescent="0.2"/>
    <row r="239" s="1" customFormat="1" ht="14.1" customHeight="1" x14ac:dyDescent="0.2"/>
    <row r="240" s="1" customFormat="1" ht="14.1" customHeight="1" x14ac:dyDescent="0.2"/>
    <row r="241" s="1" customFormat="1" ht="14.1" customHeight="1" x14ac:dyDescent="0.2"/>
    <row r="242" s="1" customFormat="1" ht="14.1" customHeight="1" x14ac:dyDescent="0.2"/>
    <row r="243" s="1" customFormat="1" ht="14.1" customHeight="1" x14ac:dyDescent="0.2"/>
    <row r="244" s="1" customFormat="1" ht="14.1" customHeight="1" x14ac:dyDescent="0.2"/>
    <row r="245" s="1" customFormat="1" ht="14.1" customHeight="1" x14ac:dyDescent="0.2"/>
    <row r="246" s="1" customFormat="1" ht="14.1" customHeight="1" x14ac:dyDescent="0.2"/>
    <row r="247" s="1" customFormat="1" ht="14.1" customHeight="1" x14ac:dyDescent="0.2"/>
    <row r="248" s="1" customFormat="1" ht="14.1" customHeight="1" x14ac:dyDescent="0.2"/>
    <row r="249" s="1" customFormat="1" ht="14.1" customHeight="1" x14ac:dyDescent="0.2"/>
    <row r="250" s="1" customFormat="1" ht="14.1" customHeight="1" x14ac:dyDescent="0.2"/>
    <row r="251" s="1" customFormat="1" ht="14.1" customHeight="1" x14ac:dyDescent="0.2"/>
    <row r="252" s="1" customFormat="1" ht="14.1" customHeight="1" x14ac:dyDescent="0.2"/>
    <row r="253" s="1" customFormat="1" ht="14.1" customHeight="1" x14ac:dyDescent="0.2"/>
    <row r="254" s="1" customFormat="1" ht="14.1" customHeight="1" x14ac:dyDescent="0.2"/>
    <row r="255" s="1" customFormat="1" ht="14.1" customHeight="1" x14ac:dyDescent="0.2"/>
    <row r="256" s="1" customFormat="1" ht="14.1" customHeight="1" x14ac:dyDescent="0.2"/>
    <row r="257" s="1" customFormat="1" ht="14.1" customHeight="1" x14ac:dyDescent="0.2"/>
    <row r="258" s="1" customFormat="1" ht="14.1" customHeight="1" x14ac:dyDescent="0.2"/>
    <row r="259" s="1" customFormat="1" ht="14.1" customHeight="1" x14ac:dyDescent="0.2"/>
    <row r="260" s="1" customFormat="1" ht="14.1" customHeight="1" x14ac:dyDescent="0.2"/>
    <row r="261" s="1" customFormat="1" ht="14.1" customHeight="1" x14ac:dyDescent="0.2"/>
    <row r="262" s="1" customFormat="1" ht="14.1" customHeight="1" x14ac:dyDescent="0.2"/>
    <row r="263" s="1" customFormat="1" ht="14.1" customHeight="1" x14ac:dyDescent="0.2"/>
    <row r="264" s="1" customFormat="1" ht="14.1" customHeight="1" x14ac:dyDescent="0.2"/>
    <row r="265" s="1" customFormat="1" ht="14.1" customHeight="1" x14ac:dyDescent="0.2"/>
    <row r="266" s="1" customFormat="1" ht="14.1" customHeight="1" x14ac:dyDescent="0.2"/>
    <row r="267" s="1" customFormat="1" ht="14.1" customHeight="1" x14ac:dyDescent="0.2"/>
    <row r="268" s="1" customFormat="1" ht="14.1" customHeight="1" x14ac:dyDescent="0.2"/>
    <row r="269" s="1" customFormat="1" ht="14.1" customHeight="1" x14ac:dyDescent="0.2"/>
    <row r="270" s="1" customFormat="1" ht="14.1" customHeight="1" x14ac:dyDescent="0.2"/>
    <row r="271" s="1" customFormat="1" ht="14.1" customHeight="1" x14ac:dyDescent="0.2"/>
    <row r="272" s="1" customFormat="1" ht="14.1" customHeight="1" x14ac:dyDescent="0.2"/>
    <row r="273" s="1" customFormat="1" ht="14.1" customHeight="1" x14ac:dyDescent="0.2"/>
    <row r="274" s="1" customFormat="1" ht="14.1" customHeight="1" x14ac:dyDescent="0.2"/>
    <row r="275" s="1" customFormat="1" ht="14.1" customHeight="1" x14ac:dyDescent="0.2"/>
    <row r="276" s="1" customFormat="1" ht="14.1" customHeight="1" x14ac:dyDescent="0.2"/>
    <row r="277" s="1" customFormat="1" ht="14.1" customHeight="1" x14ac:dyDescent="0.2"/>
    <row r="278" s="1" customFormat="1" ht="14.1" customHeight="1" x14ac:dyDescent="0.2"/>
    <row r="279" s="1" customFormat="1" ht="14.1" customHeight="1" x14ac:dyDescent="0.2"/>
    <row r="280" s="1" customFormat="1" ht="14.1" customHeight="1" x14ac:dyDescent="0.2"/>
    <row r="281" s="1" customFormat="1" ht="14.1" customHeight="1" x14ac:dyDescent="0.2"/>
    <row r="282" s="1" customFormat="1" ht="14.1" customHeight="1" x14ac:dyDescent="0.2"/>
    <row r="283" s="1" customFormat="1" ht="14.1" customHeight="1" x14ac:dyDescent="0.2"/>
    <row r="284" s="1" customFormat="1" ht="14.1" customHeight="1" x14ac:dyDescent="0.2"/>
    <row r="285" s="1" customFormat="1" ht="14.1" customHeight="1" x14ac:dyDescent="0.2"/>
    <row r="286" s="1" customFormat="1" ht="14.1" customHeight="1" x14ac:dyDescent="0.2"/>
    <row r="287" s="1" customFormat="1" ht="14.1" customHeight="1" x14ac:dyDescent="0.2"/>
    <row r="288" s="1" customFormat="1" ht="14.1" customHeight="1" x14ac:dyDescent="0.2"/>
    <row r="289" s="1" customFormat="1" ht="14.1" customHeight="1" x14ac:dyDescent="0.2"/>
    <row r="290" s="1" customFormat="1" ht="14.1" customHeight="1" x14ac:dyDescent="0.2"/>
    <row r="291" s="1" customFormat="1" ht="14.1" customHeight="1" x14ac:dyDescent="0.2"/>
    <row r="292" s="1" customFormat="1" ht="14.1" customHeight="1" x14ac:dyDescent="0.2"/>
    <row r="293" s="1" customFormat="1" ht="14.1" customHeight="1" x14ac:dyDescent="0.2"/>
    <row r="294" s="1" customFormat="1" ht="14.1" customHeight="1" x14ac:dyDescent="0.2"/>
    <row r="295" s="1" customFormat="1" ht="14.1" customHeight="1" x14ac:dyDescent="0.2"/>
    <row r="296" s="1" customFormat="1" ht="14.1" customHeight="1" x14ac:dyDescent="0.2"/>
    <row r="297" s="1" customFormat="1" ht="14.1" customHeight="1" x14ac:dyDescent="0.2"/>
    <row r="298" s="1" customFormat="1" ht="14.1" customHeight="1" x14ac:dyDescent="0.2"/>
    <row r="299" s="1" customFormat="1" ht="14.1" customHeight="1" x14ac:dyDescent="0.2"/>
    <row r="300" s="1" customFormat="1" ht="14.1" customHeight="1" x14ac:dyDescent="0.2"/>
    <row r="301" s="1" customFormat="1" ht="14.1" customHeight="1" x14ac:dyDescent="0.2"/>
    <row r="302" s="1" customFormat="1" ht="14.1" customHeight="1" x14ac:dyDescent="0.2"/>
    <row r="303" s="1" customFormat="1" ht="14.1" customHeight="1" x14ac:dyDescent="0.2"/>
    <row r="304" s="1" customFormat="1" ht="14.1" customHeight="1" x14ac:dyDescent="0.2"/>
    <row r="305" s="1" customFormat="1" ht="14.1" customHeight="1" x14ac:dyDescent="0.2"/>
    <row r="306" s="1" customFormat="1" ht="14.1" customHeight="1" x14ac:dyDescent="0.2"/>
    <row r="307" s="1" customFormat="1" ht="14.1" customHeight="1" x14ac:dyDescent="0.2"/>
    <row r="308" s="1" customFormat="1" ht="14.1" customHeight="1" x14ac:dyDescent="0.2"/>
    <row r="309" s="1" customFormat="1" ht="14.1" customHeight="1" x14ac:dyDescent="0.2"/>
    <row r="310" s="1" customFormat="1" ht="14.1" customHeight="1" x14ac:dyDescent="0.2"/>
    <row r="311" s="1" customFormat="1" ht="14.1" customHeight="1" x14ac:dyDescent="0.2"/>
    <row r="312" s="1" customFormat="1" ht="14.1" customHeight="1" x14ac:dyDescent="0.2"/>
    <row r="313" s="1" customFormat="1" ht="14.1" customHeight="1" x14ac:dyDescent="0.2"/>
    <row r="314" s="1" customFormat="1" ht="14.1" customHeight="1" x14ac:dyDescent="0.2"/>
    <row r="315" s="1" customFormat="1" ht="14.1" customHeight="1" x14ac:dyDescent="0.2"/>
    <row r="316" s="1" customFormat="1" ht="14.1" customHeight="1" x14ac:dyDescent="0.2"/>
    <row r="317" s="1" customFormat="1" ht="14.1" customHeight="1" x14ac:dyDescent="0.2"/>
    <row r="318" s="1" customFormat="1" ht="14.1" customHeight="1" x14ac:dyDescent="0.2"/>
    <row r="319" s="1" customFormat="1" ht="14.1" customHeight="1" x14ac:dyDescent="0.2"/>
    <row r="320" s="1" customFormat="1" ht="14.1" customHeight="1" x14ac:dyDescent="0.2"/>
    <row r="321" s="1" customFormat="1" ht="14.1" customHeight="1" x14ac:dyDescent="0.2"/>
    <row r="322" s="1" customFormat="1" ht="14.1" customHeight="1" x14ac:dyDescent="0.2"/>
    <row r="323" s="1" customFormat="1" ht="14.1" customHeight="1" x14ac:dyDescent="0.2"/>
    <row r="324" s="1" customFormat="1" ht="14.1" customHeight="1" x14ac:dyDescent="0.2"/>
    <row r="325" s="1" customFormat="1" ht="14.1" customHeight="1" x14ac:dyDescent="0.2"/>
    <row r="326" s="1" customFormat="1" ht="14.1" customHeight="1" x14ac:dyDescent="0.2"/>
    <row r="327" s="1" customFormat="1" ht="14.1" customHeight="1" x14ac:dyDescent="0.2"/>
    <row r="328" s="1" customFormat="1" ht="14.1" customHeight="1" x14ac:dyDescent="0.2"/>
    <row r="329" s="1" customFormat="1" ht="14.1" customHeight="1" x14ac:dyDescent="0.2"/>
    <row r="330" s="1" customFormat="1" ht="14.1" customHeight="1" x14ac:dyDescent="0.2"/>
    <row r="331" s="1" customFormat="1" ht="14.1" customHeight="1" x14ac:dyDescent="0.2"/>
    <row r="332" s="1" customFormat="1" ht="14.1" customHeight="1" x14ac:dyDescent="0.2"/>
    <row r="333" s="1" customFormat="1" ht="14.1" customHeight="1" x14ac:dyDescent="0.2"/>
    <row r="334" s="1" customFormat="1" ht="14.1" customHeight="1" x14ac:dyDescent="0.2"/>
    <row r="335" s="1" customFormat="1" ht="14.1" customHeight="1" x14ac:dyDescent="0.2"/>
    <row r="336" s="1" customFormat="1" ht="14.1" customHeight="1" x14ac:dyDescent="0.2"/>
    <row r="337" s="1" customFormat="1" ht="14.1" customHeight="1" x14ac:dyDescent="0.2"/>
    <row r="338" s="1" customFormat="1" ht="14.1" customHeight="1" x14ac:dyDescent="0.2"/>
    <row r="339" s="1" customFormat="1" ht="14.1" customHeight="1" x14ac:dyDescent="0.2"/>
    <row r="340" s="1" customFormat="1" ht="14.1" customHeight="1" x14ac:dyDescent="0.2"/>
    <row r="341" s="1" customFormat="1" ht="14.1" customHeight="1" x14ac:dyDescent="0.2"/>
    <row r="342" s="1" customFormat="1" ht="14.1" customHeight="1" x14ac:dyDescent="0.2"/>
    <row r="343" s="1" customFormat="1" ht="14.1" customHeight="1" x14ac:dyDescent="0.2"/>
    <row r="344" s="1" customFormat="1" ht="14.1" customHeight="1" x14ac:dyDescent="0.2"/>
    <row r="345" s="1" customFormat="1" ht="14.1" customHeight="1" x14ac:dyDescent="0.2"/>
    <row r="346" s="1" customFormat="1" ht="14.1" customHeight="1" x14ac:dyDescent="0.2"/>
    <row r="347" s="1" customFormat="1" ht="14.1" customHeight="1" x14ac:dyDescent="0.2"/>
    <row r="348" s="1" customFormat="1" ht="14.1" customHeight="1" x14ac:dyDescent="0.2"/>
    <row r="349" s="1" customFormat="1" ht="14.1" customHeight="1" x14ac:dyDescent="0.2"/>
    <row r="350" s="1" customFormat="1" ht="14.1" customHeight="1" x14ac:dyDescent="0.2"/>
    <row r="351" s="1" customFormat="1" ht="14.1" customHeight="1" x14ac:dyDescent="0.2"/>
    <row r="352" s="1" customFormat="1" ht="14.1" customHeight="1" x14ac:dyDescent="0.2"/>
    <row r="353" s="1" customFormat="1" ht="14.1" customHeight="1" x14ac:dyDescent="0.2"/>
    <row r="354" s="1" customFormat="1" ht="14.1" customHeight="1" x14ac:dyDescent="0.2"/>
    <row r="355" s="1" customFormat="1" ht="14.1" customHeight="1" x14ac:dyDescent="0.2"/>
    <row r="356" s="1" customFormat="1" ht="14.1" customHeight="1" x14ac:dyDescent="0.2"/>
    <row r="357" s="1" customFormat="1" ht="14.1" customHeight="1" x14ac:dyDescent="0.2"/>
    <row r="358" s="1" customFormat="1" ht="14.1" customHeight="1" x14ac:dyDescent="0.2"/>
    <row r="359" s="1" customFormat="1" ht="14.1" customHeight="1" x14ac:dyDescent="0.2"/>
    <row r="360" s="1" customFormat="1" ht="14.1" customHeight="1" x14ac:dyDescent="0.2"/>
    <row r="361" s="1" customFormat="1" ht="14.1" customHeight="1" x14ac:dyDescent="0.2"/>
    <row r="362" s="1" customFormat="1" ht="14.1" customHeight="1" x14ac:dyDescent="0.2"/>
    <row r="363" s="1" customFormat="1" ht="14.1" customHeight="1" x14ac:dyDescent="0.2"/>
    <row r="364" s="1" customFormat="1" ht="14.1" customHeight="1" x14ac:dyDescent="0.2"/>
    <row r="365" s="1" customFormat="1" ht="14.1" customHeight="1" x14ac:dyDescent="0.2"/>
    <row r="366" s="1" customFormat="1" ht="14.1" customHeight="1" x14ac:dyDescent="0.2"/>
    <row r="367" s="1" customFormat="1" ht="14.1" customHeight="1" x14ac:dyDescent="0.2"/>
    <row r="368" s="1" customFormat="1" ht="14.1" customHeight="1" x14ac:dyDescent="0.2"/>
    <row r="369" s="1" customFormat="1" ht="14.1" customHeight="1" x14ac:dyDescent="0.2"/>
    <row r="370" s="1" customFormat="1" ht="14.1" customHeight="1" x14ac:dyDescent="0.2"/>
    <row r="371" s="1" customFormat="1" ht="14.1" customHeight="1" x14ac:dyDescent="0.2"/>
    <row r="372" s="1" customFormat="1" ht="14.1" customHeight="1" x14ac:dyDescent="0.2"/>
    <row r="373" s="1" customFormat="1" ht="14.1" customHeight="1" x14ac:dyDescent="0.2"/>
    <row r="374" s="1" customFormat="1" ht="14.1" customHeight="1" x14ac:dyDescent="0.2"/>
    <row r="375" s="1" customFormat="1" ht="14.1" customHeight="1" x14ac:dyDescent="0.2"/>
    <row r="376" s="1" customFormat="1" ht="14.1" customHeight="1" x14ac:dyDescent="0.2"/>
    <row r="377" s="1" customFormat="1" ht="14.1" customHeight="1" x14ac:dyDescent="0.2"/>
    <row r="378" s="1" customFormat="1" ht="14.1" customHeight="1" x14ac:dyDescent="0.2"/>
    <row r="379" s="1" customFormat="1" ht="14.1" customHeight="1" x14ac:dyDescent="0.2"/>
    <row r="380" s="1" customFormat="1" ht="14.1" customHeight="1" x14ac:dyDescent="0.2"/>
    <row r="381" s="1" customFormat="1" ht="14.1" customHeight="1" x14ac:dyDescent="0.2"/>
    <row r="382" s="1" customFormat="1" ht="14.1" customHeight="1" x14ac:dyDescent="0.2"/>
    <row r="383" s="1" customFormat="1" ht="14.1" customHeight="1" x14ac:dyDescent="0.2"/>
    <row r="384" s="1" customFormat="1" ht="14.1" customHeight="1" x14ac:dyDescent="0.2"/>
    <row r="385" s="1" customFormat="1" ht="14.1" customHeight="1" x14ac:dyDescent="0.2"/>
    <row r="386" s="1" customFormat="1" ht="14.1" customHeight="1" x14ac:dyDescent="0.2"/>
    <row r="387" s="1" customFormat="1" ht="14.1" customHeight="1" x14ac:dyDescent="0.2"/>
    <row r="388" s="1" customFormat="1" ht="14.1" customHeight="1" x14ac:dyDescent="0.2"/>
    <row r="389" s="1" customFormat="1" ht="14.1" customHeight="1" x14ac:dyDescent="0.2"/>
    <row r="390" s="1" customFormat="1" ht="14.1" customHeight="1" x14ac:dyDescent="0.2"/>
    <row r="391" s="1" customFormat="1" ht="14.1" customHeight="1" x14ac:dyDescent="0.2"/>
    <row r="392" s="1" customFormat="1" ht="14.1" customHeight="1" x14ac:dyDescent="0.2"/>
    <row r="393" s="1" customFormat="1" ht="14.1" customHeight="1" x14ac:dyDescent="0.2"/>
    <row r="394" s="1" customFormat="1" ht="14.1" customHeight="1" x14ac:dyDescent="0.2"/>
    <row r="395" s="1" customFormat="1" ht="14.1" customHeight="1" x14ac:dyDescent="0.2"/>
    <row r="396" s="1" customFormat="1" ht="14.1" customHeight="1" x14ac:dyDescent="0.2"/>
    <row r="397" s="1" customFormat="1" ht="14.1" customHeight="1" x14ac:dyDescent="0.2"/>
    <row r="398" s="1" customFormat="1" ht="14.1" customHeight="1" x14ac:dyDescent="0.2"/>
    <row r="399" s="1" customFormat="1" ht="14.1" customHeight="1" x14ac:dyDescent="0.2"/>
    <row r="400" s="1" customFormat="1" ht="14.1" customHeight="1" x14ac:dyDescent="0.2"/>
    <row r="401" s="1" customFormat="1" ht="14.1" customHeight="1" x14ac:dyDescent="0.2"/>
    <row r="402" s="1" customFormat="1" ht="14.1" customHeight="1" x14ac:dyDescent="0.2"/>
    <row r="403" s="1" customFormat="1" ht="14.1" customHeight="1" x14ac:dyDescent="0.2"/>
    <row r="404" s="1" customFormat="1" ht="14.1" customHeight="1" x14ac:dyDescent="0.2"/>
    <row r="405" s="1" customFormat="1" ht="14.1" customHeight="1" x14ac:dyDescent="0.2"/>
    <row r="406" s="1" customFormat="1" ht="14.1" customHeight="1" x14ac:dyDescent="0.2"/>
    <row r="407" s="1" customFormat="1" ht="14.1" customHeight="1" x14ac:dyDescent="0.2"/>
    <row r="408" s="1" customFormat="1" ht="14.1" customHeight="1" x14ac:dyDescent="0.2"/>
    <row r="409" s="1" customFormat="1" ht="14.1" customHeight="1" x14ac:dyDescent="0.2"/>
    <row r="410" s="1" customFormat="1" ht="14.1" customHeight="1" x14ac:dyDescent="0.2"/>
    <row r="411" s="1" customFormat="1" ht="14.1" customHeight="1" x14ac:dyDescent="0.2"/>
    <row r="412" s="1" customFormat="1" ht="14.1" customHeight="1" x14ac:dyDescent="0.2"/>
    <row r="413" s="1" customFormat="1" ht="14.1" customHeight="1" x14ac:dyDescent="0.2"/>
    <row r="414" s="1" customFormat="1" ht="14.1" customHeight="1" x14ac:dyDescent="0.2"/>
    <row r="415" s="1" customFormat="1" ht="14.1" customHeight="1" x14ac:dyDescent="0.2"/>
    <row r="416" s="1" customFormat="1" ht="14.1" customHeight="1" x14ac:dyDescent="0.2"/>
    <row r="417" s="1" customFormat="1" ht="14.1" customHeight="1" x14ac:dyDescent="0.2"/>
    <row r="418" s="1" customFormat="1" ht="14.1" customHeight="1" x14ac:dyDescent="0.2"/>
    <row r="419" s="1" customFormat="1" ht="14.1" customHeight="1" x14ac:dyDescent="0.2"/>
    <row r="420" s="1" customFormat="1" ht="14.1" customHeight="1" x14ac:dyDescent="0.2"/>
    <row r="421" s="1" customFormat="1" ht="14.1" customHeight="1" x14ac:dyDescent="0.2"/>
    <row r="422" s="1" customFormat="1" ht="14.1" customHeight="1" x14ac:dyDescent="0.2"/>
    <row r="423" s="1" customFormat="1" ht="14.1" customHeight="1" x14ac:dyDescent="0.2"/>
    <row r="424" s="1" customFormat="1" ht="14.1" customHeight="1" x14ac:dyDescent="0.2"/>
    <row r="425" s="1" customFormat="1" ht="14.1" customHeight="1" x14ac:dyDescent="0.2"/>
    <row r="426" s="1" customFormat="1" ht="14.1" customHeight="1" x14ac:dyDescent="0.2"/>
    <row r="427" s="1" customFormat="1" ht="14.1" customHeight="1" x14ac:dyDescent="0.2"/>
    <row r="428" s="1" customFormat="1" ht="14.1" customHeight="1" x14ac:dyDescent="0.2"/>
    <row r="429" s="1" customFormat="1" ht="14.1" customHeight="1" x14ac:dyDescent="0.2"/>
    <row r="430" s="1" customFormat="1" ht="14.1" customHeight="1" x14ac:dyDescent="0.2"/>
    <row r="431" s="1" customFormat="1" ht="14.1" customHeight="1" x14ac:dyDescent="0.2"/>
    <row r="432" s="1" customFormat="1" ht="14.1" customHeight="1" x14ac:dyDescent="0.2"/>
    <row r="433" s="1" customFormat="1" ht="14.1" customHeight="1" x14ac:dyDescent="0.2"/>
    <row r="434" s="1" customFormat="1" ht="14.1" customHeight="1" x14ac:dyDescent="0.2"/>
    <row r="435" s="1" customFormat="1" ht="14.1" customHeight="1" x14ac:dyDescent="0.2"/>
    <row r="436" s="1" customFormat="1" ht="14.1" customHeight="1" x14ac:dyDescent="0.2"/>
    <row r="437" s="1" customFormat="1" ht="14.1" customHeight="1" x14ac:dyDescent="0.2"/>
    <row r="438" s="1" customFormat="1" ht="14.1" customHeight="1" x14ac:dyDescent="0.2"/>
    <row r="439" s="1" customFormat="1" ht="14.1" customHeight="1" x14ac:dyDescent="0.2"/>
    <row r="440" s="1" customFormat="1" ht="14.1" customHeight="1" x14ac:dyDescent="0.2"/>
    <row r="441" s="1" customFormat="1" ht="14.1" customHeight="1" x14ac:dyDescent="0.2"/>
    <row r="442" s="1" customFormat="1" ht="14.1" customHeight="1" x14ac:dyDescent="0.2"/>
    <row r="443" s="1" customFormat="1" ht="14.1" customHeight="1" x14ac:dyDescent="0.2"/>
    <row r="444" s="1" customFormat="1" ht="14.1" customHeight="1" x14ac:dyDescent="0.2"/>
    <row r="445" s="1" customFormat="1" ht="14.1" customHeight="1" x14ac:dyDescent="0.2"/>
    <row r="446" s="1" customFormat="1" ht="14.1" customHeight="1" x14ac:dyDescent="0.2"/>
    <row r="447" s="1" customFormat="1" ht="14.1" customHeight="1" x14ac:dyDescent="0.2"/>
    <row r="448" s="1" customFormat="1" ht="14.1" customHeight="1" x14ac:dyDescent="0.2"/>
    <row r="449" s="1" customFormat="1" ht="14.1" customHeight="1" x14ac:dyDescent="0.2"/>
  </sheetData>
  <dataValidations count="1">
    <dataValidation type="list" allowBlank="1" showInputMessage="1" showErrorMessage="1" sqref="G2">
      <formula1>$H$2:$H$3</formula1>
    </dataValidation>
  </dataValidations>
  <hyperlinks>
    <hyperlink ref="B24" r:id="rId1"/>
  </hyperlinks>
  <pageMargins left="0.7" right="0.7" top="0.75" bottom="0.75" header="0.3" footer="0.3"/>
  <pageSetup paperSize="9" scale="72"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H496"/>
  <sheetViews>
    <sheetView showGridLines="0" zoomScale="80" zoomScaleNormal="80" workbookViewId="0">
      <pane xSplit="6" ySplit="6" topLeftCell="G40" activePane="bottomRight" state="frozen"/>
      <selection pane="topRight" activeCell="G1" sqref="G1"/>
      <selection pane="bottomLeft" activeCell="A7" sqref="A7"/>
      <selection pane="bottomRight" activeCell="H79" sqref="H79"/>
    </sheetView>
  </sheetViews>
  <sheetFormatPr defaultRowHeight="14.1" customHeight="1" x14ac:dyDescent="0.2"/>
  <cols>
    <col min="1" max="1" width="5.7109375" style="112" customWidth="1"/>
    <col min="2" max="2" width="37.85546875" customWidth="1"/>
    <col min="3" max="7" width="11.85546875" customWidth="1"/>
    <col min="8" max="16" width="10.7109375" customWidth="1"/>
    <col min="17" max="17" width="11.85546875" customWidth="1"/>
    <col min="18" max="22" width="10.7109375" customWidth="1"/>
    <col min="23" max="23" width="11.85546875" customWidth="1"/>
    <col min="24" max="47" width="10.7109375" customWidth="1"/>
    <col min="48" max="49" width="10.7109375" style="1" customWidth="1"/>
    <col min="50" max="57" width="10.7109375" customWidth="1"/>
  </cols>
  <sheetData>
    <row r="1" spans="1:86" s="110" customFormat="1" ht="50.25" customHeight="1" x14ac:dyDescent="0.2">
      <c r="A1" s="112">
        <v>1</v>
      </c>
      <c r="B1" s="107"/>
      <c r="C1" s="108"/>
      <c r="D1" s="108"/>
      <c r="E1" s="108"/>
      <c r="F1" s="108"/>
      <c r="G1" s="108"/>
      <c r="H1" s="109"/>
      <c r="I1" s="109"/>
      <c r="J1" s="108"/>
      <c r="K1" s="108"/>
      <c r="L1" s="108"/>
      <c r="M1" s="108"/>
      <c r="N1" s="108"/>
      <c r="O1" s="108"/>
      <c r="P1" s="108"/>
      <c r="Q1" s="108"/>
      <c r="R1" s="108"/>
      <c r="S1" s="109"/>
      <c r="T1" s="109"/>
      <c r="U1" s="109"/>
      <c r="V1" s="108"/>
      <c r="W1" s="108"/>
      <c r="X1" s="109"/>
      <c r="Y1" s="109"/>
      <c r="Z1" s="108"/>
      <c r="AA1" s="108"/>
      <c r="AB1" s="108"/>
      <c r="AC1" s="108"/>
      <c r="AD1" s="108"/>
      <c r="AE1" s="108"/>
      <c r="AF1" s="108"/>
      <c r="AG1" s="108"/>
      <c r="AH1" s="108"/>
      <c r="AI1" s="109"/>
      <c r="AJ1" s="109"/>
      <c r="AK1" s="109"/>
      <c r="AL1" s="108"/>
      <c r="AM1" s="108"/>
      <c r="AN1" s="109"/>
      <c r="AO1" s="109"/>
      <c r="AP1" s="108"/>
      <c r="AQ1" s="108"/>
      <c r="AR1" s="108"/>
      <c r="AS1" s="108"/>
      <c r="AT1" s="108"/>
      <c r="AU1" s="108"/>
      <c r="AV1" s="106"/>
      <c r="AW1" s="106"/>
    </row>
    <row r="2" spans="1:86" s="226" customFormat="1" ht="12.75" x14ac:dyDescent="0.2">
      <c r="A2" s="112">
        <v>2</v>
      </c>
      <c r="B2" s="224"/>
      <c r="C2" s="225"/>
      <c r="D2" s="46" t="str">
        <f>Main!G2</f>
        <v>Russian</v>
      </c>
      <c r="E2" s="46" t="str">
        <f>Main!$H$2</f>
        <v>English</v>
      </c>
      <c r="F2" s="225"/>
      <c r="G2" s="225"/>
      <c r="H2" s="225"/>
      <c r="I2" s="42"/>
      <c r="J2" s="42"/>
      <c r="K2" s="42"/>
      <c r="L2" s="42"/>
      <c r="M2" s="42"/>
      <c r="N2" s="42"/>
      <c r="O2" s="42"/>
      <c r="P2" s="42"/>
      <c r="Q2" s="42"/>
      <c r="R2" s="34"/>
      <c r="S2" s="42"/>
      <c r="T2" s="42"/>
      <c r="U2" s="42"/>
      <c r="V2" s="42"/>
      <c r="W2" s="42"/>
      <c r="X2" s="225"/>
      <c r="Y2" s="225"/>
      <c r="AA2" s="225"/>
      <c r="AB2" s="225"/>
      <c r="AC2" s="225"/>
      <c r="AD2" s="225"/>
      <c r="AE2" s="225"/>
      <c r="AF2" s="225"/>
      <c r="AG2" s="225"/>
      <c r="AH2" s="225"/>
      <c r="AI2" s="225"/>
      <c r="AJ2" s="225"/>
      <c r="AK2" s="225"/>
      <c r="AN2" s="225"/>
      <c r="AO2" s="225"/>
      <c r="AQ2" s="225"/>
      <c r="AR2" s="225"/>
      <c r="AS2" s="225"/>
      <c r="AT2" s="225"/>
      <c r="AU2" s="225"/>
      <c r="AV2" s="223"/>
      <c r="AW2" s="223"/>
    </row>
    <row r="3" spans="1:86" s="226" customFormat="1" ht="12.75" x14ac:dyDescent="0.2">
      <c r="A3" s="112">
        <v>3</v>
      </c>
      <c r="B3" s="224"/>
      <c r="C3" s="225"/>
      <c r="D3" s="47"/>
      <c r="E3" s="46" t="str">
        <f>Main!$H$3</f>
        <v>Russian</v>
      </c>
      <c r="F3" s="225"/>
      <c r="G3" s="225"/>
      <c r="H3" s="236"/>
      <c r="I3" s="238"/>
      <c r="J3" s="238"/>
      <c r="K3" s="238"/>
      <c r="L3" s="238"/>
      <c r="M3" s="238"/>
      <c r="N3" s="238"/>
      <c r="O3" s="238"/>
      <c r="P3" s="238"/>
      <c r="Q3" s="238"/>
      <c r="R3" s="238"/>
      <c r="S3" s="238"/>
      <c r="T3" s="238"/>
      <c r="U3" s="238"/>
      <c r="V3" s="238"/>
      <c r="W3" s="238"/>
      <c r="X3" s="225"/>
      <c r="Y3" s="225"/>
      <c r="Z3" s="225"/>
      <c r="AA3" s="225"/>
      <c r="AB3" s="225"/>
      <c r="AC3" s="225"/>
      <c r="AD3" s="225"/>
      <c r="AE3" s="225"/>
      <c r="AF3" s="225"/>
      <c r="AG3" s="225"/>
      <c r="AH3" s="225"/>
      <c r="AI3" s="225"/>
      <c r="AJ3" s="225"/>
      <c r="AK3" s="225"/>
      <c r="AN3" s="225"/>
      <c r="AO3" s="225"/>
      <c r="AP3" s="225"/>
      <c r="AQ3" s="225"/>
      <c r="AR3" s="225"/>
      <c r="AS3" s="225"/>
      <c r="AT3" s="225"/>
      <c r="AU3" s="225"/>
      <c r="AV3" s="223"/>
      <c r="AW3" s="223"/>
    </row>
    <row r="4" spans="1:86" s="110" customFormat="1" ht="12.75" x14ac:dyDescent="0.2">
      <c r="A4" s="112">
        <v>4</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11"/>
      <c r="AN4" s="108"/>
      <c r="AO4" s="108"/>
      <c r="AP4" s="108"/>
      <c r="AQ4" s="108"/>
      <c r="AR4" s="108"/>
      <c r="AS4" s="108"/>
      <c r="AT4" s="108"/>
      <c r="AU4" s="108"/>
      <c r="AV4" s="108"/>
      <c r="AW4" s="106"/>
    </row>
    <row r="5" spans="1:86" ht="12.75" customHeight="1" x14ac:dyDescent="0.2">
      <c r="A5" s="112">
        <v>5</v>
      </c>
      <c r="B5" s="290" t="str">
        <f>IF($D$2=$E$2,E!B5,'R'!B5:B6)</f>
        <v>Результаты по РСБУ</v>
      </c>
      <c r="C5" s="294" t="str">
        <f ca="1">IF($D$2=$E$2,E!C5,'R'!C5)</f>
        <v>5M 2026 / 5M 2025</v>
      </c>
      <c r="D5" s="140"/>
      <c r="E5" s="299"/>
      <c r="F5" s="113"/>
      <c r="G5" s="256" t="str">
        <f>IF($D$2=$E$2,E!G5,'R'!G5)</f>
        <v>5M 2026</v>
      </c>
      <c r="H5" s="273" t="str">
        <f>IF($D$2=$E$2,E!H5,'R'!H5)</f>
        <v>4M 2026</v>
      </c>
      <c r="I5" s="269" t="str">
        <f>IF($D$2=$E$2,E!I5,'R'!I5)</f>
        <v>1К 2026</v>
      </c>
      <c r="J5" s="256"/>
      <c r="K5" s="256" t="str">
        <f>IF($D$2=$E$2,E!K5,'R'!K5)</f>
        <v>2M 2026</v>
      </c>
      <c r="L5" s="303" t="str">
        <f>IF($D$2=$E$2,E!L5,'R'!L5)</f>
        <v>1M 2026</v>
      </c>
      <c r="M5" s="260">
        <f>IF($D$2=$E$2,E!M5,'R'!M5)</f>
        <v>2025</v>
      </c>
      <c r="N5" s="250"/>
      <c r="O5" s="264" t="str">
        <f>IF($D$2=$E$2,E!O5,'R'!O5)</f>
        <v>11M 2025</v>
      </c>
      <c r="P5" s="279" t="str">
        <f>IF($D$2=$E$2,E!P5,'R'!P5)</f>
        <v>10M 2025</v>
      </c>
      <c r="Q5" s="269" t="str">
        <f>IF($D$2=$E$2,E!Q5,'R'!Q5)</f>
        <v>9М 2025</v>
      </c>
      <c r="R5" s="273"/>
      <c r="S5" s="279" t="str">
        <f>IF($D$2=$E$2,E!S5,'R'!S5)</f>
        <v>8M 2025</v>
      </c>
      <c r="T5" s="279" t="str">
        <f>IF($D$2=$E$2,E!T5,'R'!T5)</f>
        <v>7M 2025</v>
      </c>
      <c r="U5" s="269" t="str">
        <f>IF($D$2=$E$2,E!U5,'R'!U5)</f>
        <v>1П 2025</v>
      </c>
      <c r="V5" s="243"/>
      <c r="W5" s="256" t="str">
        <f>IF($D$2=$E$2,E!W5,'R'!W5)</f>
        <v>5M 2025</v>
      </c>
      <c r="X5" s="273" t="str">
        <f>IF($D$2=$E$2,E!X5,'R'!X5)</f>
        <v>4M 2025</v>
      </c>
      <c r="Y5" s="269" t="str">
        <f>IF($D$2=$E$2,E!Y5,'R'!Y5)</f>
        <v>1К 2025</v>
      </c>
      <c r="Z5" s="256"/>
      <c r="AA5" s="256" t="str">
        <f>IF($D$2=$E$2,E!AA5,'R'!AA5)</f>
        <v>2M 2025</v>
      </c>
      <c r="AB5" s="273" t="str">
        <f>IF($D$2=$E$2,E!AB5,'R'!AB5)</f>
        <v>1M 2025</v>
      </c>
      <c r="AC5" s="260">
        <f>IF($D$2=$E$2,E!AC5,'R'!AC5)</f>
        <v>2024</v>
      </c>
      <c r="AD5" s="232"/>
      <c r="AE5" s="264" t="str">
        <f>IF($D$2=$E$2,E!AE5,'R'!AE5)</f>
        <v>11M 2024</v>
      </c>
      <c r="AF5" s="279" t="str">
        <f>IF($D$2=$E$2,E!AF5,'R'!AF5)</f>
        <v>10M 2024</v>
      </c>
      <c r="AG5" s="269" t="str">
        <f>IF($D$2=$E$2,E!AG5,'R'!AG5)</f>
        <v>9М 2024</v>
      </c>
      <c r="AH5" s="273"/>
      <c r="AI5" s="279" t="str">
        <f>IF($D$2=$E$2,E!AI5,'R'!AI5)</f>
        <v>8M 2024</v>
      </c>
      <c r="AJ5" s="279" t="str">
        <f>IF($D$2=$E$2,E!AJ5,'R'!AJ5)</f>
        <v>7M 2024</v>
      </c>
      <c r="AK5" s="269" t="str">
        <f>IF($D$2=$E$2,E!AK5,'R'!AK5)</f>
        <v>1П 2024</v>
      </c>
      <c r="AL5" s="227"/>
      <c r="AM5" s="256" t="str">
        <f>IF($D$2=$E$2,E!AM5,'R'!AM5)</f>
        <v>5M 2024</v>
      </c>
      <c r="AN5" s="273" t="str">
        <f>IF($D$2=$E$2,E!AN5,'R'!AN5)</f>
        <v>4M 2024</v>
      </c>
      <c r="AO5" s="269" t="str">
        <f>IF($D$2=$E$2,E!AO5,'R'!AO5)</f>
        <v>1К 2024</v>
      </c>
      <c r="AP5" s="256"/>
      <c r="AQ5" s="256" t="str">
        <f>IF($D$2=$E$2,E!AQ5,'R'!AQ5)</f>
        <v>2M 2024</v>
      </c>
      <c r="AR5" s="273" t="str">
        <f>IF($D$2=$E$2,E!AR5,'R'!AR5)</f>
        <v>1M 2024</v>
      </c>
      <c r="AS5" s="260">
        <f>IF($D$2=$E$2,E!AS5,'R'!AS5)</f>
        <v>2023</v>
      </c>
      <c r="AT5" s="269" t="str">
        <f>IF($D$2=$E$2,E!AW5,'R'!AW5)</f>
        <v>9М 2023</v>
      </c>
      <c r="AU5" s="269" t="str">
        <f>IF($D$2=$E$2,E!BA5,'R'!BA5)</f>
        <v>1П 2023</v>
      </c>
      <c r="AV5" s="269" t="str">
        <f>IF($D$2=$E$2,E!BE5,'R'!BE5)</f>
        <v>1К 2023</v>
      </c>
      <c r="AW5" s="260">
        <f>IF($D$2=$E$2,E!BI5,'R'!BI5)</f>
        <v>2022</v>
      </c>
      <c r="AX5" s="260">
        <f>IF($D$2=$E$2,E!BY5,'R'!BY5)</f>
        <v>2021</v>
      </c>
      <c r="AY5" s="269" t="str">
        <f>IF($D$2=$E$2,E!CC5,'R'!CC5)</f>
        <v>9M 2021</v>
      </c>
      <c r="AZ5" s="269" t="str">
        <f>IF($D$2=$E$2,E!CG5,'R'!CG5)</f>
        <v>1П 2021</v>
      </c>
      <c r="BA5" s="269" t="str">
        <f>IF($D$2=$E$2,E!CK5,'R'!CK5)</f>
        <v>1К 2021</v>
      </c>
      <c r="BB5" s="260">
        <f>IF($D$2=$E$2,E!CO5,'R'!CO5)</f>
        <v>2020</v>
      </c>
      <c r="BC5" s="269" t="str">
        <f>IF($D$2=$E$2,E!CS5,'R'!CS5)</f>
        <v>9M 2020</v>
      </c>
      <c r="BD5" s="269" t="str">
        <f>IF($D$2=$E$2,E!CW5,'R'!CW5)</f>
        <v>1П 2020</v>
      </c>
      <c r="BE5" s="269" t="str">
        <f>IF($D$2=$E$2,E!DA5,'R'!DA5)</f>
        <v>1К 2020</v>
      </c>
      <c r="BF5" s="260">
        <f>IF($D$2=$E$2,E!DE5,'R'!DE5)</f>
        <v>2019</v>
      </c>
      <c r="BG5" s="277" t="str">
        <f>IF($D$2=$E$2,E!DF5,'R'!DF5)</f>
        <v>9M 2019</v>
      </c>
      <c r="BH5" s="277" t="str">
        <f>IF($D$2=$E$2,E!DG5,'R'!DG5)</f>
        <v>1П 2019</v>
      </c>
      <c r="BI5" s="277" t="str">
        <f>IF($D$2=$E$2,E!DH5,'R'!DH5)</f>
        <v>1К 2019</v>
      </c>
      <c r="BJ5" s="260">
        <f>IF($D$2=$E$2,E!DI5,'R'!DI5)</f>
        <v>2018</v>
      </c>
      <c r="BK5" s="288" t="str">
        <f>IF($D$2=$E$2,E!DJ5,'R'!DJ5)</f>
        <v>9M 2018</v>
      </c>
      <c r="BL5" s="277" t="str">
        <f>IF($D$2=$E$2,E!DK5,'R'!DK5)</f>
        <v>1П 2018</v>
      </c>
      <c r="BM5" s="277" t="str">
        <f>IF($D$2=$E$2,E!DL5,'R'!DL5)</f>
        <v>1К 2018</v>
      </c>
      <c r="BN5" s="260">
        <f>IF($D$2=$E$2,E!DM5,'R'!DM5)</f>
        <v>2017</v>
      </c>
      <c r="BO5" s="277" t="str">
        <f>IF($D$2=$E$2,E!DN5,'R'!DN5)</f>
        <v>9M 2017</v>
      </c>
      <c r="BP5" s="277" t="str">
        <f>IF($D$2=$E$2,E!DO5,'R'!DO5)</f>
        <v>1П 2017</v>
      </c>
      <c r="BQ5" s="277" t="str">
        <f>IF($D$2=$E$2,E!DP5,'R'!DP5)</f>
        <v>1К 2017</v>
      </c>
      <c r="BR5" s="1"/>
      <c r="BS5" s="1"/>
      <c r="BT5" s="1"/>
      <c r="BU5" s="1"/>
      <c r="BV5" s="1"/>
      <c r="BW5" s="1"/>
      <c r="BX5" s="1"/>
      <c r="BY5" s="1"/>
      <c r="BZ5" s="1"/>
      <c r="CA5" s="1"/>
      <c r="CB5" s="1"/>
      <c r="CC5" s="1"/>
      <c r="CD5" s="1"/>
      <c r="CE5" s="1"/>
      <c r="CF5" s="1"/>
      <c r="CG5" s="1"/>
      <c r="CH5" s="1"/>
    </row>
    <row r="6" spans="1:86" ht="12.75" x14ac:dyDescent="0.2">
      <c r="A6" s="112">
        <v>6</v>
      </c>
      <c r="B6" s="291"/>
      <c r="C6" s="295"/>
      <c r="D6" s="141"/>
      <c r="E6" s="300"/>
      <c r="F6" s="114"/>
      <c r="G6" s="257"/>
      <c r="H6" s="274"/>
      <c r="I6" s="270"/>
      <c r="J6" s="257"/>
      <c r="K6" s="257"/>
      <c r="L6" s="304"/>
      <c r="M6" s="261"/>
      <c r="N6" s="251"/>
      <c r="O6" s="265"/>
      <c r="P6" s="280"/>
      <c r="Q6" s="270"/>
      <c r="R6" s="274"/>
      <c r="S6" s="280"/>
      <c r="T6" s="280"/>
      <c r="U6" s="270"/>
      <c r="V6" s="244"/>
      <c r="W6" s="257"/>
      <c r="X6" s="274"/>
      <c r="Y6" s="270"/>
      <c r="Z6" s="257"/>
      <c r="AA6" s="257"/>
      <c r="AB6" s="274"/>
      <c r="AC6" s="261"/>
      <c r="AD6" s="234"/>
      <c r="AE6" s="265"/>
      <c r="AF6" s="280"/>
      <c r="AG6" s="270"/>
      <c r="AH6" s="274"/>
      <c r="AI6" s="280"/>
      <c r="AJ6" s="280"/>
      <c r="AK6" s="270"/>
      <c r="AL6" s="228"/>
      <c r="AM6" s="257"/>
      <c r="AN6" s="274"/>
      <c r="AO6" s="270"/>
      <c r="AP6" s="257"/>
      <c r="AQ6" s="257"/>
      <c r="AR6" s="274"/>
      <c r="AS6" s="261"/>
      <c r="AT6" s="270"/>
      <c r="AU6" s="270"/>
      <c r="AV6" s="270"/>
      <c r="AW6" s="261"/>
      <c r="AX6" s="261"/>
      <c r="AY6" s="270"/>
      <c r="AZ6" s="270"/>
      <c r="BA6" s="270"/>
      <c r="BB6" s="261"/>
      <c r="BC6" s="270"/>
      <c r="BD6" s="270"/>
      <c r="BE6" s="270"/>
      <c r="BF6" s="261"/>
      <c r="BG6" s="287"/>
      <c r="BH6" s="287"/>
      <c r="BI6" s="287"/>
      <c r="BJ6" s="261"/>
      <c r="BK6" s="289"/>
      <c r="BL6" s="287"/>
      <c r="BM6" s="287"/>
      <c r="BN6" s="261"/>
      <c r="BO6" s="287"/>
      <c r="BP6" s="287"/>
      <c r="BQ6" s="287"/>
      <c r="BR6" s="1"/>
      <c r="BS6" s="1"/>
      <c r="BT6" s="1"/>
      <c r="BU6" s="1"/>
      <c r="BV6" s="1"/>
      <c r="BW6" s="1"/>
      <c r="BX6" s="1"/>
      <c r="BY6" s="1"/>
      <c r="BZ6" s="1"/>
      <c r="CA6" s="1"/>
      <c r="CB6" s="1"/>
      <c r="CC6" s="1"/>
      <c r="CD6" s="1"/>
      <c r="CE6" s="1"/>
      <c r="CF6" s="1"/>
      <c r="CG6" s="1"/>
      <c r="CH6" s="1"/>
    </row>
    <row r="7" spans="1:86" ht="12.75" x14ac:dyDescent="0.2">
      <c r="A7" s="112">
        <v>7</v>
      </c>
      <c r="B7" s="4" t="str">
        <f>IF($D$2=$E$2,E!B7,'R'!B7)</f>
        <v>в млн руб</v>
      </c>
      <c r="C7" s="115"/>
      <c r="D7" s="142"/>
      <c r="E7" s="116"/>
      <c r="F7" s="117"/>
      <c r="G7" s="72"/>
      <c r="H7" s="72"/>
      <c r="I7" s="26"/>
      <c r="J7" s="72"/>
      <c r="K7" s="72"/>
      <c r="L7" s="72"/>
      <c r="M7" s="26"/>
      <c r="N7" s="72"/>
      <c r="O7" s="72"/>
      <c r="P7" s="72"/>
      <c r="Q7" s="26"/>
      <c r="R7" s="72"/>
      <c r="S7" s="72"/>
      <c r="T7" s="72"/>
      <c r="U7" s="26"/>
      <c r="V7" s="72"/>
      <c r="W7" s="72"/>
      <c r="X7" s="72"/>
      <c r="Y7" s="26"/>
      <c r="Z7" s="72"/>
      <c r="AA7" s="72"/>
      <c r="AB7" s="72"/>
      <c r="AC7" s="26"/>
      <c r="AD7" s="72"/>
      <c r="AE7" s="72"/>
      <c r="AF7" s="72"/>
      <c r="AG7" s="26"/>
      <c r="AH7" s="72"/>
      <c r="AI7" s="72"/>
      <c r="AJ7" s="72"/>
      <c r="AK7" s="26"/>
      <c r="AL7" s="72"/>
      <c r="AM7" s="72"/>
      <c r="AN7" s="72"/>
      <c r="AO7" s="26"/>
      <c r="AP7" s="72"/>
      <c r="AQ7" s="72"/>
      <c r="AR7" s="72"/>
      <c r="AS7" s="26"/>
      <c r="AT7" s="26"/>
      <c r="AU7" s="26"/>
      <c r="AV7" s="26"/>
      <c r="AW7" s="26"/>
      <c r="AX7" s="26"/>
      <c r="AY7" s="26"/>
      <c r="AZ7" s="26"/>
      <c r="BA7" s="26"/>
      <c r="BB7" s="26"/>
      <c r="BC7" s="26"/>
      <c r="BD7" s="26"/>
      <c r="BE7" s="26"/>
      <c r="BF7" s="26"/>
      <c r="BG7" s="26"/>
      <c r="BH7" s="26"/>
      <c r="BI7" s="26"/>
      <c r="BJ7" s="4"/>
      <c r="BK7" s="27"/>
      <c r="BL7" s="10"/>
      <c r="BM7" s="4"/>
      <c r="BN7" s="4"/>
      <c r="BO7" s="4"/>
      <c r="BP7" s="4"/>
      <c r="BQ7" s="4"/>
      <c r="BR7" s="1"/>
      <c r="BS7" s="1"/>
      <c r="BT7" s="1"/>
      <c r="BU7" s="1"/>
      <c r="BV7" s="1"/>
      <c r="BW7" s="1"/>
      <c r="BX7" s="1"/>
      <c r="BY7" s="1"/>
      <c r="BZ7" s="1"/>
      <c r="CA7" s="1"/>
      <c r="CB7" s="1"/>
      <c r="CC7" s="1"/>
      <c r="CD7" s="1"/>
      <c r="CE7" s="1"/>
      <c r="CF7" s="1"/>
      <c r="CG7" s="1"/>
      <c r="CH7" s="1"/>
    </row>
    <row r="8" spans="1:86" ht="12.75" x14ac:dyDescent="0.2">
      <c r="A8" s="112">
        <v>8</v>
      </c>
      <c r="B8" s="4" t="str">
        <f>IF($D$2=$E$2,E!B8,'R'!B8)</f>
        <v>накопительным итогом</v>
      </c>
      <c r="C8" s="115"/>
      <c r="D8" s="115"/>
      <c r="E8" s="116"/>
      <c r="F8" s="117"/>
      <c r="G8" s="72"/>
      <c r="H8" s="72"/>
      <c r="I8" s="26"/>
      <c r="J8" s="72"/>
      <c r="K8" s="72"/>
      <c r="L8" s="72"/>
      <c r="M8" s="26"/>
      <c r="N8" s="72"/>
      <c r="O8" s="72"/>
      <c r="P8" s="72"/>
      <c r="Q8" s="26"/>
      <c r="R8" s="72"/>
      <c r="S8" s="72"/>
      <c r="T8" s="72"/>
      <c r="U8" s="26"/>
      <c r="V8" s="72"/>
      <c r="W8" s="72"/>
      <c r="X8" s="72"/>
      <c r="Y8" s="26"/>
      <c r="Z8" s="72"/>
      <c r="AA8" s="72"/>
      <c r="AB8" s="72"/>
      <c r="AC8" s="26"/>
      <c r="AD8" s="72"/>
      <c r="AE8" s="72"/>
      <c r="AF8" s="72"/>
      <c r="AG8" s="26"/>
      <c r="AH8" s="72"/>
      <c r="AI8" s="72"/>
      <c r="AJ8" s="72"/>
      <c r="AK8" s="26"/>
      <c r="AL8" s="72"/>
      <c r="AM8" s="72"/>
      <c r="AN8" s="72"/>
      <c r="AO8" s="26"/>
      <c r="AP8" s="72"/>
      <c r="AQ8" s="72"/>
      <c r="AR8" s="72"/>
      <c r="AS8" s="26"/>
      <c r="AT8" s="26"/>
      <c r="AU8" s="26"/>
      <c r="AV8" s="26"/>
      <c r="AW8" s="26"/>
      <c r="AX8" s="26"/>
      <c r="AY8" s="26"/>
      <c r="AZ8" s="26"/>
      <c r="BA8" s="26"/>
      <c r="BB8" s="26"/>
      <c r="BC8" s="26"/>
      <c r="BD8" s="26"/>
      <c r="BE8" s="26"/>
      <c r="BF8" s="26"/>
      <c r="BG8" s="26"/>
      <c r="BH8" s="26"/>
      <c r="BI8" s="26"/>
      <c r="BJ8" s="4"/>
      <c r="BK8" s="27"/>
      <c r="BL8" s="10"/>
      <c r="BM8" s="4"/>
      <c r="BN8" s="4"/>
      <c r="BO8" s="4"/>
      <c r="BP8" s="4"/>
      <c r="BQ8" s="4"/>
      <c r="BR8" s="1"/>
      <c r="BS8" s="1"/>
      <c r="BT8" s="1"/>
      <c r="BU8" s="1"/>
      <c r="BV8" s="1"/>
      <c r="BW8" s="1"/>
      <c r="BX8" s="1"/>
      <c r="BY8" s="1"/>
      <c r="BZ8" s="1"/>
      <c r="CA8" s="1"/>
      <c r="CB8" s="1"/>
      <c r="CC8" s="1"/>
      <c r="CD8" s="1"/>
      <c r="CE8" s="1"/>
      <c r="CF8" s="1"/>
      <c r="CG8" s="1"/>
      <c r="CH8" s="1"/>
    </row>
    <row r="9" spans="1:86" ht="15.75" x14ac:dyDescent="0.25">
      <c r="A9" s="112">
        <v>9</v>
      </c>
      <c r="B9" s="29" t="str">
        <f>IF($D$2=$E$2,E!B9,'R'!B9)</f>
        <v>Чистый процентный доход</v>
      </c>
      <c r="C9" s="115">
        <f ca="1">OFFSET($F9,0,1)/OFFSET($F9,0,17)-1</f>
        <v>-0.11812345044676276</v>
      </c>
      <c r="D9" s="118"/>
      <c r="E9" s="118"/>
      <c r="F9" s="117"/>
      <c r="G9" s="74">
        <v>28783.575805680302</v>
      </c>
      <c r="H9" s="217">
        <v>23050.700431260542</v>
      </c>
      <c r="I9" s="32">
        <v>17160.7715193898</v>
      </c>
      <c r="J9" s="74"/>
      <c r="K9" s="74">
        <v>11339.386936909979</v>
      </c>
      <c r="L9" s="74">
        <v>5839.3870347995235</v>
      </c>
      <c r="M9" s="32">
        <f>74358.8920439499-7.674</f>
        <v>74351.218043949906</v>
      </c>
      <c r="N9" s="74"/>
      <c r="O9" s="74">
        <v>68523.794253117885</v>
      </c>
      <c r="P9" s="74">
        <v>63032.121123416131</v>
      </c>
      <c r="Q9" s="32">
        <v>57205.977079439879</v>
      </c>
      <c r="R9" s="74"/>
      <c r="S9" s="74">
        <v>51459.750697218842</v>
      </c>
      <c r="T9" s="74">
        <v>45813.540692750226</v>
      </c>
      <c r="U9" s="32">
        <v>38827.325730539764</v>
      </c>
      <c r="V9" s="74"/>
      <c r="W9" s="74">
        <v>32639.008056470258</v>
      </c>
      <c r="X9" s="217">
        <v>26119.799474250245</v>
      </c>
      <c r="Y9" s="32">
        <v>19722.734035620138</v>
      </c>
      <c r="Z9" s="74"/>
      <c r="AA9" s="74">
        <v>12834.562779649972</v>
      </c>
      <c r="AB9" s="74">
        <v>6613.6796593097924</v>
      </c>
      <c r="AC9" s="32">
        <f>70167.4417230979+15.697</f>
        <v>70183.138723097902</v>
      </c>
      <c r="AD9" s="74"/>
      <c r="AE9" s="74">
        <v>63268.337079760466</v>
      </c>
      <c r="AF9" s="74">
        <v>56802.708636760246</v>
      </c>
      <c r="AG9" s="32">
        <v>50771.060240198261</v>
      </c>
      <c r="AH9" s="74"/>
      <c r="AI9" s="74">
        <v>45044.875827900083</v>
      </c>
      <c r="AJ9" s="74">
        <v>39085.467663600495</v>
      </c>
      <c r="AK9" s="32">
        <v>33607.348011450507</v>
      </c>
      <c r="AL9" s="74"/>
      <c r="AM9" s="74">
        <v>28257.059461790112</v>
      </c>
      <c r="AN9" s="217">
        <v>22457.353650530302</v>
      </c>
      <c r="AO9" s="32">
        <v>17020.70285512997</v>
      </c>
      <c r="AP9" s="74"/>
      <c r="AQ9" s="74">
        <v>11365.708993529881</v>
      </c>
      <c r="AR9" s="74">
        <v>5918.2167173799662</v>
      </c>
      <c r="AS9" s="32">
        <f>50703.9156071506+40.916</f>
        <v>50744.831607150598</v>
      </c>
      <c r="AT9" s="32">
        <v>34781.051522330868</v>
      </c>
      <c r="AU9" s="32">
        <v>22184.596543690292</v>
      </c>
      <c r="AV9" s="32">
        <v>11090.847093200029</v>
      </c>
      <c r="AW9" s="32">
        <f>39788.119210461+15.649</f>
        <v>39803.768210460999</v>
      </c>
      <c r="AX9" s="32">
        <f>27970.810832479+26.034</f>
        <v>27996.844832479001</v>
      </c>
      <c r="AY9" s="32">
        <v>20257.289141710069</v>
      </c>
      <c r="AZ9" s="32">
        <v>12920.650113930024</v>
      </c>
      <c r="BA9" s="32">
        <v>6427.3867481300331</v>
      </c>
      <c r="BB9" s="32">
        <f>24884.76042177+15.327</f>
        <v>24900.08742177</v>
      </c>
      <c r="BC9" s="32">
        <v>17924.860405929994</v>
      </c>
      <c r="BD9" s="32">
        <v>11849.887727409996</v>
      </c>
      <c r="BE9" s="32">
        <v>5921.4362098199999</v>
      </c>
      <c r="BF9" s="32">
        <f>21842.03854614-446.461</f>
        <v>21395.577546140001</v>
      </c>
      <c r="BG9" s="32">
        <v>15695.25807561002</v>
      </c>
      <c r="BH9" s="32">
        <v>9671.4770523000152</v>
      </c>
      <c r="BI9" s="32">
        <v>4985.0211075300094</v>
      </c>
      <c r="BJ9" s="32">
        <f>21642.1919017298-332.481</f>
        <v>21309.710901729799</v>
      </c>
      <c r="BK9" s="32">
        <v>15532.441075329803</v>
      </c>
      <c r="BL9" s="32">
        <v>9801.3043837697969</v>
      </c>
      <c r="BM9" s="32">
        <v>5131.2595290498093</v>
      </c>
      <c r="BN9" s="32">
        <f>18620.6634861453-1.808</f>
        <v>18618.855486145298</v>
      </c>
      <c r="BO9" s="32">
        <v>13124.99327281451</v>
      </c>
      <c r="BP9" s="32">
        <v>8331.179699989978</v>
      </c>
      <c r="BQ9" s="32">
        <v>4187.2260660911943</v>
      </c>
      <c r="BR9" s="36"/>
      <c r="BS9" s="28"/>
      <c r="BT9" s="28"/>
      <c r="BU9" s="1"/>
      <c r="BV9" s="1"/>
      <c r="BW9" s="1"/>
      <c r="BX9" s="1"/>
      <c r="BY9" s="1"/>
      <c r="BZ9" s="1"/>
      <c r="CA9" s="1"/>
      <c r="CB9" s="1"/>
      <c r="CC9" s="1"/>
      <c r="CD9" s="1"/>
      <c r="CE9" s="1"/>
      <c r="CF9" s="1"/>
      <c r="CG9" s="1"/>
      <c r="CH9" s="1"/>
    </row>
    <row r="10" spans="1:86" ht="15.75" x14ac:dyDescent="0.25">
      <c r="A10" s="112">
        <v>10</v>
      </c>
      <c r="B10" s="29" t="str">
        <f>IF($D$2=$E$2,E!B10,'R'!B10)</f>
        <v>Чистый комиссионный доход</v>
      </c>
      <c r="C10" s="115">
        <f t="shared" ref="C10:C19" ca="1" si="0">OFFSET($F10,0,1)/OFFSET($F10,0,17)-1</f>
        <v>1.7361138408757082E-2</v>
      </c>
      <c r="D10" s="118"/>
      <c r="E10" s="118"/>
      <c r="F10" s="117"/>
      <c r="G10" s="74">
        <v>4739.9792177496429</v>
      </c>
      <c r="H10" s="217">
        <v>3883.3955865901039</v>
      </c>
      <c r="I10" s="32">
        <v>2841.916705119645</v>
      </c>
      <c r="J10" s="74"/>
      <c r="K10" s="74">
        <v>1806.1730866200801</v>
      </c>
      <c r="L10" s="74">
        <v>878.63788927969108</v>
      </c>
      <c r="M10" s="32">
        <f>12002.23501006+3.627</f>
        <v>12005.86201006</v>
      </c>
      <c r="N10" s="74"/>
      <c r="O10" s="74">
        <v>10735.868564970011</v>
      </c>
      <c r="P10" s="74">
        <v>9699.3235403800099</v>
      </c>
      <c r="Q10" s="32">
        <v>8685.0549718399943</v>
      </c>
      <c r="R10" s="74"/>
      <c r="S10" s="74">
        <v>7570.7566112699606</v>
      </c>
      <c r="T10" s="74">
        <v>6617.5050908600087</v>
      </c>
      <c r="U10" s="32">
        <v>5725.7168465599752</v>
      </c>
      <c r="V10" s="74"/>
      <c r="W10" s="74">
        <v>4659.0920753700011</v>
      </c>
      <c r="X10" s="217">
        <v>3799.5093935700047</v>
      </c>
      <c r="Y10" s="32">
        <v>2798.8114248800002</v>
      </c>
      <c r="Z10" s="74"/>
      <c r="AA10" s="74">
        <v>1645.1698551300033</v>
      </c>
      <c r="AB10" s="74">
        <v>823.31151875999831</v>
      </c>
      <c r="AC10" s="32">
        <f>11647.8685549-5.53</f>
        <v>11642.3385549</v>
      </c>
      <c r="AD10" s="74"/>
      <c r="AE10" s="74">
        <v>10420.121965259987</v>
      </c>
      <c r="AF10" s="74">
        <v>9513.3155971099968</v>
      </c>
      <c r="AG10" s="32">
        <v>8564.2308157199823</v>
      </c>
      <c r="AH10" s="74"/>
      <c r="AI10" s="74">
        <v>7670.2466073699843</v>
      </c>
      <c r="AJ10" s="74">
        <v>6619.6883816000009</v>
      </c>
      <c r="AK10" s="32">
        <v>5438.6485469699974</v>
      </c>
      <c r="AL10" s="74"/>
      <c r="AM10" s="74">
        <v>4514.1916290399922</v>
      </c>
      <c r="AN10" s="217">
        <v>3631.50822079</v>
      </c>
      <c r="AO10" s="32">
        <v>2687.4679752799907</v>
      </c>
      <c r="AP10" s="74"/>
      <c r="AQ10" s="74">
        <v>1648.7592555699941</v>
      </c>
      <c r="AR10" s="74">
        <v>805.03495789999749</v>
      </c>
      <c r="AS10" s="32">
        <f>12651.0536918199-14.359</f>
        <v>12636.694691819899</v>
      </c>
      <c r="AT10" s="32">
        <v>9498.2028824498957</v>
      </c>
      <c r="AU10" s="32">
        <v>6499.0068927899811</v>
      </c>
      <c r="AV10" s="32">
        <v>3563.5945144799948</v>
      </c>
      <c r="AW10" s="32">
        <f>14330.9732250599-11.238</f>
        <v>14319.735225059901</v>
      </c>
      <c r="AX10" s="32">
        <f>8900.42112186994+22.993</f>
        <v>8923.4141218699406</v>
      </c>
      <c r="AY10" s="32">
        <v>6361.5946980100043</v>
      </c>
      <c r="AZ10" s="32">
        <v>4154.937472560001</v>
      </c>
      <c r="BA10" s="32">
        <v>1877.3502033799987</v>
      </c>
      <c r="BB10" s="32">
        <f>7305.20232391+25.434</f>
        <v>7330.6363239100001</v>
      </c>
      <c r="BC10" s="32">
        <v>5127.2610359399996</v>
      </c>
      <c r="BD10" s="32">
        <v>3260.9535045700004</v>
      </c>
      <c r="BE10" s="32">
        <v>1644.8521650300008</v>
      </c>
      <c r="BF10" s="32">
        <f>6686.892649956-12.637</f>
        <v>6674.2556499560005</v>
      </c>
      <c r="BG10" s="32">
        <v>4771.3869640560015</v>
      </c>
      <c r="BH10" s="32">
        <v>3063.4930519959971</v>
      </c>
      <c r="BI10" s="32">
        <v>1408.3938052719996</v>
      </c>
      <c r="BJ10" s="32">
        <f>5914.5333460754-12.615</f>
        <v>5901.9183460754002</v>
      </c>
      <c r="BK10" s="32">
        <v>4253.0425480673966</v>
      </c>
      <c r="BL10" s="32">
        <v>2775.3224683421954</v>
      </c>
      <c r="BM10" s="32">
        <v>1402.9731086321981</v>
      </c>
      <c r="BN10" s="32">
        <f>5579.1107502094-20.752</f>
        <v>5558.3587502093997</v>
      </c>
      <c r="BO10" s="32">
        <v>4010.7202013242022</v>
      </c>
      <c r="BP10" s="32">
        <v>2595.2391430310026</v>
      </c>
      <c r="BQ10" s="32">
        <v>1251.7919685630013</v>
      </c>
      <c r="BR10" s="36"/>
      <c r="BS10" s="28"/>
      <c r="BT10" s="28"/>
      <c r="BU10" s="1"/>
      <c r="BV10" s="1"/>
      <c r="BW10" s="1"/>
      <c r="BX10" s="1"/>
      <c r="BY10" s="1"/>
      <c r="BZ10" s="1"/>
      <c r="CA10" s="1"/>
      <c r="CB10" s="1"/>
      <c r="CC10" s="1"/>
      <c r="CD10" s="1"/>
      <c r="CE10" s="1"/>
      <c r="CF10" s="1"/>
      <c r="CG10" s="1"/>
      <c r="CH10" s="1"/>
    </row>
    <row r="11" spans="1:86" ht="15.75" x14ac:dyDescent="0.25">
      <c r="A11" s="112">
        <v>11</v>
      </c>
      <c r="B11" s="29" t="str">
        <f>IF($D$2=$E$2,E!B11,'R'!B11)</f>
        <v>Чистый торговый доход</v>
      </c>
      <c r="C11" s="115">
        <f t="shared" ca="1" si="0"/>
        <v>-0.44473847308370684</v>
      </c>
      <c r="D11" s="118"/>
      <c r="E11" s="118"/>
      <c r="F11" s="117"/>
      <c r="G11" s="74">
        <v>2157.6964106097489</v>
      </c>
      <c r="H11" s="217">
        <v>1648.844942724573</v>
      </c>
      <c r="I11" s="32">
        <v>989.195524917748</v>
      </c>
      <c r="J11" s="74"/>
      <c r="K11" s="74">
        <v>223.45865729457199</v>
      </c>
      <c r="L11" s="74">
        <v>176.49760446071309</v>
      </c>
      <c r="M11" s="32">
        <v>7825.4916965352504</v>
      </c>
      <c r="N11" s="74"/>
      <c r="O11" s="74">
        <v>7067.3362829827074</v>
      </c>
      <c r="P11" s="74">
        <v>6668.5605675181196</v>
      </c>
      <c r="Q11" s="32">
        <v>6109.2478723922095</v>
      </c>
      <c r="R11" s="74"/>
      <c r="S11" s="74">
        <v>6544.5687780217258</v>
      </c>
      <c r="T11" s="74">
        <v>5868.4726022147861</v>
      </c>
      <c r="U11" s="32">
        <v>4999.1752641177109</v>
      </c>
      <c r="V11" s="74"/>
      <c r="W11" s="74">
        <v>3885.9101630771302</v>
      </c>
      <c r="X11" s="217">
        <v>2923.8136432931756</v>
      </c>
      <c r="Y11" s="32">
        <v>2130.3026808439627</v>
      </c>
      <c r="Z11" s="74"/>
      <c r="AA11" s="74">
        <v>1690.5843799023905</v>
      </c>
      <c r="AB11" s="74">
        <v>552.78180776382578</v>
      </c>
      <c r="AC11" s="32">
        <v>11119.078236182002</v>
      </c>
      <c r="AD11" s="74"/>
      <c r="AE11" s="74">
        <v>9277.0268677967142</v>
      </c>
      <c r="AF11" s="74">
        <v>8563.8475631207857</v>
      </c>
      <c r="AG11" s="32">
        <v>7801.6238637810475</v>
      </c>
      <c r="AH11" s="74"/>
      <c r="AI11" s="74">
        <v>5806.4638358145039</v>
      </c>
      <c r="AJ11" s="74">
        <v>5329.0797370700147</v>
      </c>
      <c r="AK11" s="32">
        <v>4813.6755685261678</v>
      </c>
      <c r="AL11" s="74"/>
      <c r="AM11" s="74">
        <v>4562.0421750746464</v>
      </c>
      <c r="AN11" s="217">
        <v>3417.2335341199951</v>
      </c>
      <c r="AO11" s="32">
        <v>2258.3004775552731</v>
      </c>
      <c r="AP11" s="74"/>
      <c r="AQ11" s="74">
        <v>1196.0023580780573</v>
      </c>
      <c r="AR11" s="74">
        <v>853.48645781589687</v>
      </c>
      <c r="AS11" s="32">
        <v>10105.755321160996</v>
      </c>
      <c r="AT11" s="32">
        <v>8845.2132313271686</v>
      </c>
      <c r="AU11" s="32">
        <v>8030.4701426130796</v>
      </c>
      <c r="AV11" s="32">
        <v>6155.1207511975663</v>
      </c>
      <c r="AW11" s="32">
        <v>42923.256425493615</v>
      </c>
      <c r="AX11" s="32">
        <v>5463.7749081748925</v>
      </c>
      <c r="AY11" s="32">
        <v>3470.6524883369457</v>
      </c>
      <c r="AZ11" s="32">
        <v>2207.9417759151161</v>
      </c>
      <c r="BA11" s="32">
        <v>611.08590043181175</v>
      </c>
      <c r="BB11" s="32">
        <v>2883.8797813953997</v>
      </c>
      <c r="BC11" s="32">
        <v>1162.7452442961153</v>
      </c>
      <c r="BD11" s="32">
        <v>724.82981264507066</v>
      </c>
      <c r="BE11" s="32">
        <v>-63.354439754280975</v>
      </c>
      <c r="BF11" s="32">
        <v>-733.36495755358999</v>
      </c>
      <c r="BG11" s="32">
        <v>-530.78667279430647</v>
      </c>
      <c r="BH11" s="32">
        <v>-83.440397034523841</v>
      </c>
      <c r="BI11" s="32">
        <v>-566.30161612642746</v>
      </c>
      <c r="BJ11" s="32">
        <v>3572.3904421613602</v>
      </c>
      <c r="BK11" s="32">
        <v>1901.5469862274224</v>
      </c>
      <c r="BL11" s="32">
        <v>1624.9735038268398</v>
      </c>
      <c r="BM11" s="32">
        <v>323.95827687832247</v>
      </c>
      <c r="BN11" s="32">
        <v>6343.5723842524203</v>
      </c>
      <c r="BO11" s="32">
        <v>5261.606205558257</v>
      </c>
      <c r="BP11" s="32">
        <v>3893.1932165603707</v>
      </c>
      <c r="BQ11" s="32">
        <v>1541.1578367159836</v>
      </c>
      <c r="BR11" s="36"/>
      <c r="BS11" s="28"/>
      <c r="BT11" s="28"/>
      <c r="BU11" s="1"/>
      <c r="BV11" s="1"/>
      <c r="BW11" s="1"/>
      <c r="BX11" s="1"/>
      <c r="BY11" s="1"/>
      <c r="BZ11" s="1"/>
      <c r="CA11" s="1"/>
      <c r="CB11" s="1"/>
      <c r="CC11" s="1"/>
      <c r="CD11" s="1"/>
      <c r="CE11" s="1"/>
      <c r="CF11" s="1"/>
      <c r="CG11" s="1"/>
      <c r="CH11" s="1"/>
    </row>
    <row r="12" spans="1:86" ht="15.75" x14ac:dyDescent="0.25">
      <c r="A12" s="112">
        <v>12</v>
      </c>
      <c r="B12" s="29" t="str">
        <f>IF($D$2=$E$2,E!B12,'R'!B12)</f>
        <v>Прочие доходы</v>
      </c>
      <c r="C12" s="115">
        <f t="shared" ca="1" si="0"/>
        <v>-0.29583115701856255</v>
      </c>
      <c r="D12" s="118"/>
      <c r="E12" s="118"/>
      <c r="F12" s="117"/>
      <c r="G12" s="74">
        <v>499.29022776998079</v>
      </c>
      <c r="H12" s="217">
        <v>396.87732458000255</v>
      </c>
      <c r="I12" s="32">
        <v>265.85786580002735</v>
      </c>
      <c r="J12" s="74"/>
      <c r="K12" s="74">
        <v>152.14360217000009</v>
      </c>
      <c r="L12" s="74">
        <v>-1.9544496700000111</v>
      </c>
      <c r="M12" s="32">
        <f>2455.07970651998-0.299</f>
        <v>2454.78070651998</v>
      </c>
      <c r="N12" s="74"/>
      <c r="O12" s="74">
        <v>1896.069576010043</v>
      </c>
      <c r="P12" s="74">
        <v>1684.6230237700599</v>
      </c>
      <c r="Q12" s="32">
        <v>1469.7688258100011</v>
      </c>
      <c r="R12" s="74"/>
      <c r="S12" s="74">
        <v>1175.5486105899981</v>
      </c>
      <c r="T12" s="74">
        <v>838.84151701999917</v>
      </c>
      <c r="U12" s="32">
        <v>796.85277719996782</v>
      </c>
      <c r="V12" s="74"/>
      <c r="W12" s="74">
        <v>709.04901963000168</v>
      </c>
      <c r="X12" s="217">
        <v>702.90953508000234</v>
      </c>
      <c r="Y12" s="32">
        <v>314.65297900000024</v>
      </c>
      <c r="Z12" s="74"/>
      <c r="AA12" s="74">
        <v>180.89236929999996</v>
      </c>
      <c r="AB12" s="74">
        <v>115.49803177999979</v>
      </c>
      <c r="AC12" s="32">
        <f>1299.56523324-0.011</f>
        <v>1299.55423324</v>
      </c>
      <c r="AD12" s="74"/>
      <c r="AE12" s="74">
        <v>1251.2752714399969</v>
      </c>
      <c r="AF12" s="74">
        <v>1068.0698751400018</v>
      </c>
      <c r="AG12" s="32">
        <v>996.49695327998757</v>
      </c>
      <c r="AH12" s="74"/>
      <c r="AI12" s="74">
        <v>877.94199171999537</v>
      </c>
      <c r="AJ12" s="74">
        <v>727.83990679000135</v>
      </c>
      <c r="AK12" s="32">
        <v>602.59599750999882</v>
      </c>
      <c r="AL12" s="74"/>
      <c r="AM12" s="74">
        <v>487.65281701999891</v>
      </c>
      <c r="AN12" s="217">
        <v>403.27975885999899</v>
      </c>
      <c r="AO12" s="32">
        <v>272.53778227999965</v>
      </c>
      <c r="AP12" s="74"/>
      <c r="AQ12" s="74">
        <v>235.35473728000014</v>
      </c>
      <c r="AR12" s="74">
        <v>196.26851939999992</v>
      </c>
      <c r="AS12" s="32">
        <f>161.618465049996-0.015</f>
        <v>161.603465049996</v>
      </c>
      <c r="AT12" s="32">
        <v>224.21411771000095</v>
      </c>
      <c r="AU12" s="32">
        <v>69.201754270006688</v>
      </c>
      <c r="AV12" s="32">
        <v>11.84338628999982</v>
      </c>
      <c r="AW12" s="32">
        <f>(351.684299360039+0.02)--520.43612615</f>
        <v>872.14042551003899</v>
      </c>
      <c r="AX12" s="32">
        <f>(455.606813279999+0.301)-258.42045852</f>
        <v>197.48735475999899</v>
      </c>
      <c r="AY12" s="32">
        <v>778.11595030000058</v>
      </c>
      <c r="AZ12" s="32">
        <v>658.86196877999987</v>
      </c>
      <c r="BA12" s="32">
        <v>-13.649983500000037</v>
      </c>
      <c r="BB12" s="32">
        <f>(999.59930479-2.086)-15.35487101</f>
        <v>982.15843378</v>
      </c>
      <c r="BC12" s="32">
        <v>772.68988134999995</v>
      </c>
      <c r="BD12" s="32">
        <v>813.31128156000011</v>
      </c>
      <c r="BE12" s="32">
        <v>111.74131248999994</v>
      </c>
      <c r="BF12" s="32">
        <f>211.815343912+57.98</f>
        <v>269.79534391200002</v>
      </c>
      <c r="BG12" s="32">
        <v>149.39576754199987</v>
      </c>
      <c r="BH12" s="32">
        <v>78.870618622000009</v>
      </c>
      <c r="BI12" s="32">
        <v>85.69648473000008</v>
      </c>
      <c r="BJ12" s="32">
        <f>-335.8859635074-0.791</f>
        <v>-336.67696350739999</v>
      </c>
      <c r="BK12" s="32">
        <v>-170.71258151739985</v>
      </c>
      <c r="BL12" s="32">
        <v>-167.94324575740001</v>
      </c>
      <c r="BM12" s="32">
        <v>-43.58112199</v>
      </c>
      <c r="BN12" s="32">
        <f>362.76926346-2.659</f>
        <v>360.11026346</v>
      </c>
      <c r="BO12" s="32">
        <v>187.40938653000009</v>
      </c>
      <c r="BP12" s="32">
        <v>-70.642682900000011</v>
      </c>
      <c r="BQ12" s="32">
        <v>-48.43384494999998</v>
      </c>
      <c r="BR12" s="36"/>
      <c r="BS12" s="28"/>
      <c r="BT12" s="28"/>
      <c r="BU12" s="1"/>
      <c r="BV12" s="1"/>
      <c r="BW12" s="1"/>
      <c r="BX12" s="1"/>
      <c r="BY12" s="1"/>
      <c r="BZ12" s="1"/>
      <c r="CA12" s="1"/>
      <c r="CB12" s="1"/>
      <c r="CC12" s="1"/>
      <c r="CD12" s="1"/>
      <c r="CE12" s="1"/>
      <c r="CF12" s="1"/>
      <c r="CG12" s="1"/>
      <c r="CH12" s="1"/>
    </row>
    <row r="13" spans="1:86" ht="15.75" x14ac:dyDescent="0.25">
      <c r="A13" s="112">
        <v>13</v>
      </c>
      <c r="B13" s="33" t="str">
        <f>IF($D$2=$E$2,E!B13,'R'!B13)</f>
        <v>Выручка</v>
      </c>
      <c r="C13" s="119">
        <f t="shared" ca="1" si="0"/>
        <v>-0.13635952461352074</v>
      </c>
      <c r="D13" s="120"/>
      <c r="E13" s="120"/>
      <c r="F13" s="121"/>
      <c r="G13" s="73">
        <f t="shared" ref="G13" si="1">SUM(G9:G12)</f>
        <v>36180.541661809679</v>
      </c>
      <c r="H13" s="75">
        <f t="shared" ref="H13" si="2">SUM(H9:H12)</f>
        <v>28979.818285155223</v>
      </c>
      <c r="I13" s="42">
        <f t="shared" ref="I13" si="3">SUM(I9:I12)</f>
        <v>21257.74161522722</v>
      </c>
      <c r="J13" s="73"/>
      <c r="K13" s="73">
        <f t="shared" ref="K13" si="4">SUM(K9:K12)</f>
        <v>13521.16228299463</v>
      </c>
      <c r="L13" s="73">
        <f t="shared" ref="L13" si="5">SUM(L9:L12)</f>
        <v>6892.5680788699274</v>
      </c>
      <c r="M13" s="42">
        <f>SUM(M9:M12)</f>
        <v>96637.352457065121</v>
      </c>
      <c r="N13" s="73"/>
      <c r="O13" s="73">
        <f>SUM(O9:O12)</f>
        <v>88223.06867708065</v>
      </c>
      <c r="P13" s="73">
        <f t="shared" ref="P13" si="6">SUM(P9:P12)</f>
        <v>81084.628255084317</v>
      </c>
      <c r="Q13" s="42">
        <f t="shared" ref="Q13" si="7">SUM(Q9:Q12)</f>
        <v>73470.048749482085</v>
      </c>
      <c r="R13" s="73"/>
      <c r="S13" s="73">
        <f t="shared" ref="S13" si="8">SUM(S9:S12)</f>
        <v>66750.624697100517</v>
      </c>
      <c r="T13" s="73">
        <f t="shared" ref="T13" si="9">SUM(T9:T12)</f>
        <v>59138.359902845026</v>
      </c>
      <c r="U13" s="42">
        <f t="shared" ref="U13" si="10">SUM(U9:U12)</f>
        <v>50349.070618417412</v>
      </c>
      <c r="V13" s="73"/>
      <c r="W13" s="73">
        <f t="shared" ref="W13" si="11">SUM(W9:W12)</f>
        <v>41893.05931454739</v>
      </c>
      <c r="X13" s="75">
        <f t="shared" ref="X13" si="12">SUM(X9:X12)</f>
        <v>33546.032046193432</v>
      </c>
      <c r="Y13" s="42">
        <f t="shared" ref="Y13" si="13">SUM(Y9:Y12)</f>
        <v>24966.501120344103</v>
      </c>
      <c r="Z13" s="73"/>
      <c r="AA13" s="73">
        <f t="shared" ref="AA13" si="14">SUM(AA9:AA12)</f>
        <v>16351.209383982365</v>
      </c>
      <c r="AB13" s="73">
        <f t="shared" ref="AB13" si="15">SUM(AB9:AB12)</f>
        <v>8105.271017613617</v>
      </c>
      <c r="AC13" s="42">
        <f>SUM(AC9:AC12)</f>
        <v>94244.10974741989</v>
      </c>
      <c r="AD13" s="73"/>
      <c r="AE13" s="73">
        <f>SUM(AE9:AE12)</f>
        <v>84216.761184257164</v>
      </c>
      <c r="AF13" s="73">
        <f t="shared" ref="AF13:AV13" si="16">SUM(AF9:AF12)</f>
        <v>75947.941672131026</v>
      </c>
      <c r="AG13" s="42">
        <f t="shared" si="16"/>
        <v>68133.411872979283</v>
      </c>
      <c r="AH13" s="73"/>
      <c r="AI13" s="73">
        <f t="shared" si="16"/>
        <v>59399.528262804561</v>
      </c>
      <c r="AJ13" s="73">
        <f t="shared" si="16"/>
        <v>51762.075689060512</v>
      </c>
      <c r="AK13" s="42">
        <f t="shared" si="16"/>
        <v>44462.26812445667</v>
      </c>
      <c r="AL13" s="73"/>
      <c r="AM13" s="73">
        <f t="shared" si="16"/>
        <v>37820.946082924747</v>
      </c>
      <c r="AN13" s="75">
        <f t="shared" si="16"/>
        <v>29909.375164300298</v>
      </c>
      <c r="AO13" s="42">
        <f t="shared" si="16"/>
        <v>22239.009090245232</v>
      </c>
      <c r="AP13" s="73"/>
      <c r="AQ13" s="73">
        <f t="shared" si="16"/>
        <v>14445.825344457933</v>
      </c>
      <c r="AR13" s="73">
        <f t="shared" si="16"/>
        <v>7773.0066524958602</v>
      </c>
      <c r="AS13" s="42">
        <f t="shared" si="16"/>
        <v>73648.885085181479</v>
      </c>
      <c r="AT13" s="42">
        <f t="shared" si="16"/>
        <v>53348.681753817931</v>
      </c>
      <c r="AU13" s="42">
        <f t="shared" si="16"/>
        <v>36783.275333363359</v>
      </c>
      <c r="AV13" s="42">
        <f t="shared" si="16"/>
        <v>20821.405745167591</v>
      </c>
      <c r="AW13" s="42">
        <f>SUM(AW9:AW12)</f>
        <v>97918.900286524557</v>
      </c>
      <c r="AX13" s="42">
        <f t="shared" ref="AX13" si="17">SUM(AX9:AX12)</f>
        <v>42581.521217283836</v>
      </c>
      <c r="AY13" s="42">
        <f t="shared" ref="AY13" si="18">SUM(AY9:AY12)</f>
        <v>30867.652278357022</v>
      </c>
      <c r="AZ13" s="42">
        <f t="shared" ref="AZ13" si="19">SUM(AZ9:AZ12)</f>
        <v>19942.391331185136</v>
      </c>
      <c r="BA13" s="42">
        <f t="shared" ref="BA13" si="20">SUM(BA9:BA12)</f>
        <v>8902.1728684418449</v>
      </c>
      <c r="BB13" s="42">
        <f t="shared" ref="BB13" si="21">SUM(BB9:BB12)</f>
        <v>36096.761960855401</v>
      </c>
      <c r="BC13" s="42">
        <f t="shared" ref="BC13" si="22">SUM(BC9:BC12)</f>
        <v>24987.556567516109</v>
      </c>
      <c r="BD13" s="42">
        <f t="shared" ref="BD13" si="23">SUM(BD9:BD12)</f>
        <v>16648.982326185069</v>
      </c>
      <c r="BE13" s="42">
        <f t="shared" ref="BE13" si="24">SUM(BE9:BE12)</f>
        <v>7614.6752475857202</v>
      </c>
      <c r="BF13" s="42">
        <f t="shared" ref="BF13" si="25">SUM(BF9:BF12)</f>
        <v>27606.263582454412</v>
      </c>
      <c r="BG13" s="42">
        <f t="shared" ref="BG13" si="26">SUM(BG9:BG12)</f>
        <v>20085.254134413713</v>
      </c>
      <c r="BH13" s="42">
        <f t="shared" ref="BH13" si="27">SUM(BH9:BH12)</f>
        <v>12730.400325883487</v>
      </c>
      <c r="BI13" s="42">
        <f t="shared" ref="BI13" si="28">SUM(BI9:BI12)</f>
        <v>5912.8097814055818</v>
      </c>
      <c r="BJ13" s="42">
        <f t="shared" ref="BJ13" si="29">SUM(BJ9:BJ12)</f>
        <v>30447.342726459156</v>
      </c>
      <c r="BK13" s="42">
        <f t="shared" ref="BK13" si="30">SUM(BK9:BK12)</f>
        <v>21516.318028107224</v>
      </c>
      <c r="BL13" s="42">
        <f t="shared" ref="BL13" si="31">SUM(BL9:BL12)</f>
        <v>14033.657110181432</v>
      </c>
      <c r="BM13" s="42">
        <f t="shared" ref="BM13" si="32">SUM(BM9:BM12)</f>
        <v>6814.6097925703298</v>
      </c>
      <c r="BN13" s="42">
        <f t="shared" ref="BN13" si="33">SUM(BN9:BN12)</f>
        <v>30880.896884067115</v>
      </c>
      <c r="BO13" s="42">
        <f t="shared" ref="BO13" si="34">SUM(BO9:BO12)</f>
        <v>22584.72906622697</v>
      </c>
      <c r="BP13" s="42">
        <f t="shared" ref="BP13" si="35">SUM(BP9:BP12)</f>
        <v>14748.969376681351</v>
      </c>
      <c r="BQ13" s="42">
        <f t="shared" ref="BQ13" si="36">SUM(BQ9:BQ12)</f>
        <v>6931.7420264201792</v>
      </c>
      <c r="BR13" s="36"/>
      <c r="BS13" s="28"/>
      <c r="BT13" s="28"/>
      <c r="BU13" s="1"/>
      <c r="BV13" s="1"/>
      <c r="BW13" s="1"/>
      <c r="BX13" s="1"/>
      <c r="BY13" s="1"/>
      <c r="BZ13" s="1"/>
      <c r="CA13" s="1"/>
      <c r="CB13" s="1"/>
      <c r="CC13" s="1"/>
      <c r="CD13" s="1"/>
      <c r="CE13" s="1"/>
      <c r="CF13" s="1"/>
      <c r="CG13" s="1"/>
      <c r="CH13" s="1"/>
    </row>
    <row r="14" spans="1:86" ht="15.75" x14ac:dyDescent="0.25">
      <c r="A14" s="112">
        <v>14</v>
      </c>
      <c r="B14" s="29" t="str">
        <f>IF($D$2=$E$2,E!B14,'R'!B14)</f>
        <v>Операционные расходы</v>
      </c>
      <c r="C14" s="115">
        <f t="shared" ca="1" si="0"/>
        <v>0.32985783698349791</v>
      </c>
      <c r="D14" s="118"/>
      <c r="E14" s="118"/>
      <c r="F14" s="117"/>
      <c r="G14" s="74">
        <v>-12504.068947130001</v>
      </c>
      <c r="H14" s="217">
        <v>-9751.0047760599973</v>
      </c>
      <c r="I14" s="32">
        <v>-6857.68185687</v>
      </c>
      <c r="J14" s="74"/>
      <c r="K14" s="74">
        <v>-4403.0804202599984</v>
      </c>
      <c r="L14" s="74">
        <v>-1944.654418559998</v>
      </c>
      <c r="M14" s="32">
        <f>-27738.28892689-1585.699</f>
        <v>-29323.98792689</v>
      </c>
      <c r="N14" s="74"/>
      <c r="O14" s="74">
        <v>-24699.054994199982</v>
      </c>
      <c r="P14" s="74">
        <v>-21992.74513675999</v>
      </c>
      <c r="Q14" s="32">
        <v>-18770.151073290002</v>
      </c>
      <c r="R14" s="74"/>
      <c r="S14" s="74">
        <v>-16634.459656329989</v>
      </c>
      <c r="T14" s="74">
        <v>-14328.613202099999</v>
      </c>
      <c r="U14" s="32">
        <v>-11815.44353065</v>
      </c>
      <c r="V14" s="74"/>
      <c r="W14" s="74">
        <v>-9402.5606342200044</v>
      </c>
      <c r="X14" s="217">
        <v>-7492.4412362300009</v>
      </c>
      <c r="Y14" s="32">
        <v>-5442.6899953700022</v>
      </c>
      <c r="Z14" s="74"/>
      <c r="AA14" s="74">
        <v>-3446.8603258799999</v>
      </c>
      <c r="AB14" s="74">
        <v>-1524.3613206200002</v>
      </c>
      <c r="AC14" s="32">
        <f>-23904.18953648-1357.575</f>
        <v>-25261.764536480001</v>
      </c>
      <c r="AD14" s="74"/>
      <c r="AE14" s="74">
        <v>-21245.54052065999</v>
      </c>
      <c r="AF14" s="74">
        <v>-19506.639350969999</v>
      </c>
      <c r="AG14" s="32">
        <v>-17513.865618620006</v>
      </c>
      <c r="AH14" s="74"/>
      <c r="AI14" s="74">
        <v>-15798.808517669995</v>
      </c>
      <c r="AJ14" s="74">
        <v>-13528.070564060001</v>
      </c>
      <c r="AK14" s="32">
        <v>-11143.0973288</v>
      </c>
      <c r="AL14" s="74"/>
      <c r="AM14" s="74">
        <v>-9425.3675861899937</v>
      </c>
      <c r="AN14" s="217">
        <v>-7235.3507215199998</v>
      </c>
      <c r="AO14" s="32">
        <v>-5838.6979926500017</v>
      </c>
      <c r="AP14" s="74"/>
      <c r="AQ14" s="74">
        <v>-3709.108441679999</v>
      </c>
      <c r="AR14" s="74">
        <v>-1314.8943079499995</v>
      </c>
      <c r="AS14" s="32">
        <f>-22492.06863301-326.423</f>
        <v>-22818.491633009999</v>
      </c>
      <c r="AT14" s="32">
        <v>-17547.337631549992</v>
      </c>
      <c r="AU14" s="32">
        <v>-11387.110122489996</v>
      </c>
      <c r="AV14" s="32">
        <v>-5842.9383929900023</v>
      </c>
      <c r="AW14" s="32">
        <f>-23045.66436057-127.756</f>
        <v>-23173.420360570002</v>
      </c>
      <c r="AX14" s="32">
        <f>-15460.40780418-243.451</f>
        <v>-15703.858804179999</v>
      </c>
      <c r="AY14" s="32">
        <v>-10759.907373479999</v>
      </c>
      <c r="AZ14" s="32">
        <v>-7324.0426084899991</v>
      </c>
      <c r="BA14" s="32">
        <v>-3972.8958864199994</v>
      </c>
      <c r="BB14" s="32">
        <f>-13836.20054072-73.607</f>
        <v>-13909.807540719999</v>
      </c>
      <c r="BC14" s="32">
        <v>-9791.3937630499986</v>
      </c>
      <c r="BD14" s="32">
        <v>-6632.4053827200005</v>
      </c>
      <c r="BE14" s="32">
        <v>-3674.0730185400012</v>
      </c>
      <c r="BF14" s="32">
        <f>-12160.274276676-475.461</f>
        <v>-12635.735276676</v>
      </c>
      <c r="BG14" s="32">
        <v>-8891.5249802560029</v>
      </c>
      <c r="BH14" s="32">
        <v>-5991.2296688860024</v>
      </c>
      <c r="BI14" s="32">
        <v>-3125.659468096002</v>
      </c>
      <c r="BJ14" s="32">
        <f>-11966.1698765824-73.858</f>
        <v>-12040.0278765824</v>
      </c>
      <c r="BK14" s="32">
        <v>-8888.7212026998022</v>
      </c>
      <c r="BL14" s="32">
        <v>-6112.0617136118026</v>
      </c>
      <c r="BM14" s="32">
        <v>-3017.7528672404046</v>
      </c>
      <c r="BN14" s="32">
        <f>-11356.0785877282-178.794</f>
        <v>-11534.8725877282</v>
      </c>
      <c r="BO14" s="32">
        <v>-8356.8854077570013</v>
      </c>
      <c r="BP14" s="32">
        <v>-5491.6758822914007</v>
      </c>
      <c r="BQ14" s="32">
        <v>-2710.4159242602</v>
      </c>
      <c r="BR14" s="36"/>
      <c r="BS14" s="28"/>
      <c r="BT14" s="28"/>
      <c r="BU14" s="1"/>
      <c r="BV14" s="1"/>
      <c r="BW14" s="1"/>
      <c r="BX14" s="1"/>
      <c r="BY14" s="1"/>
      <c r="BZ14" s="1"/>
      <c r="CA14" s="1"/>
      <c r="CB14" s="1"/>
      <c r="CC14" s="1"/>
      <c r="CD14" s="1"/>
      <c r="CE14" s="1"/>
      <c r="CF14" s="1"/>
      <c r="CG14" s="1"/>
      <c r="CH14" s="1"/>
    </row>
    <row r="15" spans="1:86" ht="15.75" x14ac:dyDescent="0.25">
      <c r="A15" s="112">
        <v>15</v>
      </c>
      <c r="B15" s="29" t="str">
        <f>IF($D$2=$E$2,E!B15,'R'!B15)</f>
        <v>Резервы</v>
      </c>
      <c r="C15" s="115">
        <f t="shared" ca="1" si="0"/>
        <v>8.0104050773623428</v>
      </c>
      <c r="D15" s="118"/>
      <c r="E15" s="118"/>
      <c r="F15" s="117"/>
      <c r="G15" s="74">
        <v>-5219.3639176399693</v>
      </c>
      <c r="H15" s="217">
        <v>-3390.7679656545129</v>
      </c>
      <c r="I15" s="32">
        <v>-2642.8085644579178</v>
      </c>
      <c r="J15" s="74"/>
      <c r="K15" s="74">
        <v>-1667.261253274459</v>
      </c>
      <c r="L15" s="74">
        <v>-674.71064431081606</v>
      </c>
      <c r="M15" s="32">
        <v>-16677.69655040482</v>
      </c>
      <c r="N15" s="74"/>
      <c r="O15" s="74">
        <v>-14675.990400170529</v>
      </c>
      <c r="P15" s="74">
        <v>-12145.21250222954</v>
      </c>
      <c r="Q15" s="32">
        <v>-10678.48816004222</v>
      </c>
      <c r="R15" s="74"/>
      <c r="S15" s="74">
        <v>-8781.262235562026</v>
      </c>
      <c r="T15" s="74">
        <v>-6761.3153165644162</v>
      </c>
      <c r="U15" s="32">
        <v>-3952.4911806275604</v>
      </c>
      <c r="V15" s="74"/>
      <c r="W15" s="74">
        <v>-579.25963070773037</v>
      </c>
      <c r="X15" s="217">
        <v>-457.31799150660959</v>
      </c>
      <c r="Y15" s="32">
        <v>-722.59705850448267</v>
      </c>
      <c r="Z15" s="74"/>
      <c r="AA15" s="74">
        <v>-570.11757827247106</v>
      </c>
      <c r="AB15" s="74">
        <v>-413.64695814380389</v>
      </c>
      <c r="AC15" s="32">
        <v>-5828.218649001531</v>
      </c>
      <c r="AD15" s="74"/>
      <c r="AE15" s="74">
        <v>-4242.4564984664248</v>
      </c>
      <c r="AF15" s="74">
        <v>-4431.6758317604781</v>
      </c>
      <c r="AG15" s="32">
        <v>-3288.5673162105991</v>
      </c>
      <c r="AH15" s="74"/>
      <c r="AI15" s="74">
        <v>-3324.3266906146096</v>
      </c>
      <c r="AJ15" s="74">
        <v>-2659.3339439002889</v>
      </c>
      <c r="AK15" s="32">
        <v>-2989.006785046372</v>
      </c>
      <c r="AL15" s="74"/>
      <c r="AM15" s="74">
        <v>-725.45140709469842</v>
      </c>
      <c r="AN15" s="217">
        <v>-460.52839920942893</v>
      </c>
      <c r="AO15" s="32">
        <v>-239.42846804521122</v>
      </c>
      <c r="AP15" s="74"/>
      <c r="AQ15" s="74">
        <v>-274.64683830802392</v>
      </c>
      <c r="AR15" s="74">
        <v>-285.67387633636645</v>
      </c>
      <c r="AS15" s="32">
        <v>10585.940598509165</v>
      </c>
      <c r="AT15" s="32">
        <v>11161.44084002437</v>
      </c>
      <c r="AU15" s="32">
        <v>10715.306170967893</v>
      </c>
      <c r="AV15" s="32">
        <v>3446.4518072423302</v>
      </c>
      <c r="AW15" s="32">
        <v>-15610.595523816515</v>
      </c>
      <c r="AX15" s="32">
        <v>-4334.1101554851721</v>
      </c>
      <c r="AY15" s="32">
        <v>-4961.9167102964593</v>
      </c>
      <c r="AZ15" s="32">
        <v>-3255.0567046546184</v>
      </c>
      <c r="BA15" s="32">
        <v>-1512.966988811404</v>
      </c>
      <c r="BB15" s="32">
        <v>-8550.1025245653982</v>
      </c>
      <c r="BC15" s="32">
        <v>-7010.4557523665299</v>
      </c>
      <c r="BD15" s="32">
        <v>-5333.7855597756343</v>
      </c>
      <c r="BE15" s="32">
        <v>-1782.5424782262226</v>
      </c>
      <c r="BF15" s="32">
        <v>-8377.2051115680188</v>
      </c>
      <c r="BG15" s="32">
        <v>-5941.466452258016</v>
      </c>
      <c r="BH15" s="32">
        <v>-3887.3948458279979</v>
      </c>
      <c r="BI15" s="32">
        <v>-1524.1529300099974</v>
      </c>
      <c r="BJ15" s="32">
        <v>-11797.043839807</v>
      </c>
      <c r="BK15" s="32">
        <v>-8776.3140123669928</v>
      </c>
      <c r="BL15" s="32">
        <v>-5089.1181129895931</v>
      </c>
      <c r="BM15" s="32">
        <v>-2619.4494539599987</v>
      </c>
      <c r="BN15" s="32">
        <v>-13874.939832857801</v>
      </c>
      <c r="BO15" s="32">
        <v>-9087.399671359999</v>
      </c>
      <c r="BP15" s="32">
        <v>-5314.7494251099997</v>
      </c>
      <c r="BQ15" s="32">
        <v>-3178.3894401399994</v>
      </c>
      <c r="BR15" s="36"/>
      <c r="BS15" s="28"/>
      <c r="BT15" s="28"/>
      <c r="BU15" s="1"/>
      <c r="BV15" s="1"/>
      <c r="BW15" s="1"/>
      <c r="BX15" s="1"/>
      <c r="BY15" s="1"/>
      <c r="BZ15" s="1"/>
      <c r="CA15" s="1"/>
      <c r="CB15" s="1"/>
      <c r="CC15" s="1"/>
      <c r="CD15" s="1"/>
      <c r="CE15" s="1"/>
      <c r="CF15" s="1"/>
      <c r="CG15" s="1"/>
      <c r="CH15" s="1"/>
    </row>
    <row r="16" spans="1:86" s="168" customFormat="1" ht="15.75" x14ac:dyDescent="0.25">
      <c r="A16" s="112">
        <v>16</v>
      </c>
      <c r="B16" s="162" t="str">
        <f>IF($D$2=$E$2,E!B16,'R'!B16)</f>
        <v>вкл. Резервы по кредитам</v>
      </c>
      <c r="C16" s="115">
        <f t="shared" ca="1" si="0"/>
        <v>6.758286068950631</v>
      </c>
      <c r="D16" s="118"/>
      <c r="E16" s="118"/>
      <c r="F16" s="117"/>
      <c r="G16" s="164">
        <v>-5010.0907479799689</v>
      </c>
      <c r="H16" s="218">
        <v>-3227.8072147145031</v>
      </c>
      <c r="I16" s="165">
        <v>-2522.669071427898</v>
      </c>
      <c r="J16" s="164"/>
      <c r="K16" s="164">
        <v>-1550.1336785244791</v>
      </c>
      <c r="L16" s="164">
        <v>-533.18714476081504</v>
      </c>
      <c r="M16" s="165">
        <v>-16510.754312004821</v>
      </c>
      <c r="N16" s="164"/>
      <c r="O16" s="164">
        <v>-13753.949901230528</v>
      </c>
      <c r="P16" s="164">
        <v>-12071.786821069549</v>
      </c>
      <c r="Q16" s="165">
        <v>-10623.652653032219</v>
      </c>
      <c r="R16" s="164"/>
      <c r="S16" s="164">
        <v>-8788.5648660920651</v>
      </c>
      <c r="T16" s="164">
        <v>-6769.4364907244262</v>
      </c>
      <c r="U16" s="165">
        <v>-3966.8399423775709</v>
      </c>
      <c r="V16" s="164"/>
      <c r="W16" s="164">
        <v>-645.7728812077205</v>
      </c>
      <c r="X16" s="218">
        <v>-492.27175790660931</v>
      </c>
      <c r="Y16" s="165">
        <v>-860.09876772449263</v>
      </c>
      <c r="Z16" s="164"/>
      <c r="AA16" s="164">
        <v>-625.67990185246106</v>
      </c>
      <c r="AB16" s="164">
        <v>-364.06397615380274</v>
      </c>
      <c r="AC16" s="165">
        <v>-5421.018777851551</v>
      </c>
      <c r="AD16" s="164"/>
      <c r="AE16" s="164">
        <v>-3948.7404289164438</v>
      </c>
      <c r="AF16" s="164">
        <v>-4111.9992952004623</v>
      </c>
      <c r="AG16" s="165">
        <v>-2986.2938116705704</v>
      </c>
      <c r="AH16" s="164"/>
      <c r="AI16" s="164">
        <v>-3008.6924121446114</v>
      </c>
      <c r="AJ16" s="164">
        <v>-2547.222666700281</v>
      </c>
      <c r="AK16" s="165">
        <v>-2918.1901271463666</v>
      </c>
      <c r="AL16" s="164"/>
      <c r="AM16" s="164">
        <v>-625.12902824470109</v>
      </c>
      <c r="AN16" s="218">
        <v>-374.86635030943484</v>
      </c>
      <c r="AO16" s="165">
        <v>-178.62718755521081</v>
      </c>
      <c r="AP16" s="164"/>
      <c r="AQ16" s="164">
        <v>-175.33482576802356</v>
      </c>
      <c r="AR16" s="164">
        <v>-284.44860298636638</v>
      </c>
      <c r="AS16" s="165">
        <v>4025.8072039292811</v>
      </c>
      <c r="AT16" s="165">
        <v>4720.7617122142938</v>
      </c>
      <c r="AU16" s="165">
        <v>5114.4933625678714</v>
      </c>
      <c r="AV16" s="165">
        <v>3841.8929788923356</v>
      </c>
      <c r="AW16" s="165">
        <v>-9954.4964340866682</v>
      </c>
      <c r="AX16" s="165">
        <v>-3969.0519442552036</v>
      </c>
      <c r="AY16" s="165">
        <v>-4711.007282036453</v>
      </c>
      <c r="AZ16" s="165">
        <v>-2931.2202386746417</v>
      </c>
      <c r="BA16" s="165">
        <v>-1131.2310214014128</v>
      </c>
      <c r="BB16" s="165">
        <v>-8430.0838312253945</v>
      </c>
      <c r="BC16" s="165">
        <v>-6322.5683900165532</v>
      </c>
      <c r="BD16" s="165">
        <v>-4786.5181025456432</v>
      </c>
      <c r="BE16" s="165">
        <v>-1748.1375609662207</v>
      </c>
      <c r="BF16" s="165">
        <v>-8184.0995209700195</v>
      </c>
      <c r="BG16" s="165">
        <v>-5851.8336906100085</v>
      </c>
      <c r="BH16" s="165">
        <v>-4205.0281142500025</v>
      </c>
      <c r="BI16" s="165">
        <v>-1513.4828459499995</v>
      </c>
      <c r="BJ16" s="165">
        <v>-11239.661208080004</v>
      </c>
      <c r="BK16" s="165">
        <v>-7824.9616239200041</v>
      </c>
      <c r="BL16" s="165">
        <v>-4937.2126000300013</v>
      </c>
      <c r="BM16" s="165">
        <v>-2366.2585739999995</v>
      </c>
      <c r="BN16" s="165">
        <v>-12292.035695359998</v>
      </c>
      <c r="BO16" s="165">
        <v>-7215.3261785200011</v>
      </c>
      <c r="BP16" s="165">
        <v>-4856.1464306200005</v>
      </c>
      <c r="BQ16" s="165">
        <v>-3052.6731538299991</v>
      </c>
      <c r="BR16" s="166"/>
      <c r="BS16" s="163"/>
      <c r="BT16" s="163"/>
      <c r="BU16" s="167"/>
      <c r="BV16" s="167"/>
      <c r="BW16" s="167"/>
      <c r="BX16" s="167"/>
      <c r="BY16" s="167"/>
      <c r="BZ16" s="167"/>
      <c r="CA16" s="167"/>
      <c r="CB16" s="167"/>
      <c r="CC16" s="167"/>
      <c r="CD16" s="167"/>
      <c r="CE16" s="167"/>
      <c r="CF16" s="167"/>
      <c r="CG16" s="167"/>
      <c r="CH16" s="167"/>
    </row>
    <row r="17" spans="1:86" s="154" customFormat="1" ht="15.75" x14ac:dyDescent="0.25">
      <c r="A17" s="112">
        <v>17</v>
      </c>
      <c r="B17" s="33" t="str">
        <f>IF($D$2=$E$2,E!B17,'R'!B17)</f>
        <v>Чистая прибыль до налога на прибыль</v>
      </c>
      <c r="C17" s="119">
        <f t="shared" ca="1" si="0"/>
        <v>-0.4216110264994648</v>
      </c>
      <c r="D17" s="120"/>
      <c r="E17" s="120"/>
      <c r="F17" s="121"/>
      <c r="G17" s="151">
        <f>SUM(G13:G15)</f>
        <v>18457.108797039709</v>
      </c>
      <c r="H17" s="219">
        <f t="shared" ref="H17" si="37">SUM(H13:H15)</f>
        <v>15838.045543440714</v>
      </c>
      <c r="I17" s="152">
        <f>SUM(I13:I15)</f>
        <v>11757.251193899301</v>
      </c>
      <c r="J17" s="151"/>
      <c r="K17" s="151">
        <f t="shared" ref="K17" si="38">SUM(K13:K15)</f>
        <v>7450.8206094601719</v>
      </c>
      <c r="L17" s="151">
        <f t="shared" ref="L17" si="39">SUM(L13:L15)</f>
        <v>4273.2030159991136</v>
      </c>
      <c r="M17" s="152">
        <f>SUM(M13:M15)</f>
        <v>50635.667979770304</v>
      </c>
      <c r="N17" s="151"/>
      <c r="O17" s="151">
        <f t="shared" ref="O17" si="40">SUM(O13:O15)</f>
        <v>48848.023282710143</v>
      </c>
      <c r="P17" s="151">
        <f>SUM(P13:P15)</f>
        <v>46946.670616094794</v>
      </c>
      <c r="Q17" s="152">
        <f>SUM(Q13:Q15)</f>
        <v>44021.409516149855</v>
      </c>
      <c r="R17" s="151"/>
      <c r="S17" s="151">
        <f>SUM(S13:S15)</f>
        <v>41334.902805208505</v>
      </c>
      <c r="T17" s="151">
        <f>SUM(T13:T15)</f>
        <v>38048.431384180607</v>
      </c>
      <c r="U17" s="152">
        <f>SUM(U13:U15)</f>
        <v>34581.135907139847</v>
      </c>
      <c r="V17" s="151"/>
      <c r="W17" s="151">
        <f>SUM(W13:W15)</f>
        <v>31911.239049619657</v>
      </c>
      <c r="X17" s="219">
        <f t="shared" ref="X17" si="41">SUM(X13:X15)</f>
        <v>25596.272818456822</v>
      </c>
      <c r="Y17" s="152">
        <f>SUM(Y13:Y15)</f>
        <v>18801.21406646962</v>
      </c>
      <c r="Z17" s="151"/>
      <c r="AA17" s="151">
        <f t="shared" ref="AA17" si="42">SUM(AA13:AA15)</f>
        <v>12334.231479829894</v>
      </c>
      <c r="AB17" s="151">
        <f t="shared" ref="AB17" si="43">SUM(AB13:AB15)</f>
        <v>6167.2627388498122</v>
      </c>
      <c r="AC17" s="152">
        <f>SUM(AC13:AC15)</f>
        <v>63154.126561938363</v>
      </c>
      <c r="AD17" s="151"/>
      <c r="AE17" s="151">
        <f t="shared" ref="AE17" si="44">SUM(AE13:AE15)</f>
        <v>58728.764165130749</v>
      </c>
      <c r="AF17" s="151">
        <f t="shared" ref="AF17" si="45">SUM(AF13:AF15)</f>
        <v>52009.626489400551</v>
      </c>
      <c r="AG17" s="152">
        <f>SUM(AG13:AG15)</f>
        <v>47330.978938148677</v>
      </c>
      <c r="AH17" s="151"/>
      <c r="AI17" s="151">
        <f>SUM(AI13:AI15)</f>
        <v>40276.393054519955</v>
      </c>
      <c r="AJ17" s="151">
        <f>SUM(AJ13:AJ15)</f>
        <v>35574.671181100224</v>
      </c>
      <c r="AK17" s="152">
        <f>SUM(AK13:AK15)</f>
        <v>30330.164010610297</v>
      </c>
      <c r="AL17" s="151"/>
      <c r="AM17" s="151">
        <f>SUM(AM13:AM15)</f>
        <v>27670.127089640057</v>
      </c>
      <c r="AN17" s="219">
        <f t="shared" ref="AN17" si="46">SUM(AN13:AN15)</f>
        <v>22213.496043570867</v>
      </c>
      <c r="AO17" s="152">
        <f>SUM(AO13:AO15)</f>
        <v>16160.882629550018</v>
      </c>
      <c r="AP17" s="151"/>
      <c r="AQ17" s="151">
        <f t="shared" ref="AQ17" si="47">SUM(AQ13:AQ15)</f>
        <v>10462.07006446991</v>
      </c>
      <c r="AR17" s="151">
        <f t="shared" ref="AR17" si="48">SUM(AR13:AR15)</f>
        <v>6172.4384682094942</v>
      </c>
      <c r="AS17" s="152">
        <f t="shared" ref="AS17:AX17" si="49">SUM(AS13:AS15)</f>
        <v>61416.334050680649</v>
      </c>
      <c r="AT17" s="152">
        <f t="shared" si="49"/>
        <v>46962.78496229231</v>
      </c>
      <c r="AU17" s="152">
        <f t="shared" si="49"/>
        <v>36111.471381841257</v>
      </c>
      <c r="AV17" s="152">
        <f t="shared" si="49"/>
        <v>18424.919159419918</v>
      </c>
      <c r="AW17" s="152">
        <f t="shared" si="49"/>
        <v>59134.884402138036</v>
      </c>
      <c r="AX17" s="152">
        <f t="shared" si="49"/>
        <v>22543.552257618663</v>
      </c>
      <c r="AY17" s="152">
        <f t="shared" ref="AY17" si="50">SUM(AY13:AY15)</f>
        <v>15145.828194580561</v>
      </c>
      <c r="AZ17" s="152">
        <f>SUM(AZ13:AZ15)</f>
        <v>9363.2920180405181</v>
      </c>
      <c r="BA17" s="152">
        <f t="shared" ref="BA17:BM17" si="51">SUM(BA13:BA15)</f>
        <v>3416.3099932104415</v>
      </c>
      <c r="BB17" s="152">
        <f>SUM(BB13:BB15)</f>
        <v>13636.851895570002</v>
      </c>
      <c r="BC17" s="152">
        <f t="shared" si="51"/>
        <v>8185.7070520995803</v>
      </c>
      <c r="BD17" s="152">
        <f t="shared" si="51"/>
        <v>4682.791383689434</v>
      </c>
      <c r="BE17" s="152">
        <f t="shared" si="51"/>
        <v>2158.0597508194965</v>
      </c>
      <c r="BF17" s="152">
        <f>SUM(BF13:BF15)</f>
        <v>6593.3231942103939</v>
      </c>
      <c r="BG17" s="152">
        <f t="shared" si="51"/>
        <v>5252.2627018996945</v>
      </c>
      <c r="BH17" s="152">
        <f t="shared" si="51"/>
        <v>2851.775811169487</v>
      </c>
      <c r="BI17" s="152">
        <f t="shared" si="51"/>
        <v>1262.9973832995825</v>
      </c>
      <c r="BJ17" s="152">
        <f>SUM(BJ13:BJ15)</f>
        <v>6610.271010069755</v>
      </c>
      <c r="BK17" s="152">
        <f t="shared" si="51"/>
        <v>3851.2828130404287</v>
      </c>
      <c r="BL17" s="152">
        <f t="shared" si="51"/>
        <v>2832.4772835800359</v>
      </c>
      <c r="BM17" s="152">
        <f t="shared" si="51"/>
        <v>1177.4074713699265</v>
      </c>
      <c r="BN17" s="152">
        <f t="shared" ref="BN17:BQ17" si="52">SUM(BN13:BN15)</f>
        <v>5471.0844634811165</v>
      </c>
      <c r="BO17" s="152">
        <f t="shared" si="52"/>
        <v>5140.4439871099694</v>
      </c>
      <c r="BP17" s="152">
        <f t="shared" si="52"/>
        <v>3942.5440692799493</v>
      </c>
      <c r="BQ17" s="152">
        <f t="shared" si="52"/>
        <v>1042.9366620199798</v>
      </c>
      <c r="BR17" s="153"/>
      <c r="BS17" s="150"/>
      <c r="BT17" s="150"/>
      <c r="BU17" s="155"/>
      <c r="BV17" s="155"/>
      <c r="BW17" s="155"/>
      <c r="BX17" s="155"/>
      <c r="BY17" s="155"/>
      <c r="BZ17" s="155"/>
      <c r="CA17" s="155"/>
      <c r="CB17" s="155"/>
      <c r="CC17" s="155"/>
      <c r="CD17" s="155"/>
      <c r="CE17" s="155"/>
      <c r="CF17" s="155"/>
      <c r="CG17" s="155"/>
      <c r="CH17" s="155"/>
    </row>
    <row r="18" spans="1:86" ht="15.75" x14ac:dyDescent="0.25">
      <c r="A18" s="112">
        <v>18</v>
      </c>
      <c r="B18" s="29" t="str">
        <f>IF($D$2=$E$2,E!B18,'R'!B18)</f>
        <v>Налог на прибыль</v>
      </c>
      <c r="C18" s="115"/>
      <c r="D18" s="118"/>
      <c r="E18" s="118"/>
      <c r="F18" s="117"/>
      <c r="G18" s="74">
        <f t="shared" ref="G18" si="53">G19-G17</f>
        <v>-3934.6376631895982</v>
      </c>
      <c r="H18" s="217">
        <f>H19-H17</f>
        <v>-3219.6756401911753</v>
      </c>
      <c r="I18" s="32">
        <f>I19-I17</f>
        <v>-2141.4817229988985</v>
      </c>
      <c r="J18" s="74"/>
      <c r="K18" s="74">
        <f t="shared" ref="K18" si="54">K19-K17</f>
        <v>-1382.2617150000715</v>
      </c>
      <c r="L18" s="74">
        <f t="shared" ref="L18" si="55">L19-L17</f>
        <v>-650.5087979990808</v>
      </c>
      <c r="M18" s="32">
        <f>-12514.60378653-746.896</f>
        <v>-13261.499786530001</v>
      </c>
      <c r="N18" s="74"/>
      <c r="O18" s="74">
        <f>O19-O17</f>
        <v>-11806.770139530112</v>
      </c>
      <c r="P18" s="74">
        <f>P19-P17</f>
        <v>-11092.261690524232</v>
      </c>
      <c r="Q18" s="32">
        <f>Q19-Q17</f>
        <v>-10359.882014671108</v>
      </c>
      <c r="R18" s="74"/>
      <c r="S18" s="74">
        <f>S19-S17</f>
        <v>-9645.0719726682837</v>
      </c>
      <c r="T18" s="74">
        <f>T19-T17</f>
        <v>-8930.7166976705666</v>
      </c>
      <c r="U18" s="32">
        <f t="shared" ref="U18" si="56">U19-U17</f>
        <v>-7340.4775503218989</v>
      </c>
      <c r="V18" s="74"/>
      <c r="W18" s="74">
        <f t="shared" ref="W18" si="57">W19-W17</f>
        <v>-6401.1965182794374</v>
      </c>
      <c r="X18" s="217">
        <f>X19-X17</f>
        <v>-5463.1756703163519</v>
      </c>
      <c r="Y18" s="32">
        <f>Y19-Y17</f>
        <v>-3210.2800209978959</v>
      </c>
      <c r="Z18" s="74"/>
      <c r="AA18" s="74">
        <f t="shared" ref="AA18" si="58">AA19-AA17</f>
        <v>-2124.4092169999167</v>
      </c>
      <c r="AB18" s="74">
        <f t="shared" ref="AB18" si="59">AB19-AB17</f>
        <v>-1038.3599179598505</v>
      </c>
      <c r="AC18" s="32">
        <f>-12183.13618556-133.205</f>
        <v>-12316.341185560001</v>
      </c>
      <c r="AD18" s="74"/>
      <c r="AE18" s="74">
        <f>AE19-AE17</f>
        <v>-11111.593034559912</v>
      </c>
      <c r="AF18" s="74">
        <f>AF19-AF17</f>
        <v>-10035.551748561607</v>
      </c>
      <c r="AG18" s="32">
        <f>AG19-AG17</f>
        <v>-6820.7839952290669</v>
      </c>
      <c r="AH18" s="74"/>
      <c r="AI18" s="74">
        <f>AI19-AI17</f>
        <v>-6475.5530872300151</v>
      </c>
      <c r="AJ18" s="74">
        <f>AJ19-AJ17</f>
        <v>-6130.7120892303283</v>
      </c>
      <c r="AK18" s="32">
        <f t="shared" ref="AK18" si="60">AK19-AK17</f>
        <v>-5401.6833078902746</v>
      </c>
      <c r="AL18" s="74"/>
      <c r="AM18" s="74">
        <f t="shared" ref="AM18" si="61">AM19-AM17</f>
        <v>-4628.0546508900225</v>
      </c>
      <c r="AN18" s="217">
        <f>AN19-AN17</f>
        <v>-3854.3679858909672</v>
      </c>
      <c r="AO18" s="32">
        <f>AO19-AO17</f>
        <v>-1771.6456295500193</v>
      </c>
      <c r="AP18" s="74"/>
      <c r="AQ18" s="74">
        <f t="shared" ref="AQ18" si="62">AQ19-AQ17</f>
        <v>-1170.3543650599204</v>
      </c>
      <c r="AR18" s="74">
        <f t="shared" ref="AR18" si="63">AR19-AR17</f>
        <v>-565.19085997954517</v>
      </c>
      <c r="AS18" s="32">
        <f>-13042.0011203579-1110.522</f>
        <v>-14152.523120357899</v>
      </c>
      <c r="AT18" s="32">
        <f>AT19-AT17</f>
        <v>-8952.3222612225509</v>
      </c>
      <c r="AU18" s="32">
        <f t="shared" ref="AU18" si="64">AU19-AU17</f>
        <v>-7881.9994403908313</v>
      </c>
      <c r="AV18" s="32">
        <f t="shared" ref="AV18" si="65">AV19-AV17</f>
        <v>-3660.8224559899372</v>
      </c>
      <c r="AW18" s="32">
        <f>-12126.478441476+639.939</f>
        <v>-11486.539441475999</v>
      </c>
      <c r="AX18" s="32">
        <f>-4519.17792468+79.397</f>
        <v>-4439.7809246799998</v>
      </c>
      <c r="AY18" s="32">
        <v>-3023.0399060900004</v>
      </c>
      <c r="AZ18" s="32">
        <f t="shared" ref="AZ18:BM18" si="66">AZ19-AZ17</f>
        <v>-697.11583243947462</v>
      </c>
      <c r="BA18" s="32">
        <f t="shared" si="66"/>
        <v>-2.5869210803998612</v>
      </c>
      <c r="BB18" s="32">
        <f>-1943.60578349-748.678</f>
        <v>-2692.2837834900001</v>
      </c>
      <c r="BC18" s="32">
        <f t="shared" si="66"/>
        <v>-1688.15205209958</v>
      </c>
      <c r="BD18" s="32">
        <f t="shared" si="66"/>
        <v>-404.22938368943414</v>
      </c>
      <c r="BE18" s="32">
        <f t="shared" si="66"/>
        <v>-29.735750819496388</v>
      </c>
      <c r="BF18" s="32">
        <f>-858.52880926+15.647</f>
        <v>-842.88180925999995</v>
      </c>
      <c r="BG18" s="32">
        <f t="shared" si="66"/>
        <v>-1687.9997018996946</v>
      </c>
      <c r="BH18" s="32">
        <f t="shared" si="66"/>
        <v>-735.74181116948694</v>
      </c>
      <c r="BI18" s="32">
        <f t="shared" si="66"/>
        <v>-102.74838329958243</v>
      </c>
      <c r="BJ18" s="32">
        <f>-982.66653932-437.48</f>
        <v>-1420.1465393200001</v>
      </c>
      <c r="BK18" s="32">
        <f t="shared" si="66"/>
        <v>-735.53181304042846</v>
      </c>
      <c r="BL18" s="32">
        <f t="shared" si="66"/>
        <v>-413.50728358003607</v>
      </c>
      <c r="BM18" s="32">
        <f t="shared" si="66"/>
        <v>-63.934471369926541</v>
      </c>
      <c r="BN18" s="32">
        <f>-1300.02426452-118.578</f>
        <v>-1418.6022645200001</v>
      </c>
      <c r="BO18" s="32">
        <f t="shared" ref="BO18:BQ18" si="67">BO19-BO17</f>
        <v>-1739.4169871099693</v>
      </c>
      <c r="BP18" s="32">
        <f t="shared" si="67"/>
        <v>-783.55806927994945</v>
      </c>
      <c r="BQ18" s="32">
        <f t="shared" si="67"/>
        <v>-448.18666201997985</v>
      </c>
      <c r="BR18" s="36"/>
      <c r="BS18" s="28"/>
      <c r="BT18" s="28"/>
      <c r="BU18" s="1"/>
      <c r="BV18" s="1"/>
      <c r="BW18" s="1"/>
      <c r="BX18" s="1"/>
      <c r="BY18" s="1"/>
      <c r="BZ18" s="1"/>
      <c r="CA18" s="1"/>
      <c r="CB18" s="1"/>
      <c r="CC18" s="1"/>
      <c r="CD18" s="1"/>
      <c r="CE18" s="1"/>
      <c r="CF18" s="1"/>
      <c r="CG18" s="1"/>
      <c r="CH18" s="1"/>
    </row>
    <row r="19" spans="1:86" ht="15.75" x14ac:dyDescent="0.25">
      <c r="A19" s="112">
        <v>19</v>
      </c>
      <c r="B19" s="33" t="str">
        <f>IF($D$2=$E$2,E!B19,'R'!B19)</f>
        <v>Чистая прибыль</v>
      </c>
      <c r="C19" s="119">
        <f t="shared" ca="1" si="0"/>
        <v>-0.43071552640460675</v>
      </c>
      <c r="D19" s="120"/>
      <c r="E19" s="120"/>
      <c r="F19" s="121"/>
      <c r="G19" s="73">
        <v>14522.471133850111</v>
      </c>
      <c r="H19" s="214">
        <v>12618.369903249539</v>
      </c>
      <c r="I19" s="42">
        <v>9615.7694709004027</v>
      </c>
      <c r="J19" s="73"/>
      <c r="K19" s="73">
        <v>6068.5588944601004</v>
      </c>
      <c r="L19" s="73">
        <v>3622.6942180000328</v>
      </c>
      <c r="M19" s="42">
        <f>M17+M18</f>
        <v>37374.168193240301</v>
      </c>
      <c r="N19" s="73"/>
      <c r="O19" s="73">
        <v>37041.253143180031</v>
      </c>
      <c r="P19" s="73">
        <v>35854.408925570562</v>
      </c>
      <c r="Q19" s="42">
        <v>33661.527501478748</v>
      </c>
      <c r="R19" s="73"/>
      <c r="S19" s="73">
        <v>31689.830832540221</v>
      </c>
      <c r="T19" s="73">
        <v>29117.71468651004</v>
      </c>
      <c r="U19" s="42">
        <v>27240.658356817949</v>
      </c>
      <c r="V19" s="73"/>
      <c r="W19" s="73">
        <v>25510.042531340219</v>
      </c>
      <c r="X19" s="214">
        <v>20133.09714814047</v>
      </c>
      <c r="Y19" s="42">
        <v>15590.934045471724</v>
      </c>
      <c r="Z19" s="73"/>
      <c r="AA19" s="73">
        <v>10209.822262829977</v>
      </c>
      <c r="AB19" s="73">
        <v>5128.9028208899617</v>
      </c>
      <c r="AC19" s="42">
        <f>AC17+AC18</f>
        <v>50837.785376378364</v>
      </c>
      <c r="AD19" s="73"/>
      <c r="AE19" s="73">
        <v>47617.171130570838</v>
      </c>
      <c r="AF19" s="73">
        <v>41974.074740838943</v>
      </c>
      <c r="AG19" s="42">
        <v>40510.19494291961</v>
      </c>
      <c r="AH19" s="73"/>
      <c r="AI19" s="73">
        <v>33800.83996728994</v>
      </c>
      <c r="AJ19" s="73">
        <v>29443.959091869896</v>
      </c>
      <c r="AK19" s="42">
        <v>24928.480702720022</v>
      </c>
      <c r="AL19" s="73"/>
      <c r="AM19" s="73">
        <v>23042.072438750034</v>
      </c>
      <c r="AN19" s="214">
        <v>18359.1280576799</v>
      </c>
      <c r="AO19" s="42">
        <v>14389.236999999999</v>
      </c>
      <c r="AP19" s="73"/>
      <c r="AQ19" s="73">
        <v>9291.7156994099896</v>
      </c>
      <c r="AR19" s="73">
        <v>5607.247608229949</v>
      </c>
      <c r="AS19" s="42">
        <f>AS17+AS18</f>
        <v>47263.810930322754</v>
      </c>
      <c r="AT19" s="42">
        <v>38010.462701069759</v>
      </c>
      <c r="AU19" s="42">
        <v>28229.471941450425</v>
      </c>
      <c r="AV19" s="42">
        <v>14764.096703429981</v>
      </c>
      <c r="AW19" s="42">
        <f>AW17+AW18</f>
        <v>47648.344960662034</v>
      </c>
      <c r="AX19" s="42">
        <f>AX17+AX18</f>
        <v>18103.771332938664</v>
      </c>
      <c r="AY19" s="42">
        <v>12122.788288530093</v>
      </c>
      <c r="AZ19" s="42">
        <v>8666.1761856010435</v>
      </c>
      <c r="BA19" s="42">
        <v>3413.7230721300416</v>
      </c>
      <c r="BB19" s="42">
        <f>BB17+BB18</f>
        <v>10944.568112080002</v>
      </c>
      <c r="BC19" s="42">
        <v>6497.5550000000003</v>
      </c>
      <c r="BD19" s="42">
        <v>4278.5619999999999</v>
      </c>
      <c r="BE19" s="42">
        <v>2128.3240000000001</v>
      </c>
      <c r="BF19" s="42">
        <f>BF17+BF18</f>
        <v>5750.4413849503944</v>
      </c>
      <c r="BG19" s="42">
        <v>3564.2629999999999</v>
      </c>
      <c r="BH19" s="42">
        <v>2116.0340000000001</v>
      </c>
      <c r="BI19" s="42">
        <v>1160.249</v>
      </c>
      <c r="BJ19" s="42">
        <f>BJ17+BJ18</f>
        <v>5190.1244707497553</v>
      </c>
      <c r="BK19" s="42">
        <v>3115.7510000000002</v>
      </c>
      <c r="BL19" s="42">
        <v>2418.9699999999998</v>
      </c>
      <c r="BM19" s="42">
        <v>1113.473</v>
      </c>
      <c r="BN19" s="42">
        <f>BN17+BN18</f>
        <v>4052.4821989611164</v>
      </c>
      <c r="BO19" s="42">
        <v>3401.027</v>
      </c>
      <c r="BP19" s="42">
        <v>3158.9859999999999</v>
      </c>
      <c r="BQ19" s="42">
        <v>594.75</v>
      </c>
      <c r="BR19" s="36"/>
      <c r="BS19" s="28"/>
      <c r="BT19" s="28"/>
      <c r="BU19" s="1"/>
      <c r="BV19" s="1"/>
      <c r="BW19" s="1"/>
      <c r="BX19" s="1"/>
      <c r="BY19" s="1"/>
      <c r="BZ19" s="1"/>
      <c r="CA19" s="1"/>
      <c r="CB19" s="1"/>
      <c r="CC19" s="1"/>
      <c r="CD19" s="1"/>
      <c r="CE19" s="1"/>
      <c r="CF19" s="1"/>
      <c r="CG19" s="1"/>
      <c r="CH19" s="1"/>
    </row>
    <row r="20" spans="1:86" ht="12.75" x14ac:dyDescent="0.2">
      <c r="A20" s="112">
        <v>20</v>
      </c>
      <c r="B20" s="33"/>
      <c r="C20" s="115"/>
      <c r="D20" s="115"/>
      <c r="E20" s="116"/>
      <c r="F20" s="117"/>
      <c r="G20" s="75"/>
      <c r="H20" s="210"/>
      <c r="I20" s="34"/>
      <c r="J20" s="75"/>
      <c r="K20" s="75"/>
      <c r="L20" s="75"/>
      <c r="M20" s="34"/>
      <c r="N20" s="75"/>
      <c r="O20" s="72"/>
      <c r="P20" s="75"/>
      <c r="Q20" s="34"/>
      <c r="R20" s="75"/>
      <c r="S20" s="75"/>
      <c r="T20" s="75"/>
      <c r="U20" s="34"/>
      <c r="V20" s="75"/>
      <c r="W20" s="75"/>
      <c r="X20" s="210"/>
      <c r="Y20" s="34"/>
      <c r="Z20" s="75"/>
      <c r="AA20" s="75"/>
      <c r="AB20" s="75"/>
      <c r="AC20" s="34"/>
      <c r="AD20" s="75"/>
      <c r="AE20" s="72"/>
      <c r="AF20" s="75"/>
      <c r="AG20" s="34"/>
      <c r="AH20" s="75"/>
      <c r="AI20" s="75"/>
      <c r="AJ20" s="75"/>
      <c r="AK20" s="34"/>
      <c r="AL20" s="75"/>
      <c r="AM20" s="75"/>
      <c r="AN20" s="210"/>
      <c r="AO20" s="34"/>
      <c r="AP20" s="75"/>
      <c r="AQ20" s="75"/>
      <c r="AR20" s="75"/>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28"/>
      <c r="BS20" s="28"/>
      <c r="BT20" s="28"/>
      <c r="BU20" s="1"/>
      <c r="BV20" s="1"/>
      <c r="BW20" s="1"/>
      <c r="BX20" s="1"/>
      <c r="BY20" s="1"/>
      <c r="BZ20" s="1"/>
      <c r="CA20" s="1"/>
      <c r="CB20" s="1"/>
      <c r="CC20" s="1"/>
      <c r="CD20" s="1"/>
      <c r="CE20" s="1"/>
      <c r="CF20" s="1"/>
      <c r="CG20" s="1"/>
      <c r="CH20" s="1"/>
    </row>
    <row r="21" spans="1:86" ht="12.75" x14ac:dyDescent="0.2">
      <c r="A21" s="112">
        <v>21</v>
      </c>
      <c r="B21" s="29" t="str">
        <f>IF($D$2=$E$2,E!B21,'R'!B21)</f>
        <v>Соотношение расходов к доходам</v>
      </c>
      <c r="C21" s="115"/>
      <c r="D21" s="115"/>
      <c r="E21" s="116"/>
      <c r="F21" s="117"/>
      <c r="G21" s="76">
        <f t="shared" ref="G21" si="68">-G14/G13</f>
        <v>0.34560203835556874</v>
      </c>
      <c r="H21" s="220">
        <f t="shared" ref="H21" si="69">-H14/H13</f>
        <v>0.33647570457868964</v>
      </c>
      <c r="I21" s="35">
        <f>-I14/I13</f>
        <v>0.32259691462040097</v>
      </c>
      <c r="J21" s="76"/>
      <c r="K21" s="76">
        <f>-K14/K13</f>
        <v>0.32564363389068179</v>
      </c>
      <c r="L21" s="76">
        <f>-L14/L13</f>
        <v>0.28213786157899429</v>
      </c>
      <c r="M21" s="35">
        <f>-M14/M13</f>
        <v>0.3034436186558227</v>
      </c>
      <c r="N21" s="76"/>
      <c r="O21" s="76">
        <f>-O14/O13</f>
        <v>0.27996141331928659</v>
      </c>
      <c r="P21" s="76">
        <f>-P14/P13</f>
        <v>0.27123199069955606</v>
      </c>
      <c r="Q21" s="35">
        <f t="shared" ref="Q21" si="70">-Q14/Q13</f>
        <v>0.25548031330824889</v>
      </c>
      <c r="R21" s="76"/>
      <c r="S21" s="76">
        <f t="shared" ref="S21" si="71">-S14/S13</f>
        <v>0.24920305587870475</v>
      </c>
      <c r="T21" s="76">
        <f t="shared" ref="T21" si="72">-T14/T13</f>
        <v>0.24228966149280509</v>
      </c>
      <c r="U21" s="35">
        <f t="shared" ref="U21" si="73">-U14/U13</f>
        <v>0.23467053881085892</v>
      </c>
      <c r="V21" s="76"/>
      <c r="W21" s="76">
        <f t="shared" ref="W21" si="74">-W14/W13</f>
        <v>0.224441966952625</v>
      </c>
      <c r="X21" s="220">
        <f t="shared" ref="X21" si="75">-X14/X13</f>
        <v>0.22334806172941071</v>
      </c>
      <c r="Y21" s="35">
        <f>-Y14/Y13</f>
        <v>0.21799970965635204</v>
      </c>
      <c r="Z21" s="76"/>
      <c r="AA21" s="76">
        <f>-AA14/AA13</f>
        <v>0.21080155265191225</v>
      </c>
      <c r="AB21" s="76">
        <f>-AB14/AB13</f>
        <v>0.18807037017113934</v>
      </c>
      <c r="AC21" s="35">
        <f>-AC14/AC13</f>
        <v>0.26804608377311973</v>
      </c>
      <c r="AD21" s="76"/>
      <c r="AE21" s="76">
        <f>-AE14/AE13</f>
        <v>0.25227211569175695</v>
      </c>
      <c r="AF21" s="76">
        <f>-AF14/AF13</f>
        <v>0.25684223853202764</v>
      </c>
      <c r="AG21" s="35">
        <f t="shared" ref="AG21" si="76">-AG14/AG13</f>
        <v>0.2570525258777735</v>
      </c>
      <c r="AH21" s="76"/>
      <c r="AI21" s="76">
        <f t="shared" ref="AI21" si="77">-AI14/AI13</f>
        <v>0.2659753196653426</v>
      </c>
      <c r="AJ21" s="76">
        <f t="shared" ref="AJ21" si="78">-AJ14/AJ13</f>
        <v>0.26135100619465784</v>
      </c>
      <c r="AK21" s="35">
        <f t="shared" ref="AK21" si="79">-AK14/AK13</f>
        <v>0.25061918338508443</v>
      </c>
      <c r="AL21" s="76"/>
      <c r="AM21" s="76">
        <f t="shared" ref="AM21" si="80">-AM14/AM13</f>
        <v>0.24921025416773807</v>
      </c>
      <c r="AN21" s="220">
        <f t="shared" ref="AN21" si="81">-AN14/AN13</f>
        <v>0.24190912320214844</v>
      </c>
      <c r="AO21" s="35">
        <f>-AO14/AO13</f>
        <v>0.26254308224600925</v>
      </c>
      <c r="AP21" s="76"/>
      <c r="AQ21" s="76">
        <f>-AQ14/AQ13</f>
        <v>0.25675988413517536</v>
      </c>
      <c r="AR21" s="76">
        <f>-AR14/AR13</f>
        <v>0.1691616084655988</v>
      </c>
      <c r="AS21" s="35">
        <f>-AS14/AS13</f>
        <v>0.30982806605447438</v>
      </c>
      <c r="AT21" s="35">
        <f t="shared" ref="AT21" si="82">-AT14/AT13</f>
        <v>0.32891792364286876</v>
      </c>
      <c r="AU21" s="35">
        <f t="shared" ref="AU21" si="83">-AU14/AU13</f>
        <v>0.3095730333769815</v>
      </c>
      <c r="AV21" s="35">
        <f>-AV14/AV13</f>
        <v>0.28062170558998312</v>
      </c>
      <c r="AW21" s="35">
        <f>-AW14/AW13</f>
        <v>0.23665932003690091</v>
      </c>
      <c r="AX21" s="35">
        <f>-AX14/AX13</f>
        <v>0.36879515703647064</v>
      </c>
      <c r="AY21" s="35">
        <f t="shared" ref="AY21" si="84">-AY14/AY13</f>
        <v>0.34858198078848873</v>
      </c>
      <c r="AZ21" s="35">
        <f t="shared" ref="AZ21" si="85">-AZ14/AZ13</f>
        <v>0.36725999840535406</v>
      </c>
      <c r="BA21" s="35">
        <f>-BA14/BA13</f>
        <v>0.44628383936509414</v>
      </c>
      <c r="BB21" s="35">
        <f>-BB14/BB13</f>
        <v>0.38534779257497626</v>
      </c>
      <c r="BC21" s="35">
        <f t="shared" ref="BC21" si="86">-BC14/BC13</f>
        <v>0.39185078927560435</v>
      </c>
      <c r="BD21" s="35">
        <f t="shared" ref="BD21:BQ21" si="87">-BD14/BD13</f>
        <v>0.398367014438398</v>
      </c>
      <c r="BE21" s="35">
        <f t="shared" si="87"/>
        <v>0.48249897718289281</v>
      </c>
      <c r="BF21" s="35">
        <f t="shared" si="87"/>
        <v>0.4577126215916752</v>
      </c>
      <c r="BG21" s="35">
        <f t="shared" si="87"/>
        <v>0.44268919480692176</v>
      </c>
      <c r="BH21" s="35">
        <f t="shared" si="87"/>
        <v>0.47062382293702237</v>
      </c>
      <c r="BI21" s="35">
        <f t="shared" si="87"/>
        <v>0.52862506721008984</v>
      </c>
      <c r="BJ21" s="35">
        <f t="shared" si="87"/>
        <v>0.39543772291561763</v>
      </c>
      <c r="BK21" s="35">
        <f t="shared" si="87"/>
        <v>0.41311534766721131</v>
      </c>
      <c r="BL21" s="35">
        <f t="shared" si="87"/>
        <v>0.43552879093629099</v>
      </c>
      <c r="BM21" s="35">
        <f t="shared" si="87"/>
        <v>0.44283575422477284</v>
      </c>
      <c r="BN21" s="35">
        <f t="shared" si="87"/>
        <v>0.3735277712636505</v>
      </c>
      <c r="BO21" s="35">
        <f t="shared" si="87"/>
        <v>0.37002371749740509</v>
      </c>
      <c r="BP21" s="35">
        <f t="shared" si="87"/>
        <v>0.37234302560651711</v>
      </c>
      <c r="BQ21" s="35">
        <f t="shared" si="87"/>
        <v>0.39101511769040315</v>
      </c>
      <c r="BR21" s="28"/>
      <c r="BS21" s="28"/>
      <c r="BT21" s="28"/>
      <c r="BU21" s="1"/>
      <c r="BV21" s="1"/>
      <c r="BW21" s="1"/>
      <c r="BX21" s="1"/>
      <c r="BY21" s="1"/>
      <c r="BZ21" s="1"/>
      <c r="CA21" s="1"/>
      <c r="CB21" s="1"/>
      <c r="CC21" s="1"/>
      <c r="CD21" s="1"/>
      <c r="CE21" s="1"/>
      <c r="CF21" s="1"/>
      <c r="CG21" s="1"/>
      <c r="CH21" s="1"/>
    </row>
    <row r="22" spans="1:86" ht="12.75" x14ac:dyDescent="0.2">
      <c r="A22" s="112">
        <v>22</v>
      </c>
      <c r="B22" s="33"/>
      <c r="C22" s="115"/>
      <c r="D22" s="115"/>
      <c r="E22" s="116"/>
      <c r="F22" s="117"/>
      <c r="G22" s="75"/>
      <c r="H22" s="75"/>
      <c r="I22" s="34"/>
      <c r="J22" s="75"/>
      <c r="K22" s="75"/>
      <c r="L22" s="75"/>
      <c r="M22" s="239"/>
      <c r="N22" s="75"/>
      <c r="O22" s="72"/>
      <c r="P22" s="75"/>
      <c r="Q22" s="34"/>
      <c r="R22" s="75"/>
      <c r="S22" s="75"/>
      <c r="T22" s="75"/>
      <c r="U22" s="230"/>
      <c r="V22" s="75"/>
      <c r="W22" s="75"/>
      <c r="X22" s="75"/>
      <c r="Y22" s="34"/>
      <c r="Z22" s="75"/>
      <c r="AA22" s="75"/>
      <c r="AB22" s="75"/>
      <c r="AC22" s="239"/>
      <c r="AD22" s="75"/>
      <c r="AE22" s="72"/>
      <c r="AF22" s="75"/>
      <c r="AG22" s="34"/>
      <c r="AH22" s="75"/>
      <c r="AI22" s="75"/>
      <c r="AJ22" s="75"/>
      <c r="AK22" s="230"/>
      <c r="AL22" s="75"/>
      <c r="AM22" s="75"/>
      <c r="AN22" s="75"/>
      <c r="AO22" s="34"/>
      <c r="AP22" s="75"/>
      <c r="AQ22" s="75"/>
      <c r="AR22" s="75"/>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28"/>
      <c r="BS22" s="28"/>
      <c r="BT22" s="28"/>
      <c r="BU22" s="1"/>
      <c r="BV22" s="1"/>
      <c r="BW22" s="1"/>
      <c r="BX22" s="1"/>
      <c r="BY22" s="1"/>
      <c r="BZ22" s="1"/>
      <c r="CA22" s="1"/>
      <c r="CB22" s="1"/>
      <c r="CC22" s="1"/>
      <c r="CD22" s="1"/>
      <c r="CE22" s="1"/>
      <c r="CF22" s="1"/>
      <c r="CG22" s="1"/>
      <c r="CH22" s="1"/>
    </row>
    <row r="23" spans="1:86" ht="12.75" x14ac:dyDescent="0.2">
      <c r="A23" s="112">
        <v>23</v>
      </c>
      <c r="B23" s="33"/>
      <c r="C23" s="115"/>
      <c r="D23" s="115"/>
      <c r="E23" s="116"/>
      <c r="F23" s="117"/>
      <c r="G23" s="75"/>
      <c r="H23" s="75"/>
      <c r="I23" s="34"/>
      <c r="J23" s="75"/>
      <c r="K23" s="235"/>
      <c r="L23" s="237"/>
      <c r="M23" s="34"/>
      <c r="N23" s="75"/>
      <c r="O23" s="75"/>
      <c r="P23" s="75"/>
      <c r="Q23" s="34"/>
      <c r="R23" s="75"/>
      <c r="S23" s="75"/>
      <c r="T23" s="75"/>
      <c r="U23" s="34"/>
      <c r="V23" s="75"/>
      <c r="W23" s="75"/>
      <c r="X23" s="75"/>
      <c r="Y23" s="34"/>
      <c r="Z23" s="75"/>
      <c r="AA23" s="235"/>
      <c r="AB23" s="237"/>
      <c r="AC23" s="34"/>
      <c r="AD23" s="75"/>
      <c r="AE23" s="75"/>
      <c r="AF23" s="75"/>
      <c r="AG23" s="34"/>
      <c r="AH23" s="75"/>
      <c r="AI23" s="75"/>
      <c r="AJ23" s="75"/>
      <c r="AK23" s="34"/>
      <c r="AL23" s="75"/>
      <c r="AM23" s="75"/>
      <c r="AN23" s="75"/>
      <c r="AO23" s="34"/>
      <c r="AP23" s="75"/>
      <c r="AQ23" s="235"/>
      <c r="AR23" s="237"/>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28"/>
      <c r="BS23" s="28"/>
      <c r="BT23" s="28"/>
      <c r="BU23" s="1"/>
      <c r="BV23" s="1"/>
      <c r="BW23" s="1"/>
      <c r="BX23" s="1"/>
      <c r="BY23" s="1"/>
      <c r="BZ23" s="1"/>
      <c r="CA23" s="1"/>
      <c r="CB23" s="1"/>
      <c r="CC23" s="1"/>
      <c r="CD23" s="1"/>
      <c r="CE23" s="1"/>
      <c r="CF23" s="1"/>
      <c r="CG23" s="1"/>
      <c r="CH23" s="1"/>
    </row>
    <row r="24" spans="1:86" ht="13.15" customHeight="1" x14ac:dyDescent="0.2">
      <c r="A24" s="112">
        <v>24</v>
      </c>
      <c r="B24" s="296"/>
      <c r="C24" s="294" t="str">
        <f ca="1">IF($D$2=$E$2,E!C24,'R'!C24:C25)</f>
        <v/>
      </c>
      <c r="D24" s="294" t="str">
        <f ca="1">IF($D$2=$E$2,E!D24,'R'!D24:D25)</f>
        <v/>
      </c>
      <c r="E24" s="294" t="str">
        <f ca="1">IF($D$2=$E$2,E!E24,'R'!E24)</f>
        <v>май 26 / май 25</v>
      </c>
      <c r="F24" s="294" t="str">
        <f ca="1">IF($D$2=$E$2,E!F24,'R'!F24)</f>
        <v>май 26 / апр 26</v>
      </c>
      <c r="G24" s="258" t="str">
        <f>IF($D$2=$E$2,TEXT(E!G24,"[$-en-GB]МММ ГГГГ;@"),TEXT('R'!G24,"[$-ru-RU]МММ ГГГГ;@"))</f>
        <v>май 2026</v>
      </c>
      <c r="H24" s="275" t="str">
        <f>IF($D$2=$E$2,TEXT(E!H24,"[$-en-GB]МММ ГГГГ;@"),TEXT('R'!H24,"[$-ru-RU]МММ ГГГГ;@"))</f>
        <v>апр 2026</v>
      </c>
      <c r="I24" s="269" t="str">
        <f>IF($D$2=$E$2,TEXT(E!I24,"[$-en-GB]МММ ГГГГ;@"),TEXT('R'!I24,"[$-ru-RU]МММ ГГГГ;@"))</f>
        <v>1К 2026</v>
      </c>
      <c r="J24" s="258" t="str">
        <f>IF($D$2=$E$2,TEXT(E!J24,"[$-en-GB]МММ ГГГГ;@"),TEXT('R'!J24,"[$-ru-RU]МММ ГГГГ;@"))</f>
        <v>мар 2026</v>
      </c>
      <c r="K24" s="258" t="str">
        <f>IF($D$2=$E$2,TEXT(E!K24,"[$-en-GB]МММ ГГГГ;@"),TEXT('R'!K24,"[$-ru-RU]МММ ГГГГ;@"))</f>
        <v>фев 2026</v>
      </c>
      <c r="L24" s="305" t="str">
        <f>IF($D$2=$E$2,TEXT(E!L24,"[$-en-GB]МММ ГГГГ;@"),TEXT('R'!L24,"[$-ru-RU]МММ ГГГГ;@"))</f>
        <v>янв 2026</v>
      </c>
      <c r="M24" s="262" t="str">
        <f>IF($D$2=$E$2,TEXT(E!M24,"[$-en-GB]МММ ГГГГ;@"),TEXT('R'!M24,"[$-ru-RU]МММ ГГГГ;@"))</f>
        <v>4К 2025</v>
      </c>
      <c r="N24" s="266" t="str">
        <f>IF($D$2=$E$2,TEXT(E!N24,"[$-en-GB]МММ ГГГГ;@"),TEXT('R'!N24,"[$-ru-RU]МММ ГГГГ;@"))</f>
        <v>дек 2025</v>
      </c>
      <c r="O24" s="266" t="str">
        <f>IF($D$2=$E$2,TEXT(E!O24,"[$-en-GB]МММ ГГГГ;@"),TEXT('R'!O24,"[$-ru-RU]МММ ГГГГ;@"))</f>
        <v>ноя 2025</v>
      </c>
      <c r="P24" s="281" t="str">
        <f>IF($D$2=$E$2,TEXT(E!P24,"[$-en-GB]МММ ГГГГ;@"),TEXT('R'!P24,"[$-ru-RU]МММ ГГГГ;@"))</f>
        <v>окт 2025</v>
      </c>
      <c r="Q24" s="269" t="str">
        <f>IF($D$2=$E$2,TEXT(E!Q24,"[$-en-GB]МММ ГГГГ;@"),TEXT('R'!Q24,"[$-ru-RU]МММ ГГГГ;@"))</f>
        <v>3К 2025</v>
      </c>
      <c r="R24" s="275" t="str">
        <f>IF($D$2=$E$2,TEXT(E!R24,"[$-en-GB]МММ ГГГГ;@"),TEXT('R'!R24,"[$-ru-RU]МММ ГГГГ;@"))</f>
        <v>сен 2025</v>
      </c>
      <c r="S24" s="281" t="str">
        <f>IF($D$2=$E$2,TEXT(E!S24,"[$-en-GB]МММ ГГГГ;@"),TEXT('R'!S24,"[$-ru-RU]МММ ГГГГ;@"))</f>
        <v>авг 2025</v>
      </c>
      <c r="T24" s="281" t="str">
        <f>IF($D$2=$E$2,TEXT(E!T24,"[$-en-GB]МММ ГГГГ;@"),TEXT('R'!T24,"[$-ru-RU]МММ ГГГГ;@"))</f>
        <v>июл 2025</v>
      </c>
      <c r="U24" s="271" t="str">
        <f>IF($D$2=$E$2,TEXT(E!U24,"[$-en-GB]МММ ГГГГ;@"),TEXT('R'!U24,"[$-ru-RU]МММ ГГГГ;@"))</f>
        <v>2К 2025</v>
      </c>
      <c r="V24" s="258" t="str">
        <f>IF($D$2=$E$2,TEXT(E!V24,"[$-en-GB]МММ ГГГГ;@"),TEXT('R'!V24,"[$-ru-RU]МММ ГГГГ;@"))</f>
        <v>июн 2025</v>
      </c>
      <c r="W24" s="258" t="str">
        <f>IF($D$2=$E$2,TEXT(E!W24,"[$-en-GB]МММ ГГГГ;@"),TEXT('R'!W24,"[$-ru-RU]МММ ГГГГ;@"))</f>
        <v>май 2025</v>
      </c>
      <c r="X24" s="275" t="str">
        <f>IF($D$2=$E$2,TEXT(E!X24,"[$-en-GB]МММ ГГГГ;@"),TEXT('R'!X24,"[$-ru-RU]МММ ГГГГ;@"))</f>
        <v>апр 2025</v>
      </c>
      <c r="Y24" s="269" t="str">
        <f>IF($D$2=$E$2,TEXT(E!Y24,"[$-en-GB]МММ ГГГГ;@"),TEXT('R'!Y24,"[$-ru-RU]МММ ГГГГ;@"))</f>
        <v>1К 2025</v>
      </c>
      <c r="Z24" s="258" t="str">
        <f>IF($D$2=$E$2,TEXT(E!Z24,"[$-en-GB]МММ ГГГГ;@"),TEXT('R'!Z24,"[$-ru-RU]МММ ГГГГ;@"))</f>
        <v>мар 2025</v>
      </c>
      <c r="AA24" s="258" t="str">
        <f>IF($D$2=$E$2,TEXT(E!AA24,"[$-en-GB]МММ ГГГГ;@"),TEXT('R'!AA24,"[$-ru-RU]МММ ГГГГ;@"))</f>
        <v>фев 2025</v>
      </c>
      <c r="AB24" s="275" t="str">
        <f>IF($D$2=$E$2,TEXT(E!AB24,"[$-en-GB]МММ ГГГГ;@"),TEXT('R'!AB24,"[$-ru-RU]МММ ГГГГ;@"))</f>
        <v>янв 2025</v>
      </c>
      <c r="AC24" s="262" t="str">
        <f>IF($D$2=$E$2,TEXT(E!AC24,"[$-en-GB]МММ ГГГГ;@"),TEXT('R'!AC24,"[$-ru-RU]МММ ГГГГ;@"))</f>
        <v>4К 2024</v>
      </c>
      <c r="AD24" s="266" t="str">
        <f>IF($D$2=$E$2,TEXT(E!AD24,"[$-en-GB]МММ ГГГГ;@"),TEXT('R'!AD24,"[$-ru-RU]МММ ГГГГ;@"))</f>
        <v>дек 2024</v>
      </c>
      <c r="AE24" s="266" t="str">
        <f>IF($D$2=$E$2,TEXT(E!AE24,"[$-en-GB]МММ ГГГГ;@"),TEXT('R'!AE24,"[$-ru-RU]МММ ГГГГ;@"))</f>
        <v>ноя 2024</v>
      </c>
      <c r="AF24" s="281" t="str">
        <f>IF($D$2=$E$2,TEXT(E!AF24,"[$-en-GB]МММ ГГГГ;@"),TEXT('R'!AF24,"[$-ru-RU]МММ ГГГГ;@"))</f>
        <v>окт 2024</v>
      </c>
      <c r="AG24" s="269" t="str">
        <f>IF($D$2=$E$2,TEXT(E!AG24,"[$-en-GB]МММ ГГГГ;@"),TEXT('R'!AG24,"[$-ru-RU]МММ ГГГГ;@"))</f>
        <v>3К 2024</v>
      </c>
      <c r="AH24" s="275" t="str">
        <f>IF($D$2=$E$2,TEXT(E!AH24,"[$-en-GB]МММ ГГГГ;@"),TEXT('R'!AH24,"[$-ru-RU]МММ ГГГГ;@"))</f>
        <v>сен 2024</v>
      </c>
      <c r="AI24" s="281" t="str">
        <f>IF($D$2=$E$2,TEXT(E!AI24,"[$-en-GB]МММ ГГГГ;@"),TEXT('R'!AI24,"[$-ru-RU]МММ ГГГГ;@"))</f>
        <v>авг 2024</v>
      </c>
      <c r="AJ24" s="281" t="str">
        <f>IF($D$2=$E$2,TEXT(E!AJ24,"[$-en-GB]МММ ГГГГ;@"),TEXT('R'!AJ24,"[$-ru-RU]МММ ГГГГ;@"))</f>
        <v>июл 2024</v>
      </c>
      <c r="AK24" s="271" t="str">
        <f>IF($D$2=$E$2,TEXT(E!AK24,"[$-en-GB]МММ ГГГГ;@"),TEXT('R'!AK24,"[$-ru-RU]МММ ГГГГ;@"))</f>
        <v>2К 2024</v>
      </c>
      <c r="AL24" s="258" t="str">
        <f>IF($D$2=$E$2,TEXT(E!AL24,"[$-en-GB]МММ ГГГГ;@"),TEXT('R'!AL24,"[$-ru-RU]МММ ГГГГ;@"))</f>
        <v>июн 2024</v>
      </c>
      <c r="AM24" s="258" t="str">
        <f>IF($D$2=$E$2,TEXT(E!AM24,"[$-en-GB]МММ ГГГГ;@"),TEXT('R'!AM24,"[$-ru-RU]МММ ГГГГ;@"))</f>
        <v>май 2024</v>
      </c>
      <c r="AN24" s="275" t="str">
        <f>IF($D$2=$E$2,TEXT(E!AN24,"[$-en-GB]МММ ГГГГ;@"),TEXT('R'!AN24,"[$-ru-RU]МММ ГГГГ;@"))</f>
        <v>апр 2024</v>
      </c>
      <c r="AO24" s="269" t="str">
        <f>IF($D$2=$E$2,TEXT(E!AO24,"[$-en-GB]МММ ГГГГ;@"),TEXT('R'!AO24,"[$-ru-RU]МММ ГГГГ;@"))</f>
        <v>1К 2024</v>
      </c>
      <c r="AP24" s="258" t="str">
        <f>IF($D$2=$E$2,TEXT(E!AP24,"[$-en-GB]МММ ГГГГ;@"),TEXT('R'!AP24,"[$-ru-RU]МММ ГГГГ;@"))</f>
        <v>мар 2024</v>
      </c>
      <c r="AQ24" s="258" t="str">
        <f>IF($D$2=$E$2,TEXT(E!AQ24,"[$-en-GB]МММ ГГГГ;@"),TEXT('R'!AQ24,"[$-ru-RU]МММ ГГГГ;@"))</f>
        <v>фев 2024</v>
      </c>
      <c r="AR24" s="275" t="str">
        <f>IF($D$2=$E$2,TEXT(E!AR24,"[$-en-GB]МММ ГГГГ;@"),TEXT('R'!AR24,"[$-ru-RU]МММ ГГГГ;@"))</f>
        <v>янв 2024</v>
      </c>
      <c r="AS24" s="262" t="str">
        <f>IF($D$2=$E$2,TEXT(E!AS24,"[$-en-GB]МММ ГГГГ;@"),TEXT('R'!AS24,"[$-ru-RU]МММ ГГГГ;@"))</f>
        <v>4К 2023</v>
      </c>
      <c r="AT24" s="269" t="str">
        <f>IF($D$2=$E$2,TEXT(E!AW24,"[$-en-GB]МММ ГГГГ;@"),TEXT('R'!AW24,"[$-ru-RU]МММ ГГГГ;@"))</f>
        <v>3К 2023</v>
      </c>
      <c r="AU24" s="271" t="str">
        <f>IF($D$2=$E$2,TEXT(E!BA24,"[$-en-GB]МММ ГГГГ;@"),TEXT('R'!BA24,"[$-ru-RU]МММ ГГГГ;@"))</f>
        <v>2К 2023</v>
      </c>
      <c r="AV24" s="269" t="str">
        <f>IF($D$2=$E$2,TEXT(E!BE24,"[$-en-GB]МММ ГГГГ;@"),TEXT('R'!BE24,"[$-ru-RU]МММ ГГГГ;@"))</f>
        <v>1К 2023</v>
      </c>
      <c r="AW24" s="262" t="str">
        <f>IF($D$2=$E$2,TEXT(E!BI24,"[$-en-GB]МММ ГГГГ;@"),TEXT('R'!BI24,"[$-ru-RU]МММ ГГГГ;@"))</f>
        <v>4К 2022</v>
      </c>
      <c r="AX24" s="262" t="str">
        <f>IF($D$2=$E$2,TEXT(E!BY24,"[$-en-GB]МММ ГГГГ;@"),TEXT('R'!BY24,"[$-ru-RU]МММ ГГГГ;@"))</f>
        <v>4К 2021</v>
      </c>
      <c r="AY24" s="262" t="str">
        <f>IF($D$2=$E$2,TEXT(E!CC24,"[$-en-GB]МММ ГГГГ;@"),TEXT('R'!CC24,"[$-ru-RU]МММ ГГГГ;@"))</f>
        <v>3К 2021</v>
      </c>
      <c r="AZ24" s="262" t="str">
        <f>IF($D$2=$E$2,TEXT(E!CG24,"[$-en-GB]МММ ГГГГ;@"),TEXT('R'!CG24,"[$-ru-RU]МММ ГГГГ;@"))</f>
        <v>2К 2021</v>
      </c>
      <c r="BA24" s="262" t="str">
        <f>IF($D$2=$E$2,TEXT(E!CK24,"[$-en-GB]МММ ГГГГ;@"),TEXT('R'!CK24,"[$-ru-RU]МММ ГГГГ;@"))</f>
        <v>1К 2021</v>
      </c>
      <c r="BB24" s="262" t="str">
        <f>IF($D$2=$E$2,TEXT(E!CO24,"[$-en-GB]МММ ГГГГ;@"),TEXT('R'!CO24,"[$-ru-RU]МММ ГГГГ;@"))</f>
        <v>4К 2020</v>
      </c>
      <c r="BC24" s="262" t="str">
        <f>IF($D$2=$E$2,TEXT(E!CS24,"[$-en-GB]МММ ГГГГ;@"),TEXT('R'!CS24,"[$-ru-RU]МММ ГГГГ;@"))</f>
        <v>3К 2020</v>
      </c>
      <c r="BD24" s="262" t="str">
        <f>IF($D$2=$E$2,TEXT(E!CW24,"[$-en-GB]МММ ГГГГ;@"),TEXT('R'!CW24,"[$-ru-RU]МММ ГГГГ;@"))</f>
        <v>2К 2020</v>
      </c>
      <c r="BE24" s="262" t="str">
        <f>IF($D$2=$E$2,TEXT(E!DA24,"[$-en-GB]МММ ГГГГ;@"),TEXT('R'!DA24,"[$-ru-RU]МММ ГГГГ;@"))</f>
        <v>1К 2020</v>
      </c>
      <c r="BF24" s="262" t="str">
        <f>IF($D$2=$E$2,TEXT(E!DE24,"[$-en-GB]МММ ГГГГ;@"),TEXT('R'!DE24,"[$-ru-RU]МММ ГГГГ;@"))</f>
        <v>4К 2019</v>
      </c>
      <c r="BG24" s="262" t="str">
        <f>IF($D$2=$E$2,TEXT(E!DF24,"[$-en-GB]МММ ГГГГ;@"),TEXT('R'!DF24,"[$-ru-RU]МММ ГГГГ;@"))</f>
        <v>3К 2019</v>
      </c>
      <c r="BH24" s="262" t="str">
        <f>IF($D$2=$E$2,TEXT(E!DG24,"[$-en-GB]МММ ГГГГ;@"),TEXT('R'!DG24,"[$-ru-RU]МММ ГГГГ;@"))</f>
        <v>2К 2019</v>
      </c>
      <c r="BI24" s="262" t="str">
        <f>IF($D$2=$E$2,TEXT(E!DH24,"[$-en-GB]МММ ГГГГ;@"),TEXT('R'!DH24,"[$-ru-RU]МММ ГГГГ;@"))</f>
        <v>1К 2019</v>
      </c>
      <c r="BJ24" s="262" t="str">
        <f>IF($D$2=$E$2,TEXT(E!DI24,"[$-en-GB]МММ ГГГГ;@"),TEXT('R'!DI24,"[$-ru-RU]МММ ГГГГ;@"))</f>
        <v>4К 2018</v>
      </c>
      <c r="BK24" s="262" t="str">
        <f>IF($D$2=$E$2,TEXT(E!DJ24,"[$-en-GB]МММ ГГГГ;@"),TEXT('R'!DJ24,"[$-ru-RU]МММ ГГГГ;@"))</f>
        <v>3К 2018</v>
      </c>
      <c r="BL24" s="262" t="str">
        <f>IF($D$2=$E$2,TEXT(E!DK24,"[$-en-GB]МММ ГГГГ;@"),TEXT('R'!DK24,"[$-ru-RU]МММ ГГГГ;@"))</f>
        <v>2К 2018</v>
      </c>
      <c r="BM24" s="262" t="str">
        <f>IF($D$2=$E$2,TEXT(E!DL24,"[$-en-GB]МММ ГГГГ;@"),TEXT('R'!DL24,"[$-ru-RU]МММ ГГГГ;@"))</f>
        <v>1К 2018</v>
      </c>
      <c r="BN24" s="262" t="str">
        <f>IF($D$2=$E$2,TEXT(E!DM24,"[$-en-GB]МММ ГГГГ;@"),TEXT('R'!DM24,"[$-ru-RU]МММ ГГГГ;@"))</f>
        <v>4К 2017</v>
      </c>
      <c r="BO24" s="262" t="str">
        <f>IF($D$2=$E$2,TEXT(E!DN24,"[$-en-GB]МММ ГГГГ;@"),TEXT('R'!DN24,"[$-ru-RU]МММ ГГГГ;@"))</f>
        <v>3К 2017</v>
      </c>
      <c r="BP24" s="262" t="str">
        <f>IF($D$2=$E$2,TEXT(E!DO24,"[$-en-GB]МММ ГГГГ;@"),TEXT('R'!DO24,"[$-ru-RU]МММ ГГГГ;@"))</f>
        <v>2К 2017</v>
      </c>
      <c r="BQ24" s="262" t="str">
        <f>IF($D$2=$E$2,TEXT(E!DP24,"[$-en-GB]МММ ГГГГ;@"),TEXT('R'!DP24,"[$-ru-RU]МММ ГГГГ;@"))</f>
        <v>1К 2017</v>
      </c>
      <c r="BR24" s="28"/>
      <c r="BS24" s="28"/>
      <c r="BT24" s="28"/>
      <c r="BU24" s="1"/>
      <c r="BV24" s="1"/>
      <c r="BW24" s="1"/>
      <c r="BX24" s="1"/>
      <c r="BY24" s="1"/>
      <c r="BZ24" s="1"/>
      <c r="CA24" s="1"/>
      <c r="CB24" s="1"/>
      <c r="CC24" s="1"/>
      <c r="CD24" s="1"/>
      <c r="CE24" s="1"/>
      <c r="CF24" s="1"/>
      <c r="CG24" s="1"/>
      <c r="CH24" s="1"/>
    </row>
    <row r="25" spans="1:86" ht="15.75" x14ac:dyDescent="0.25">
      <c r="A25" s="112">
        <v>25</v>
      </c>
      <c r="B25" s="296"/>
      <c r="C25" s="295"/>
      <c r="D25" s="295"/>
      <c r="E25" s="295"/>
      <c r="F25" s="295"/>
      <c r="G25" s="259"/>
      <c r="H25" s="276"/>
      <c r="I25" s="270"/>
      <c r="J25" s="259"/>
      <c r="K25" s="259"/>
      <c r="L25" s="306"/>
      <c r="M25" s="263"/>
      <c r="N25" s="267"/>
      <c r="O25" s="267"/>
      <c r="P25" s="282"/>
      <c r="Q25" s="270"/>
      <c r="R25" s="276"/>
      <c r="S25" s="282"/>
      <c r="T25" s="282"/>
      <c r="U25" s="272"/>
      <c r="V25" s="259"/>
      <c r="W25" s="259"/>
      <c r="X25" s="276"/>
      <c r="Y25" s="270"/>
      <c r="Z25" s="259"/>
      <c r="AA25" s="259"/>
      <c r="AB25" s="276"/>
      <c r="AC25" s="263"/>
      <c r="AD25" s="267"/>
      <c r="AE25" s="267"/>
      <c r="AF25" s="282"/>
      <c r="AG25" s="270"/>
      <c r="AH25" s="276"/>
      <c r="AI25" s="282"/>
      <c r="AJ25" s="282"/>
      <c r="AK25" s="272"/>
      <c r="AL25" s="259"/>
      <c r="AM25" s="259"/>
      <c r="AN25" s="276"/>
      <c r="AO25" s="270"/>
      <c r="AP25" s="259"/>
      <c r="AQ25" s="259"/>
      <c r="AR25" s="276"/>
      <c r="AS25" s="263"/>
      <c r="AT25" s="270"/>
      <c r="AU25" s="272"/>
      <c r="AV25" s="270"/>
      <c r="AW25" s="263"/>
      <c r="AX25" s="263"/>
      <c r="AY25" s="263"/>
      <c r="AZ25" s="263"/>
      <c r="BA25" s="263"/>
      <c r="BB25" s="263"/>
      <c r="BC25" s="263"/>
      <c r="BD25" s="263"/>
      <c r="BE25" s="263"/>
      <c r="BF25" s="263"/>
      <c r="BG25" s="263"/>
      <c r="BH25" s="263"/>
      <c r="BI25" s="263"/>
      <c r="BJ25" s="263"/>
      <c r="BK25" s="263"/>
      <c r="BL25" s="263"/>
      <c r="BM25" s="263"/>
      <c r="BN25" s="263"/>
      <c r="BO25" s="263"/>
      <c r="BP25" s="263"/>
      <c r="BQ25" s="263"/>
      <c r="BR25" s="36"/>
      <c r="BS25" s="28"/>
      <c r="BT25" s="28"/>
      <c r="BU25" s="1"/>
      <c r="BV25" s="1"/>
      <c r="BW25" s="1"/>
      <c r="BX25" s="1"/>
      <c r="BY25" s="1"/>
      <c r="BZ25" s="1"/>
      <c r="CA25" s="1"/>
      <c r="CB25" s="1"/>
      <c r="CC25" s="1"/>
      <c r="CD25" s="1"/>
      <c r="CE25" s="1"/>
      <c r="CF25" s="1"/>
      <c r="CG25" s="1"/>
      <c r="CH25" s="1"/>
    </row>
    <row r="26" spans="1:86" ht="15.75" x14ac:dyDescent="0.25">
      <c r="A26" s="112">
        <v>26</v>
      </c>
      <c r="B26" s="37" t="str">
        <f>IF($D$2=$E$2,E!B26,'R'!B26)</f>
        <v>в млн руб</v>
      </c>
      <c r="C26" s="115"/>
      <c r="D26" s="122"/>
      <c r="E26" s="122"/>
      <c r="F26" s="117"/>
      <c r="G26" s="72"/>
      <c r="H26" s="72"/>
      <c r="I26" s="31"/>
      <c r="J26" s="72"/>
      <c r="K26" s="72"/>
      <c r="L26" s="72"/>
      <c r="M26" s="31"/>
      <c r="N26" s="72"/>
      <c r="O26" s="72"/>
      <c r="P26" s="72"/>
      <c r="Q26" s="31"/>
      <c r="R26" s="72"/>
      <c r="S26" s="72"/>
      <c r="T26" s="72"/>
      <c r="U26" s="31"/>
      <c r="V26" s="72"/>
      <c r="W26" s="72"/>
      <c r="X26" s="72"/>
      <c r="Y26" s="31"/>
      <c r="Z26" s="72"/>
      <c r="AA26" s="72"/>
      <c r="AB26" s="72"/>
      <c r="AC26" s="31"/>
      <c r="AD26" s="72"/>
      <c r="AE26" s="72"/>
      <c r="AF26" s="72"/>
      <c r="AG26" s="31"/>
      <c r="AH26" s="72"/>
      <c r="AI26" s="72"/>
      <c r="AJ26" s="72"/>
      <c r="AK26" s="31"/>
      <c r="AL26" s="72"/>
      <c r="AM26" s="72"/>
      <c r="AN26" s="72"/>
      <c r="AO26" s="31"/>
      <c r="AP26" s="72"/>
      <c r="AQ26" s="72"/>
      <c r="AR26" s="72"/>
      <c r="AS26" s="31"/>
      <c r="AT26" s="31"/>
      <c r="AU26" s="31"/>
      <c r="AV26" s="31"/>
      <c r="AW26" s="31"/>
      <c r="AX26" s="31"/>
      <c r="AY26" s="31"/>
      <c r="AZ26" s="31"/>
      <c r="BA26" s="31"/>
      <c r="BB26" s="31"/>
      <c r="BC26" s="31"/>
      <c r="BD26" s="31"/>
      <c r="BE26" s="31"/>
      <c r="BF26" s="39"/>
      <c r="BG26" s="39"/>
      <c r="BH26" s="39"/>
      <c r="BI26" s="39"/>
      <c r="BJ26" s="37"/>
      <c r="BK26" s="37"/>
      <c r="BL26" s="37"/>
      <c r="BM26" s="37"/>
      <c r="BN26" s="37"/>
      <c r="BO26" s="37"/>
      <c r="BP26" s="37"/>
      <c r="BQ26" s="37"/>
      <c r="BR26" s="36"/>
      <c r="BS26" s="28"/>
      <c r="BT26" s="28"/>
      <c r="BU26" s="1"/>
      <c r="BV26" s="1"/>
      <c r="BW26" s="1"/>
      <c r="BX26" s="1"/>
      <c r="BY26" s="1"/>
      <c r="BZ26" s="1"/>
      <c r="CA26" s="1"/>
      <c r="CB26" s="1"/>
      <c r="CC26" s="1"/>
      <c r="CD26" s="1"/>
      <c r="CE26" s="1"/>
      <c r="CF26" s="1"/>
      <c r="CG26" s="1"/>
      <c r="CH26" s="1"/>
    </row>
    <row r="27" spans="1:86" ht="15.75" x14ac:dyDescent="0.25">
      <c r="A27" s="112">
        <v>27</v>
      </c>
      <c r="B27" s="37" t="str">
        <f>IF($D$2=$E$2,E!B27,'R'!B27)</f>
        <v>квартальные итоги</v>
      </c>
      <c r="C27" s="115"/>
      <c r="D27" s="115"/>
      <c r="E27" s="115"/>
      <c r="F27" s="117"/>
      <c r="G27" s="72"/>
      <c r="H27" s="72"/>
      <c r="I27" s="31"/>
      <c r="J27" s="72"/>
      <c r="K27" s="72"/>
      <c r="L27" s="72"/>
      <c r="M27" s="31"/>
      <c r="N27" s="72"/>
      <c r="O27" s="72"/>
      <c r="P27" s="72"/>
      <c r="Q27" s="31"/>
      <c r="R27" s="72"/>
      <c r="S27" s="72"/>
      <c r="T27" s="72"/>
      <c r="U27" s="31"/>
      <c r="V27" s="72"/>
      <c r="W27" s="72"/>
      <c r="X27" s="72"/>
      <c r="Y27" s="31"/>
      <c r="Z27" s="72"/>
      <c r="AA27" s="72"/>
      <c r="AB27" s="72"/>
      <c r="AC27" s="31"/>
      <c r="AD27" s="72"/>
      <c r="AE27" s="72"/>
      <c r="AF27" s="72"/>
      <c r="AG27" s="31"/>
      <c r="AH27" s="72"/>
      <c r="AI27" s="72"/>
      <c r="AJ27" s="72"/>
      <c r="AK27" s="31"/>
      <c r="AL27" s="72"/>
      <c r="AM27" s="72"/>
      <c r="AN27" s="72"/>
      <c r="AO27" s="31"/>
      <c r="AP27" s="72"/>
      <c r="AQ27" s="72"/>
      <c r="AR27" s="72"/>
      <c r="AS27" s="31"/>
      <c r="AT27" s="31"/>
      <c r="AU27" s="31"/>
      <c r="AV27" s="31"/>
      <c r="AW27" s="31"/>
      <c r="AX27" s="31"/>
      <c r="AY27" s="31"/>
      <c r="AZ27" s="31"/>
      <c r="BA27" s="31"/>
      <c r="BB27" s="31"/>
      <c r="BC27" s="31"/>
      <c r="BD27" s="31"/>
      <c r="BE27" s="31"/>
      <c r="BF27" s="31"/>
      <c r="BG27" s="31"/>
      <c r="BH27" s="31"/>
      <c r="BI27" s="31"/>
      <c r="BJ27" s="37"/>
      <c r="BK27" s="37"/>
      <c r="BL27" s="37"/>
      <c r="BM27" s="37"/>
      <c r="BN27" s="37"/>
      <c r="BO27" s="37"/>
      <c r="BP27" s="37"/>
      <c r="BQ27" s="37"/>
      <c r="BR27" s="36"/>
      <c r="BS27" s="28"/>
      <c r="BT27" s="28"/>
      <c r="BU27" s="1"/>
      <c r="BV27" s="1"/>
      <c r="BW27" s="1"/>
      <c r="BX27" s="1"/>
      <c r="BY27" s="1"/>
      <c r="BZ27" s="1"/>
      <c r="CA27" s="1"/>
      <c r="CB27" s="1"/>
      <c r="CC27" s="1"/>
      <c r="CD27" s="1"/>
      <c r="CE27" s="1"/>
      <c r="CF27" s="1"/>
      <c r="CG27" s="1"/>
      <c r="CH27" s="1"/>
    </row>
    <row r="28" spans="1:86" ht="15.75" x14ac:dyDescent="0.25">
      <c r="A28" s="112">
        <v>28</v>
      </c>
      <c r="B28" s="29" t="str">
        <f>IF($D$2=$E$2,E!B28,'R'!B28)</f>
        <v>Чистый процентный доход</v>
      </c>
      <c r="C28" s="203" t="str">
        <f t="shared" ref="C28:C36" ca="1" si="88">IF((MID(OFFSET($F$24,0,1),2,2)="Q ")+(MID(OFFSET($F$24,0,1),2,2)="К "),OFFSET($F28,0,1)/OFFSET($F28,0,17)-1,"")</f>
        <v/>
      </c>
      <c r="D28" s="204" t="str">
        <f t="shared" ref="D28:D36" ca="1" si="89">IF((MID(OFFSET($F$24,0,1),2,2)="Q ")+(MID(OFFSET($F$24,0,1),2,2)="К "),OFFSET($F28,0,1)/OFFSET($F28,0,5)-1,"")</f>
        <v/>
      </c>
      <c r="E28" s="115">
        <f t="shared" ref="E28:E36" ca="1" si="90">IF((MID(OFFSET($F$24,0,1),2,2)="Q ")+(MID(OFFSET($F$24,0,1),2,2)="К "),OFFSET($F28,0,2)/OFFSET($F28,0,18)-1,OFFSET($F28,0,1)/OFFSET($F28,0,17)-1)</f>
        <v>-0.12061789370336118</v>
      </c>
      <c r="F28" s="117">
        <f t="shared" ref="F28:F36" ca="1" si="91">IF((MID(OFFSET($F$24,0,1),2,2)="Q ")+(MID(OFFSET($F$24,0,1),2,2)="К "),OFFSET($F28,0,2)/OFFSET($F28,0,3)-1,IF((MID(OFFSET($F$24,0,2),2,1)="Q")+(MID(OFFSET($F$24,0,2),2,1)="К"),OFFSET($F28,0,1)/OFFSET($F28,0,3)-1,OFFSET($F28,0,1)/OFFSET($F28,0,2)-1))</f>
        <v>-2.6664759422554529E-2</v>
      </c>
      <c r="G28" s="74">
        <f t="shared" ref="G28:G35" si="92">G9-H9</f>
        <v>5732.8753744197602</v>
      </c>
      <c r="H28" s="217">
        <f t="shared" ref="H28:H35" si="93">H9-I9</f>
        <v>5889.928911870742</v>
      </c>
      <c r="I28" s="32">
        <f t="shared" ref="I28:I35" si="94">I9</f>
        <v>17160.7715193898</v>
      </c>
      <c r="J28" s="74">
        <f t="shared" ref="J28:J35" si="95">I9-K9</f>
        <v>5821.3845824798209</v>
      </c>
      <c r="K28" s="74">
        <f t="shared" ref="K28:K35" si="96">K9-L9</f>
        <v>5499.9999021104559</v>
      </c>
      <c r="L28" s="74">
        <f t="shared" ref="L28:L35" si="97">L9</f>
        <v>5839.3870347995235</v>
      </c>
      <c r="M28" s="32">
        <f t="shared" ref="M28:M31" si="98">M9-Q9</f>
        <v>17145.240964510027</v>
      </c>
      <c r="N28" s="74">
        <f t="shared" ref="N28:N35" si="99">M9-O9</f>
        <v>5827.423790832021</v>
      </c>
      <c r="O28" s="74">
        <f t="shared" ref="O28:O35" si="100">O9-P9</f>
        <v>5491.6731297017541</v>
      </c>
      <c r="P28" s="74">
        <f t="shared" ref="P28:P35" si="101">P9-Q9</f>
        <v>5826.1440439762519</v>
      </c>
      <c r="Q28" s="32">
        <f>Q9-U9</f>
        <v>18378.651348900115</v>
      </c>
      <c r="R28" s="74">
        <f t="shared" ref="R28:R35" si="102">Q9-S9</f>
        <v>5746.2263822210371</v>
      </c>
      <c r="S28" s="74">
        <f t="shared" ref="S28:S35" si="103">S9-T9</f>
        <v>5646.2100044686158</v>
      </c>
      <c r="T28" s="74">
        <f t="shared" ref="T28:T35" si="104">T9-U9</f>
        <v>6986.2149622104625</v>
      </c>
      <c r="U28" s="32">
        <f>U9-Y9</f>
        <v>19104.591694919625</v>
      </c>
      <c r="V28" s="74">
        <f t="shared" ref="V28:V35" si="105">U9-W9</f>
        <v>6188.3176740695053</v>
      </c>
      <c r="W28" s="74">
        <f t="shared" ref="W28:W35" si="106">W9-X9</f>
        <v>6519.2085822200133</v>
      </c>
      <c r="X28" s="217">
        <f t="shared" ref="X28:X35" si="107">X9-Y9</f>
        <v>6397.0654386301067</v>
      </c>
      <c r="Y28" s="32">
        <f t="shared" ref="Y28:Y35" si="108">Y9</f>
        <v>19722.734035620138</v>
      </c>
      <c r="Z28" s="74">
        <f t="shared" ref="Z28:Z35" si="109">Y9-AA9</f>
        <v>6888.1712559701664</v>
      </c>
      <c r="AA28" s="74">
        <f t="shared" ref="AA28:AA35" si="110">AA9-AB9</f>
        <v>6220.8831203401796</v>
      </c>
      <c r="AB28" s="74">
        <f t="shared" ref="AB28:AB35" si="111">AB9</f>
        <v>6613.6796593097924</v>
      </c>
      <c r="AC28" s="32">
        <f t="shared" ref="AC28:AC31" si="112">AC9-AG9</f>
        <v>19412.07848289964</v>
      </c>
      <c r="AD28" s="74">
        <f t="shared" ref="AD28:AD35" si="113">AC9-AE9</f>
        <v>6914.801643337436</v>
      </c>
      <c r="AE28" s="74">
        <f t="shared" ref="AE28:AE35" si="114">AE9-AF9</f>
        <v>6465.6284430002197</v>
      </c>
      <c r="AF28" s="74">
        <f t="shared" ref="AF28:AF35" si="115">AF9-AG9</f>
        <v>6031.6483965619846</v>
      </c>
      <c r="AG28" s="32">
        <f>AG9-AK9</f>
        <v>17163.712228747754</v>
      </c>
      <c r="AH28" s="74">
        <f t="shared" ref="AH28:AH35" si="116">AG9-AI9</f>
        <v>5726.1844122981784</v>
      </c>
      <c r="AI28" s="74">
        <f t="shared" ref="AI28:AI35" si="117">AI9-AJ9</f>
        <v>5959.408164299588</v>
      </c>
      <c r="AJ28" s="74">
        <f t="shared" ref="AJ28:AJ35" si="118">AJ9-AK9</f>
        <v>5478.1196521499878</v>
      </c>
      <c r="AK28" s="32">
        <f>AK9-AO9</f>
        <v>16586.645156320537</v>
      </c>
      <c r="AL28" s="74">
        <f t="shared" ref="AL28:AL35" si="119">AK9-AM9</f>
        <v>5350.2885496603958</v>
      </c>
      <c r="AM28" s="74">
        <f t="shared" ref="AM28:AM35" si="120">AM9-AN9</f>
        <v>5799.7058112598097</v>
      </c>
      <c r="AN28" s="217">
        <f t="shared" ref="AN28:AN35" si="121">AN9-AO9</f>
        <v>5436.6507954003318</v>
      </c>
      <c r="AO28" s="32">
        <f t="shared" ref="AO28:AO35" si="122">AO9</f>
        <v>17020.70285512997</v>
      </c>
      <c r="AP28" s="74">
        <f t="shared" ref="AP28:AP35" si="123">AO9-AQ9</f>
        <v>5654.9938616000891</v>
      </c>
      <c r="AQ28" s="74">
        <f t="shared" ref="AQ28:AQ35" si="124">AQ9-AR9</f>
        <v>5447.4922761499147</v>
      </c>
      <c r="AR28" s="74">
        <f t="shared" ref="AR28:AR35" si="125">AR9</f>
        <v>5918.2167173799662</v>
      </c>
      <c r="AS28" s="32">
        <f t="shared" ref="AS28:AU35" si="126">AS9-AT9</f>
        <v>15963.780084819729</v>
      </c>
      <c r="AT28" s="32">
        <f t="shared" si="126"/>
        <v>12596.454978640577</v>
      </c>
      <c r="AU28" s="32">
        <f t="shared" si="126"/>
        <v>11093.749450490262</v>
      </c>
      <c r="AV28" s="32">
        <f t="shared" ref="AV28:AV35" si="127">AV9</f>
        <v>11090.847093200029</v>
      </c>
      <c r="AW28" s="32"/>
      <c r="AX28" s="32">
        <f t="shared" ref="AX28:AZ35" si="128">AX9-AY9</f>
        <v>7739.5556907689315</v>
      </c>
      <c r="AY28" s="32">
        <f t="shared" si="128"/>
        <v>7336.6390277800456</v>
      </c>
      <c r="AZ28" s="32">
        <f t="shared" si="128"/>
        <v>6493.2633657999904</v>
      </c>
      <c r="BA28" s="32">
        <f t="shared" ref="BA28" si="129">BA9</f>
        <v>6427.3867481300331</v>
      </c>
      <c r="BB28" s="32">
        <f t="shared" ref="BB28:BD35" si="130">BB9-BC9</f>
        <v>6975.2270158400061</v>
      </c>
      <c r="BC28" s="32">
        <f t="shared" si="130"/>
        <v>6074.9726785199982</v>
      </c>
      <c r="BD28" s="32">
        <f t="shared" si="130"/>
        <v>5928.451517589996</v>
      </c>
      <c r="BE28" s="32">
        <f t="shared" ref="BE28:BE35" si="131">BE9</f>
        <v>5921.4362098199999</v>
      </c>
      <c r="BF28" s="32">
        <f t="shared" ref="BF28:BH35" si="132">BF9-BG9</f>
        <v>5700.3194705299811</v>
      </c>
      <c r="BG28" s="32">
        <f t="shared" si="132"/>
        <v>6023.7810233100045</v>
      </c>
      <c r="BH28" s="32">
        <f t="shared" si="132"/>
        <v>4686.4559447700058</v>
      </c>
      <c r="BI28" s="32">
        <f t="shared" ref="BI28:BI35" si="133">BI9</f>
        <v>4985.0211075300094</v>
      </c>
      <c r="BJ28" s="32">
        <f t="shared" ref="BJ28:BL33" si="134">BJ9-BK9</f>
        <v>5777.2698263999955</v>
      </c>
      <c r="BK28" s="32">
        <f t="shared" si="134"/>
        <v>5731.1366915600065</v>
      </c>
      <c r="BL28" s="32">
        <f t="shared" si="134"/>
        <v>4670.0448547199876</v>
      </c>
      <c r="BM28" s="32">
        <f t="shared" ref="BM28:BM35" si="135">BM9</f>
        <v>5131.2595290498093</v>
      </c>
      <c r="BN28" s="32">
        <f t="shared" ref="BN28:BP35" si="136">BN9-BO9</f>
        <v>5493.8622133307872</v>
      </c>
      <c r="BO28" s="32">
        <f t="shared" si="136"/>
        <v>4793.8135728245325</v>
      </c>
      <c r="BP28" s="32">
        <f t="shared" si="136"/>
        <v>4143.9536338987837</v>
      </c>
      <c r="BQ28" s="32">
        <f t="shared" ref="BQ28:BQ35" si="137">BQ9</f>
        <v>4187.2260660911943</v>
      </c>
      <c r="BR28" s="36"/>
      <c r="BS28" s="28"/>
      <c r="BT28" s="28"/>
      <c r="BU28" s="1"/>
      <c r="BV28" s="1"/>
      <c r="BW28" s="1"/>
      <c r="BX28" s="1"/>
      <c r="BY28" s="1"/>
      <c r="BZ28" s="1"/>
      <c r="CA28" s="1"/>
      <c r="CB28" s="1"/>
      <c r="CC28" s="1"/>
      <c r="CD28" s="1"/>
      <c r="CE28" s="1"/>
      <c r="CF28" s="1"/>
      <c r="CG28" s="1"/>
      <c r="CH28" s="1"/>
    </row>
    <row r="29" spans="1:86" ht="15.75" x14ac:dyDescent="0.25">
      <c r="A29" s="112">
        <v>29</v>
      </c>
      <c r="B29" s="29" t="str">
        <f>IF($D$2=$E$2,E!B29,'R'!B29)</f>
        <v>Чистый комиссионный доход</v>
      </c>
      <c r="C29" s="203" t="str">
        <f t="shared" ca="1" si="88"/>
        <v/>
      </c>
      <c r="D29" s="204" t="str">
        <f t="shared" ca="1" si="89"/>
        <v/>
      </c>
      <c r="E29" s="115">
        <f t="shared" ca="1" si="90"/>
        <v>-3.4889612179915819E-3</v>
      </c>
      <c r="F29" s="117">
        <f t="shared" ca="1" si="91"/>
        <v>-0.17753144456454772</v>
      </c>
      <c r="G29" s="74">
        <f t="shared" si="92"/>
        <v>856.58363115953898</v>
      </c>
      <c r="H29" s="217">
        <f t="shared" si="93"/>
        <v>1041.4788814704589</v>
      </c>
      <c r="I29" s="32">
        <f t="shared" si="94"/>
        <v>2841.916705119645</v>
      </c>
      <c r="J29" s="74">
        <f t="shared" si="95"/>
        <v>1035.7436184995649</v>
      </c>
      <c r="K29" s="74">
        <f t="shared" si="96"/>
        <v>927.535197340389</v>
      </c>
      <c r="L29" s="74">
        <f t="shared" si="97"/>
        <v>878.63788927969108</v>
      </c>
      <c r="M29" s="32">
        <f t="shared" si="98"/>
        <v>3320.8070382200058</v>
      </c>
      <c r="N29" s="74">
        <f t="shared" si="99"/>
        <v>1269.9934450899891</v>
      </c>
      <c r="O29" s="74">
        <f t="shared" si="100"/>
        <v>1036.545024590001</v>
      </c>
      <c r="P29" s="74">
        <f t="shared" si="101"/>
        <v>1014.2685685400156</v>
      </c>
      <c r="Q29" s="32">
        <f t="shared" ref="Q29:Q34" si="138">Q10-U10</f>
        <v>2959.3381252800191</v>
      </c>
      <c r="R29" s="74">
        <f t="shared" si="102"/>
        <v>1114.2983605700338</v>
      </c>
      <c r="S29" s="74">
        <f t="shared" si="103"/>
        <v>953.25152040995181</v>
      </c>
      <c r="T29" s="74">
        <f t="shared" si="104"/>
        <v>891.78824430003351</v>
      </c>
      <c r="U29" s="32">
        <f t="shared" ref="U29:U35" si="139">U10-Y10</f>
        <v>2926.905421679975</v>
      </c>
      <c r="V29" s="74">
        <f t="shared" si="105"/>
        <v>1066.6247711899741</v>
      </c>
      <c r="W29" s="74">
        <f t="shared" si="106"/>
        <v>859.58268179999641</v>
      </c>
      <c r="X29" s="217">
        <f t="shared" si="107"/>
        <v>1000.6979686900045</v>
      </c>
      <c r="Y29" s="32">
        <f t="shared" si="108"/>
        <v>2798.8114248800002</v>
      </c>
      <c r="Z29" s="74">
        <f t="shared" si="109"/>
        <v>1153.641569749997</v>
      </c>
      <c r="AA29" s="74">
        <f t="shared" si="110"/>
        <v>821.85833637000496</v>
      </c>
      <c r="AB29" s="74">
        <f t="shared" si="111"/>
        <v>823.31151875999831</v>
      </c>
      <c r="AC29" s="32">
        <f t="shared" si="112"/>
        <v>3078.1077391800172</v>
      </c>
      <c r="AD29" s="74">
        <f t="shared" si="113"/>
        <v>1222.2165896400129</v>
      </c>
      <c r="AE29" s="74">
        <f t="shared" si="114"/>
        <v>906.80636814998979</v>
      </c>
      <c r="AF29" s="74">
        <f t="shared" si="115"/>
        <v>949.08478139001454</v>
      </c>
      <c r="AG29" s="32">
        <f t="shared" ref="AG29:AG34" si="140">AG10-AK10</f>
        <v>3125.5822687499849</v>
      </c>
      <c r="AH29" s="74">
        <f t="shared" si="116"/>
        <v>893.98420834999797</v>
      </c>
      <c r="AI29" s="74">
        <f t="shared" si="117"/>
        <v>1050.5582257699834</v>
      </c>
      <c r="AJ29" s="74">
        <f t="shared" si="118"/>
        <v>1181.0398346300035</v>
      </c>
      <c r="AK29" s="32">
        <f t="shared" ref="AK29:AK35" si="141">AK10-AO10</f>
        <v>2751.1805716900067</v>
      </c>
      <c r="AL29" s="74">
        <f t="shared" si="119"/>
        <v>924.45691793000515</v>
      </c>
      <c r="AM29" s="74">
        <f t="shared" si="120"/>
        <v>882.68340824999223</v>
      </c>
      <c r="AN29" s="217">
        <f t="shared" si="121"/>
        <v>944.0402455100093</v>
      </c>
      <c r="AO29" s="32">
        <f t="shared" si="122"/>
        <v>2687.4679752799907</v>
      </c>
      <c r="AP29" s="74">
        <f t="shared" si="123"/>
        <v>1038.7087197099966</v>
      </c>
      <c r="AQ29" s="74">
        <f t="shared" si="124"/>
        <v>843.72429766999664</v>
      </c>
      <c r="AR29" s="74">
        <f t="shared" si="125"/>
        <v>805.03495789999749</v>
      </c>
      <c r="AS29" s="32">
        <f t="shared" si="126"/>
        <v>3138.4918093700035</v>
      </c>
      <c r="AT29" s="32">
        <f t="shared" si="126"/>
        <v>2999.1959896599146</v>
      </c>
      <c r="AU29" s="32">
        <f t="shared" si="126"/>
        <v>2935.4123783099863</v>
      </c>
      <c r="AV29" s="32">
        <f t="shared" si="127"/>
        <v>3563.5945144799948</v>
      </c>
      <c r="AW29" s="32"/>
      <c r="AX29" s="32">
        <f t="shared" si="128"/>
        <v>2561.8194238599363</v>
      </c>
      <c r="AY29" s="32">
        <f t="shared" si="128"/>
        <v>2206.6572254500034</v>
      </c>
      <c r="AZ29" s="32">
        <f t="shared" si="128"/>
        <v>2277.5872691800023</v>
      </c>
      <c r="BA29" s="32">
        <f t="shared" ref="BA29" si="142">BA10</f>
        <v>1877.3502033799987</v>
      </c>
      <c r="BB29" s="32">
        <f t="shared" si="130"/>
        <v>2203.3752879700005</v>
      </c>
      <c r="BC29" s="32">
        <f t="shared" si="130"/>
        <v>1866.3075313699992</v>
      </c>
      <c r="BD29" s="32">
        <f t="shared" si="130"/>
        <v>1616.1013395399996</v>
      </c>
      <c r="BE29" s="32">
        <f t="shared" si="131"/>
        <v>1644.8521650300008</v>
      </c>
      <c r="BF29" s="32">
        <f t="shared" si="132"/>
        <v>1902.868685899999</v>
      </c>
      <c r="BG29" s="32">
        <f t="shared" si="132"/>
        <v>1707.8939120600044</v>
      </c>
      <c r="BH29" s="32">
        <f t="shared" si="132"/>
        <v>1655.0992467239976</v>
      </c>
      <c r="BI29" s="32">
        <f t="shared" si="133"/>
        <v>1408.3938052719996</v>
      </c>
      <c r="BJ29" s="32">
        <f t="shared" si="134"/>
        <v>1648.8757980080036</v>
      </c>
      <c r="BK29" s="32">
        <f t="shared" si="134"/>
        <v>1477.7200797252012</v>
      </c>
      <c r="BL29" s="32">
        <f t="shared" si="134"/>
        <v>1372.3493597099973</v>
      </c>
      <c r="BM29" s="32">
        <f t="shared" si="135"/>
        <v>1402.9731086321981</v>
      </c>
      <c r="BN29" s="32">
        <f t="shared" si="136"/>
        <v>1547.6385488851975</v>
      </c>
      <c r="BO29" s="32">
        <f t="shared" si="136"/>
        <v>1415.4810582931996</v>
      </c>
      <c r="BP29" s="32">
        <f t="shared" si="136"/>
        <v>1343.4471744680013</v>
      </c>
      <c r="BQ29" s="32">
        <f t="shared" si="137"/>
        <v>1251.7919685630013</v>
      </c>
      <c r="BR29" s="36"/>
      <c r="BS29" s="28"/>
      <c r="BT29" s="28"/>
      <c r="BU29" s="1"/>
      <c r="BV29" s="1"/>
      <c r="BW29" s="1"/>
      <c r="BX29" s="1"/>
      <c r="BY29" s="1"/>
      <c r="BZ29" s="1"/>
      <c r="CA29" s="1"/>
      <c r="CB29" s="1"/>
      <c r="CC29" s="1"/>
      <c r="CD29" s="1"/>
      <c r="CE29" s="1"/>
      <c r="CF29" s="1"/>
      <c r="CG29" s="1"/>
      <c r="CH29" s="1"/>
    </row>
    <row r="30" spans="1:86" ht="15.75" x14ac:dyDescent="0.25">
      <c r="A30" s="112">
        <v>30</v>
      </c>
      <c r="B30" s="29" t="str">
        <f>IF($D$2=$E$2,E!B30,'R'!B30)</f>
        <v>Чистый торговый доход</v>
      </c>
      <c r="C30" s="203" t="str">
        <f t="shared" ca="1" si="88"/>
        <v/>
      </c>
      <c r="D30" s="204" t="str">
        <f t="shared" ca="1" si="89"/>
        <v/>
      </c>
      <c r="E30" s="115">
        <f t="shared" ca="1" si="90"/>
        <v>-0.4711014358523592</v>
      </c>
      <c r="F30" s="117">
        <f t="shared" ca="1" si="91"/>
        <v>-0.22860317291420629</v>
      </c>
      <c r="G30" s="74">
        <f t="shared" si="92"/>
        <v>508.85146788517591</v>
      </c>
      <c r="H30" s="217">
        <f t="shared" si="93"/>
        <v>659.649417806825</v>
      </c>
      <c r="I30" s="32">
        <f t="shared" si="94"/>
        <v>989.195524917748</v>
      </c>
      <c r="J30" s="74">
        <f t="shared" si="95"/>
        <v>765.73686762317607</v>
      </c>
      <c r="K30" s="74">
        <f t="shared" si="96"/>
        <v>46.961052833858901</v>
      </c>
      <c r="L30" s="74">
        <f t="shared" si="97"/>
        <v>176.49760446071309</v>
      </c>
      <c r="M30" s="32">
        <f t="shared" si="98"/>
        <v>1716.2438241430409</v>
      </c>
      <c r="N30" s="74">
        <f t="shared" si="99"/>
        <v>758.155413552543</v>
      </c>
      <c r="O30" s="74">
        <f t="shared" si="100"/>
        <v>398.77571546458785</v>
      </c>
      <c r="P30" s="74">
        <f t="shared" si="101"/>
        <v>559.31269512591007</v>
      </c>
      <c r="Q30" s="32">
        <f t="shared" si="138"/>
        <v>1110.0726082744986</v>
      </c>
      <c r="R30" s="74">
        <f t="shared" si="102"/>
        <v>-435.32090562951635</v>
      </c>
      <c r="S30" s="74">
        <f t="shared" si="103"/>
        <v>676.09617580693975</v>
      </c>
      <c r="T30" s="74">
        <f t="shared" si="104"/>
        <v>869.29733809707523</v>
      </c>
      <c r="U30" s="32">
        <f t="shared" si="139"/>
        <v>2868.8725832737482</v>
      </c>
      <c r="V30" s="74">
        <f t="shared" si="105"/>
        <v>1113.2651010405807</v>
      </c>
      <c r="W30" s="74">
        <f t="shared" si="106"/>
        <v>962.09651978395459</v>
      </c>
      <c r="X30" s="217">
        <f t="shared" si="107"/>
        <v>793.51096244921291</v>
      </c>
      <c r="Y30" s="32">
        <f t="shared" si="108"/>
        <v>2130.3026808439627</v>
      </c>
      <c r="Z30" s="74">
        <f t="shared" si="109"/>
        <v>439.71830094157212</v>
      </c>
      <c r="AA30" s="74">
        <f t="shared" si="110"/>
        <v>1137.8025721385648</v>
      </c>
      <c r="AB30" s="74">
        <f t="shared" si="111"/>
        <v>552.78180776382578</v>
      </c>
      <c r="AC30" s="32">
        <f t="shared" si="112"/>
        <v>3317.4543724009545</v>
      </c>
      <c r="AD30" s="74">
        <f t="shared" si="113"/>
        <v>1842.0513683852878</v>
      </c>
      <c r="AE30" s="74">
        <f t="shared" si="114"/>
        <v>713.17930467592851</v>
      </c>
      <c r="AF30" s="74">
        <f t="shared" si="115"/>
        <v>762.22369933973823</v>
      </c>
      <c r="AG30" s="32">
        <f t="shared" si="140"/>
        <v>2987.9482952548797</v>
      </c>
      <c r="AH30" s="74">
        <f t="shared" si="116"/>
        <v>1995.1600279665436</v>
      </c>
      <c r="AI30" s="74">
        <f t="shared" si="117"/>
        <v>477.38409874448917</v>
      </c>
      <c r="AJ30" s="74">
        <f t="shared" si="118"/>
        <v>515.40416854384694</v>
      </c>
      <c r="AK30" s="32">
        <f t="shared" si="141"/>
        <v>2555.3750909708947</v>
      </c>
      <c r="AL30" s="74">
        <f t="shared" si="119"/>
        <v>251.63339345152144</v>
      </c>
      <c r="AM30" s="74">
        <f t="shared" si="120"/>
        <v>1144.8086409546513</v>
      </c>
      <c r="AN30" s="217">
        <f t="shared" si="121"/>
        <v>1158.9330565647219</v>
      </c>
      <c r="AO30" s="32">
        <f t="shared" si="122"/>
        <v>2258.3004775552731</v>
      </c>
      <c r="AP30" s="74">
        <f t="shared" si="123"/>
        <v>1062.2981194772158</v>
      </c>
      <c r="AQ30" s="74">
        <f t="shared" si="124"/>
        <v>342.51590026216047</v>
      </c>
      <c r="AR30" s="74">
        <f t="shared" si="125"/>
        <v>853.48645781589687</v>
      </c>
      <c r="AS30" s="32">
        <f t="shared" si="126"/>
        <v>1260.542089833827</v>
      </c>
      <c r="AT30" s="32">
        <f t="shared" si="126"/>
        <v>814.74308871408903</v>
      </c>
      <c r="AU30" s="32">
        <f t="shared" si="126"/>
        <v>1875.3493914155133</v>
      </c>
      <c r="AV30" s="32">
        <f t="shared" si="127"/>
        <v>6155.1207511975663</v>
      </c>
      <c r="AW30" s="32"/>
      <c r="AX30" s="32">
        <f t="shared" si="128"/>
        <v>1993.1224198379468</v>
      </c>
      <c r="AY30" s="32">
        <f t="shared" si="128"/>
        <v>1262.7107124218296</v>
      </c>
      <c r="AZ30" s="32">
        <f t="shared" si="128"/>
        <v>1596.8558754833043</v>
      </c>
      <c r="BA30" s="32">
        <f t="shared" ref="BA30" si="143">BA11</f>
        <v>611.08590043181175</v>
      </c>
      <c r="BB30" s="32">
        <f t="shared" si="130"/>
        <v>1721.1345370992844</v>
      </c>
      <c r="BC30" s="32">
        <f t="shared" si="130"/>
        <v>437.91543165104463</v>
      </c>
      <c r="BD30" s="32">
        <f t="shared" si="130"/>
        <v>788.18425239935164</v>
      </c>
      <c r="BE30" s="32">
        <f t="shared" si="131"/>
        <v>-63.354439754280975</v>
      </c>
      <c r="BF30" s="32">
        <f t="shared" si="132"/>
        <v>-202.57828475928352</v>
      </c>
      <c r="BG30" s="32">
        <f t="shared" si="132"/>
        <v>-447.34627575978266</v>
      </c>
      <c r="BH30" s="32">
        <f t="shared" si="132"/>
        <v>482.86121909190365</v>
      </c>
      <c r="BI30" s="32">
        <f t="shared" si="133"/>
        <v>-566.30161612642746</v>
      </c>
      <c r="BJ30" s="32">
        <f t="shared" si="134"/>
        <v>1670.8434559339378</v>
      </c>
      <c r="BK30" s="32">
        <f t="shared" si="134"/>
        <v>276.57348240058263</v>
      </c>
      <c r="BL30" s="32">
        <f t="shared" si="134"/>
        <v>1301.0152269485172</v>
      </c>
      <c r="BM30" s="32">
        <f t="shared" si="135"/>
        <v>323.95827687832247</v>
      </c>
      <c r="BN30" s="32">
        <f t="shared" si="136"/>
        <v>1081.9661786941633</v>
      </c>
      <c r="BO30" s="32">
        <f t="shared" si="136"/>
        <v>1368.4129889978863</v>
      </c>
      <c r="BP30" s="32">
        <f t="shared" si="136"/>
        <v>2352.0353798443871</v>
      </c>
      <c r="BQ30" s="32">
        <f t="shared" si="137"/>
        <v>1541.1578367159836</v>
      </c>
      <c r="BR30" s="36"/>
      <c r="BS30" s="28"/>
      <c r="BT30" s="28"/>
      <c r="BU30" s="1"/>
      <c r="BV30" s="1"/>
      <c r="BW30" s="1"/>
      <c r="BX30" s="1"/>
      <c r="BY30" s="1"/>
      <c r="BZ30" s="1"/>
      <c r="CA30" s="1"/>
      <c r="CB30" s="1"/>
      <c r="CC30" s="1"/>
      <c r="CD30" s="1"/>
      <c r="CE30" s="1"/>
      <c r="CF30" s="1"/>
      <c r="CG30" s="1"/>
      <c r="CH30" s="1"/>
    </row>
    <row r="31" spans="1:86" ht="15.75" x14ac:dyDescent="0.25">
      <c r="A31" s="112">
        <v>31</v>
      </c>
      <c r="B31" s="29" t="str">
        <f>IF($D$2=$E$2,E!B31,'R'!B31)</f>
        <v>Прочие доходы</v>
      </c>
      <c r="C31" s="203" t="str">
        <f t="shared" ca="1" si="88"/>
        <v/>
      </c>
      <c r="D31" s="204" t="str">
        <f t="shared" ca="1" si="89"/>
        <v/>
      </c>
      <c r="E31" s="115">
        <f t="shared" ca="1" si="90"/>
        <v>15.681026290715121</v>
      </c>
      <c r="F31" s="117">
        <f t="shared" ca="1" si="91"/>
        <v>-0.21833822133273184</v>
      </c>
      <c r="G31" s="74">
        <f t="shared" si="92"/>
        <v>102.41290318997824</v>
      </c>
      <c r="H31" s="217">
        <f t="shared" si="93"/>
        <v>131.0194587799752</v>
      </c>
      <c r="I31" s="32">
        <f t="shared" si="94"/>
        <v>265.85786580002735</v>
      </c>
      <c r="J31" s="74">
        <f t="shared" si="95"/>
        <v>113.71426363002726</v>
      </c>
      <c r="K31" s="74">
        <f t="shared" si="96"/>
        <v>154.0980518400001</v>
      </c>
      <c r="L31" s="74">
        <f t="shared" si="97"/>
        <v>-1.9544496700000111</v>
      </c>
      <c r="M31" s="32">
        <f t="shared" si="98"/>
        <v>985.01188070997887</v>
      </c>
      <c r="N31" s="74">
        <f t="shared" si="99"/>
        <v>558.71113050993699</v>
      </c>
      <c r="O31" s="74">
        <f t="shared" si="100"/>
        <v>211.44655223998302</v>
      </c>
      <c r="P31" s="74">
        <f t="shared" si="101"/>
        <v>214.85419796005885</v>
      </c>
      <c r="Q31" s="32">
        <f t="shared" si="138"/>
        <v>672.91604861003327</v>
      </c>
      <c r="R31" s="74">
        <f t="shared" si="102"/>
        <v>294.22021522000296</v>
      </c>
      <c r="S31" s="74">
        <f t="shared" si="103"/>
        <v>336.70709356999896</v>
      </c>
      <c r="T31" s="74">
        <f t="shared" si="104"/>
        <v>41.988739820031356</v>
      </c>
      <c r="U31" s="32">
        <f t="shared" si="139"/>
        <v>482.19979819996757</v>
      </c>
      <c r="V31" s="74">
        <f t="shared" si="105"/>
        <v>87.803757569966137</v>
      </c>
      <c r="W31" s="74">
        <f t="shared" si="106"/>
        <v>6.139484549999338</v>
      </c>
      <c r="X31" s="217">
        <f t="shared" si="107"/>
        <v>388.2565560800021</v>
      </c>
      <c r="Y31" s="32">
        <f t="shared" si="108"/>
        <v>314.65297900000024</v>
      </c>
      <c r="Z31" s="74">
        <f t="shared" si="109"/>
        <v>133.76060970000029</v>
      </c>
      <c r="AA31" s="74">
        <f t="shared" si="110"/>
        <v>65.394337520000164</v>
      </c>
      <c r="AB31" s="74">
        <f t="shared" si="111"/>
        <v>115.49803177999979</v>
      </c>
      <c r="AC31" s="32">
        <f t="shared" si="112"/>
        <v>303.05727996001247</v>
      </c>
      <c r="AD31" s="74">
        <f t="shared" si="113"/>
        <v>48.278961800003117</v>
      </c>
      <c r="AE31" s="74">
        <f t="shared" si="114"/>
        <v>183.20539629999507</v>
      </c>
      <c r="AF31" s="74">
        <f t="shared" si="115"/>
        <v>71.572921860014276</v>
      </c>
      <c r="AG31" s="32">
        <f t="shared" si="140"/>
        <v>393.90095576998874</v>
      </c>
      <c r="AH31" s="74">
        <f t="shared" si="116"/>
        <v>118.55496155999219</v>
      </c>
      <c r="AI31" s="74">
        <f t="shared" si="117"/>
        <v>150.10208492999402</v>
      </c>
      <c r="AJ31" s="74">
        <f t="shared" si="118"/>
        <v>125.24390928000253</v>
      </c>
      <c r="AK31" s="32">
        <f t="shared" si="141"/>
        <v>330.05821522999918</v>
      </c>
      <c r="AL31" s="74">
        <f t="shared" si="119"/>
        <v>114.94318048999992</v>
      </c>
      <c r="AM31" s="74">
        <f t="shared" si="120"/>
        <v>84.373058159999914</v>
      </c>
      <c r="AN31" s="217">
        <f t="shared" si="121"/>
        <v>130.74197657999935</v>
      </c>
      <c r="AO31" s="32">
        <f t="shared" si="122"/>
        <v>272.53778227999965</v>
      </c>
      <c r="AP31" s="74">
        <f t="shared" si="123"/>
        <v>37.18304499999951</v>
      </c>
      <c r="AQ31" s="74">
        <f t="shared" si="124"/>
        <v>39.08621788000022</v>
      </c>
      <c r="AR31" s="74">
        <f t="shared" si="125"/>
        <v>196.26851939999992</v>
      </c>
      <c r="AS31" s="32">
        <f t="shared" si="126"/>
        <v>-62.610652660004945</v>
      </c>
      <c r="AT31" s="32">
        <f t="shared" si="126"/>
        <v>155.01236343999426</v>
      </c>
      <c r="AU31" s="32">
        <f t="shared" si="126"/>
        <v>57.358367980006868</v>
      </c>
      <c r="AV31" s="32">
        <f t="shared" si="127"/>
        <v>11.84338628999982</v>
      </c>
      <c r="AW31" s="32"/>
      <c r="AX31" s="32">
        <f t="shared" si="128"/>
        <v>-580.62859554000158</v>
      </c>
      <c r="AY31" s="32">
        <f t="shared" si="128"/>
        <v>119.25398152000071</v>
      </c>
      <c r="AZ31" s="32">
        <f t="shared" si="128"/>
        <v>672.51195227999995</v>
      </c>
      <c r="BA31" s="32">
        <f t="shared" ref="BA31" si="144">BA12</f>
        <v>-13.649983500000037</v>
      </c>
      <c r="BB31" s="32">
        <f t="shared" si="130"/>
        <v>209.46855243000005</v>
      </c>
      <c r="BC31" s="32">
        <f t="shared" si="130"/>
        <v>-40.621400210000161</v>
      </c>
      <c r="BD31" s="32">
        <f t="shared" si="130"/>
        <v>701.56996907000018</v>
      </c>
      <c r="BE31" s="32">
        <f t="shared" si="131"/>
        <v>111.74131248999994</v>
      </c>
      <c r="BF31" s="32">
        <f t="shared" si="132"/>
        <v>120.39957637000015</v>
      </c>
      <c r="BG31" s="32">
        <f t="shared" si="132"/>
        <v>70.525148919999864</v>
      </c>
      <c r="BH31" s="32">
        <f t="shared" si="132"/>
        <v>-6.8258661080000707</v>
      </c>
      <c r="BI31" s="32">
        <f t="shared" si="133"/>
        <v>85.69648473000008</v>
      </c>
      <c r="BJ31" s="32">
        <f t="shared" si="134"/>
        <v>-165.96438199000013</v>
      </c>
      <c r="BK31" s="32">
        <f t="shared" si="134"/>
        <v>-2.7693357599998478</v>
      </c>
      <c r="BL31" s="32">
        <f t="shared" si="134"/>
        <v>-124.36212376740001</v>
      </c>
      <c r="BM31" s="32">
        <f t="shared" si="135"/>
        <v>-43.58112199</v>
      </c>
      <c r="BN31" s="32">
        <f t="shared" si="136"/>
        <v>172.70087692999991</v>
      </c>
      <c r="BO31" s="32">
        <f t="shared" si="136"/>
        <v>258.05206943000007</v>
      </c>
      <c r="BP31" s="32">
        <f t="shared" si="136"/>
        <v>-22.208837950000031</v>
      </c>
      <c r="BQ31" s="32">
        <f t="shared" si="137"/>
        <v>-48.43384494999998</v>
      </c>
      <c r="BR31" s="36"/>
      <c r="BS31" s="28"/>
      <c r="BT31" s="28"/>
      <c r="BU31" s="1"/>
      <c r="BV31" s="1"/>
      <c r="BW31" s="1"/>
      <c r="BX31" s="1"/>
      <c r="BY31" s="1"/>
      <c r="BZ31" s="1"/>
      <c r="CA31" s="1"/>
      <c r="CB31" s="1"/>
      <c r="CC31" s="1"/>
      <c r="CD31" s="1"/>
      <c r="CE31" s="1"/>
      <c r="CF31" s="1"/>
      <c r="CG31" s="1"/>
      <c r="CH31" s="1"/>
    </row>
    <row r="32" spans="1:86" ht="15.75" x14ac:dyDescent="0.25">
      <c r="A32" s="112">
        <v>32</v>
      </c>
      <c r="B32" s="33" t="str">
        <f>IF($D$2=$E$2,E!B32,'R'!B32)</f>
        <v>Выручка</v>
      </c>
      <c r="C32" s="205" t="str">
        <f t="shared" ca="1" si="88"/>
        <v/>
      </c>
      <c r="D32" s="206" t="str">
        <f t="shared" ca="1" si="89"/>
        <v/>
      </c>
      <c r="E32" s="119">
        <f t="shared" ca="1" si="90"/>
        <v>-0.1373307951257664</v>
      </c>
      <c r="F32" s="121">
        <f t="shared" ca="1" si="91"/>
        <v>-6.7514648657121867E-2</v>
      </c>
      <c r="G32" s="73">
        <f t="shared" si="92"/>
        <v>7200.7233766544559</v>
      </c>
      <c r="H32" s="75">
        <f t="shared" si="93"/>
        <v>7722.076669928003</v>
      </c>
      <c r="I32" s="42">
        <f t="shared" si="94"/>
        <v>21257.74161522722</v>
      </c>
      <c r="J32" s="73">
        <f t="shared" si="95"/>
        <v>7736.5793322325899</v>
      </c>
      <c r="K32" s="73">
        <f t="shared" si="96"/>
        <v>6628.5942041247026</v>
      </c>
      <c r="L32" s="73">
        <f t="shared" si="97"/>
        <v>6892.5680788699274</v>
      </c>
      <c r="M32" s="42">
        <f>M13-Q13</f>
        <v>23167.303707583036</v>
      </c>
      <c r="N32" s="73">
        <f t="shared" si="99"/>
        <v>8414.283779984471</v>
      </c>
      <c r="O32" s="172">
        <f t="shared" si="100"/>
        <v>7138.4404219963326</v>
      </c>
      <c r="P32" s="73">
        <f t="shared" si="101"/>
        <v>7614.5795056022325</v>
      </c>
      <c r="Q32" s="42">
        <f t="shared" si="138"/>
        <v>23120.978131064672</v>
      </c>
      <c r="R32" s="172">
        <f t="shared" si="102"/>
        <v>6719.4240523815679</v>
      </c>
      <c r="S32" s="73">
        <f t="shared" si="103"/>
        <v>7612.2647942554904</v>
      </c>
      <c r="T32" s="73">
        <f t="shared" si="104"/>
        <v>8789.2892844276139</v>
      </c>
      <c r="U32" s="42">
        <f t="shared" si="139"/>
        <v>25382.56949807331</v>
      </c>
      <c r="V32" s="73">
        <f t="shared" si="105"/>
        <v>8456.0113038700219</v>
      </c>
      <c r="W32" s="73">
        <f t="shared" si="106"/>
        <v>8347.0272683539588</v>
      </c>
      <c r="X32" s="75">
        <f t="shared" si="107"/>
        <v>8579.5309258493289</v>
      </c>
      <c r="Y32" s="42">
        <f t="shared" si="108"/>
        <v>24966.501120344103</v>
      </c>
      <c r="Z32" s="73">
        <f t="shared" si="109"/>
        <v>8615.291736361738</v>
      </c>
      <c r="AA32" s="73">
        <f t="shared" si="110"/>
        <v>8245.9383663687477</v>
      </c>
      <c r="AB32" s="73">
        <f t="shared" si="111"/>
        <v>8105.271017613617</v>
      </c>
      <c r="AC32" s="42">
        <f>AC13-AG13</f>
        <v>26110.697874440608</v>
      </c>
      <c r="AD32" s="73">
        <f t="shared" si="113"/>
        <v>10027.348563162726</v>
      </c>
      <c r="AE32" s="172">
        <f t="shared" si="114"/>
        <v>8268.8195121261379</v>
      </c>
      <c r="AF32" s="73">
        <f t="shared" si="115"/>
        <v>7814.5297991517436</v>
      </c>
      <c r="AG32" s="42">
        <f t="shared" si="140"/>
        <v>23671.143748522612</v>
      </c>
      <c r="AH32" s="172">
        <f t="shared" si="116"/>
        <v>8733.883610174722</v>
      </c>
      <c r="AI32" s="73">
        <f t="shared" si="117"/>
        <v>7637.452573744049</v>
      </c>
      <c r="AJ32" s="73">
        <f t="shared" si="118"/>
        <v>7299.8075646038415</v>
      </c>
      <c r="AK32" s="42">
        <f t="shared" si="141"/>
        <v>22223.259034211438</v>
      </c>
      <c r="AL32" s="73">
        <f t="shared" si="119"/>
        <v>6641.3220415319229</v>
      </c>
      <c r="AM32" s="73">
        <f t="shared" si="120"/>
        <v>7911.5709186244494</v>
      </c>
      <c r="AN32" s="75">
        <f t="shared" si="121"/>
        <v>7670.3660740550658</v>
      </c>
      <c r="AO32" s="42">
        <f t="shared" si="122"/>
        <v>22239.009090245232</v>
      </c>
      <c r="AP32" s="73">
        <f t="shared" si="123"/>
        <v>7793.1837457872989</v>
      </c>
      <c r="AQ32" s="73">
        <f t="shared" si="124"/>
        <v>6672.818691962073</v>
      </c>
      <c r="AR32" s="73">
        <f t="shared" si="125"/>
        <v>7773.0066524958602</v>
      </c>
      <c r="AS32" s="42">
        <f t="shared" si="126"/>
        <v>20300.203331363547</v>
      </c>
      <c r="AT32" s="42">
        <f t="shared" si="126"/>
        <v>16565.406420454572</v>
      </c>
      <c r="AU32" s="42">
        <f t="shared" si="126"/>
        <v>15961.869588195768</v>
      </c>
      <c r="AV32" s="42">
        <f t="shared" si="127"/>
        <v>20821.405745167591</v>
      </c>
      <c r="AW32" s="42"/>
      <c r="AX32" s="42">
        <f t="shared" si="128"/>
        <v>11713.868938926815</v>
      </c>
      <c r="AY32" s="42">
        <f t="shared" si="128"/>
        <v>10925.260947171886</v>
      </c>
      <c r="AZ32" s="42">
        <f t="shared" si="128"/>
        <v>11040.218462743291</v>
      </c>
      <c r="BA32" s="42">
        <f t="shared" ref="BA32" si="145">BA13</f>
        <v>8902.1728684418449</v>
      </c>
      <c r="BB32" s="42">
        <f t="shared" si="130"/>
        <v>11109.205393339293</v>
      </c>
      <c r="BC32" s="42">
        <f t="shared" si="130"/>
        <v>8338.57424133104</v>
      </c>
      <c r="BD32" s="42">
        <f t="shared" si="130"/>
        <v>9034.3070785993477</v>
      </c>
      <c r="BE32" s="42">
        <f t="shared" si="131"/>
        <v>7614.6752475857202</v>
      </c>
      <c r="BF32" s="42">
        <f t="shared" si="132"/>
        <v>7521.0094480406988</v>
      </c>
      <c r="BG32" s="42">
        <f t="shared" si="132"/>
        <v>7354.8538085302262</v>
      </c>
      <c r="BH32" s="42">
        <f t="shared" si="132"/>
        <v>6817.5905444779055</v>
      </c>
      <c r="BI32" s="42">
        <f t="shared" si="133"/>
        <v>5912.8097814055818</v>
      </c>
      <c r="BJ32" s="42">
        <f t="shared" si="134"/>
        <v>8931.0246983519319</v>
      </c>
      <c r="BK32" s="42">
        <f t="shared" si="134"/>
        <v>7482.6609179257921</v>
      </c>
      <c r="BL32" s="42">
        <f t="shared" si="134"/>
        <v>7219.0473176111018</v>
      </c>
      <c r="BM32" s="42">
        <f t="shared" si="135"/>
        <v>6814.6097925703298</v>
      </c>
      <c r="BN32" s="42">
        <f t="shared" si="136"/>
        <v>8296.1678178401453</v>
      </c>
      <c r="BO32" s="42">
        <f t="shared" si="136"/>
        <v>7835.759689545619</v>
      </c>
      <c r="BP32" s="42">
        <f t="shared" si="136"/>
        <v>7817.2273502611715</v>
      </c>
      <c r="BQ32" s="42">
        <f t="shared" si="137"/>
        <v>6931.7420264201792</v>
      </c>
      <c r="BR32" s="36"/>
      <c r="BS32" s="28"/>
      <c r="BT32" s="28"/>
      <c r="BU32" s="1"/>
      <c r="BV32" s="1"/>
      <c r="BW32" s="1"/>
      <c r="BX32" s="1"/>
      <c r="BY32" s="1"/>
      <c r="BZ32" s="1"/>
      <c r="CA32" s="1"/>
      <c r="CB32" s="1"/>
      <c r="CC32" s="1"/>
      <c r="CD32" s="1"/>
      <c r="CE32" s="1"/>
      <c r="CF32" s="1"/>
      <c r="CG32" s="1"/>
      <c r="CH32" s="1"/>
    </row>
    <row r="33" spans="1:86" ht="15.75" x14ac:dyDescent="0.25">
      <c r="A33" s="112">
        <v>33</v>
      </c>
      <c r="B33" s="29" t="str">
        <f>IF($D$2=$E$2,E!B33,'R'!B33)</f>
        <v>Операционные расходы</v>
      </c>
      <c r="C33" s="203" t="str">
        <f t="shared" ca="1" si="88"/>
        <v/>
      </c>
      <c r="D33" s="204" t="str">
        <f t="shared" ca="1" si="89"/>
        <v/>
      </c>
      <c r="E33" s="115">
        <f t="shared" ca="1" si="90"/>
        <v>0.44130475506767852</v>
      </c>
      <c r="F33" s="117">
        <f t="shared" ca="1" si="91"/>
        <v>-4.8476700332937495E-2</v>
      </c>
      <c r="G33" s="74">
        <f t="shared" si="92"/>
        <v>-2753.0641710700038</v>
      </c>
      <c r="H33" s="217">
        <f t="shared" si="93"/>
        <v>-2893.3229191899973</v>
      </c>
      <c r="I33" s="32">
        <f t="shared" si="94"/>
        <v>-6857.68185687</v>
      </c>
      <c r="J33" s="74">
        <f t="shared" si="95"/>
        <v>-2454.6014366100017</v>
      </c>
      <c r="K33" s="74">
        <f t="shared" si="96"/>
        <v>-2458.4260017000006</v>
      </c>
      <c r="L33" s="74">
        <f t="shared" si="97"/>
        <v>-1944.654418559998</v>
      </c>
      <c r="M33" s="32">
        <f t="shared" ref="M33:M35" si="146">M14-Q14</f>
        <v>-10553.836853599998</v>
      </c>
      <c r="N33" s="74">
        <f t="shared" si="99"/>
        <v>-4624.9329326900188</v>
      </c>
      <c r="O33" s="74">
        <f t="shared" si="100"/>
        <v>-2706.3098574399919</v>
      </c>
      <c r="P33" s="74">
        <f t="shared" si="101"/>
        <v>-3222.5940634699873</v>
      </c>
      <c r="Q33" s="32">
        <f t="shared" si="138"/>
        <v>-6954.7075426400024</v>
      </c>
      <c r="R33" s="74">
        <f t="shared" si="102"/>
        <v>-2135.6914169600132</v>
      </c>
      <c r="S33" s="74">
        <f t="shared" si="103"/>
        <v>-2305.8464542299898</v>
      </c>
      <c r="T33" s="74">
        <f t="shared" si="104"/>
        <v>-2513.1696714499994</v>
      </c>
      <c r="U33" s="32">
        <f t="shared" si="139"/>
        <v>-6372.7535352799978</v>
      </c>
      <c r="V33" s="74">
        <f t="shared" si="105"/>
        <v>-2412.8828964299955</v>
      </c>
      <c r="W33" s="74">
        <f t="shared" si="106"/>
        <v>-1910.1193979900036</v>
      </c>
      <c r="X33" s="217">
        <f t="shared" si="107"/>
        <v>-2049.7512408599987</v>
      </c>
      <c r="Y33" s="32">
        <f t="shared" si="108"/>
        <v>-5442.6899953700022</v>
      </c>
      <c r="Z33" s="74">
        <f t="shared" si="109"/>
        <v>-1995.8296694900023</v>
      </c>
      <c r="AA33" s="74">
        <f t="shared" si="110"/>
        <v>-1922.4990052599996</v>
      </c>
      <c r="AB33" s="74">
        <f t="shared" si="111"/>
        <v>-1524.3613206200002</v>
      </c>
      <c r="AC33" s="32">
        <f t="shared" ref="AC33:AC35" si="147">AC14-AG14</f>
        <v>-7747.898917859995</v>
      </c>
      <c r="AD33" s="74">
        <f t="shared" si="113"/>
        <v>-4016.2240158200111</v>
      </c>
      <c r="AE33" s="74">
        <f t="shared" si="114"/>
        <v>-1738.9011696899906</v>
      </c>
      <c r="AF33" s="74">
        <f t="shared" si="115"/>
        <v>-1992.7737323499932</v>
      </c>
      <c r="AG33" s="32">
        <f t="shared" si="140"/>
        <v>-6370.7682898200055</v>
      </c>
      <c r="AH33" s="74">
        <f t="shared" si="116"/>
        <v>-1715.0571009500109</v>
      </c>
      <c r="AI33" s="74">
        <f t="shared" si="117"/>
        <v>-2270.7379536099943</v>
      </c>
      <c r="AJ33" s="74">
        <f t="shared" si="118"/>
        <v>-2384.9732352600004</v>
      </c>
      <c r="AK33" s="32">
        <f t="shared" si="141"/>
        <v>-5304.3993361499988</v>
      </c>
      <c r="AL33" s="74">
        <f t="shared" si="119"/>
        <v>-1717.7297426100067</v>
      </c>
      <c r="AM33" s="74">
        <f t="shared" si="120"/>
        <v>-2190.016864669994</v>
      </c>
      <c r="AN33" s="217">
        <f t="shared" si="121"/>
        <v>-1396.6527288699981</v>
      </c>
      <c r="AO33" s="32">
        <f t="shared" si="122"/>
        <v>-5838.6979926500017</v>
      </c>
      <c r="AP33" s="74">
        <f t="shared" si="123"/>
        <v>-2129.5895509700026</v>
      </c>
      <c r="AQ33" s="74">
        <f t="shared" si="124"/>
        <v>-2394.2141337299995</v>
      </c>
      <c r="AR33" s="74">
        <f t="shared" si="125"/>
        <v>-1314.8943079499995</v>
      </c>
      <c r="AS33" s="32">
        <f t="shared" si="126"/>
        <v>-5271.1540014600068</v>
      </c>
      <c r="AT33" s="32">
        <f t="shared" si="126"/>
        <v>-6160.227509059996</v>
      </c>
      <c r="AU33" s="32">
        <f t="shared" si="126"/>
        <v>-5544.1717294999935</v>
      </c>
      <c r="AV33" s="32">
        <f t="shared" si="127"/>
        <v>-5842.9383929900023</v>
      </c>
      <c r="AW33" s="32"/>
      <c r="AX33" s="32">
        <f t="shared" si="128"/>
        <v>-4943.9514307000009</v>
      </c>
      <c r="AY33" s="32">
        <f t="shared" si="128"/>
        <v>-3435.8647649899995</v>
      </c>
      <c r="AZ33" s="32">
        <f t="shared" si="128"/>
        <v>-3351.1467220699997</v>
      </c>
      <c r="BA33" s="32">
        <f t="shared" ref="BA33" si="148">BA14</f>
        <v>-3972.8958864199994</v>
      </c>
      <c r="BB33" s="32">
        <f t="shared" si="130"/>
        <v>-4118.4137776700009</v>
      </c>
      <c r="BC33" s="32">
        <f t="shared" si="130"/>
        <v>-3158.9883803299981</v>
      </c>
      <c r="BD33" s="32">
        <f t="shared" si="130"/>
        <v>-2958.3323641799993</v>
      </c>
      <c r="BE33" s="32">
        <f t="shared" si="131"/>
        <v>-3674.0730185400012</v>
      </c>
      <c r="BF33" s="32">
        <f t="shared" si="132"/>
        <v>-3744.2102964199967</v>
      </c>
      <c r="BG33" s="32">
        <f t="shared" si="132"/>
        <v>-2900.2953113700005</v>
      </c>
      <c r="BH33" s="32">
        <f t="shared" si="132"/>
        <v>-2865.5702007900004</v>
      </c>
      <c r="BI33" s="32">
        <f t="shared" si="133"/>
        <v>-3125.659468096002</v>
      </c>
      <c r="BJ33" s="32">
        <f t="shared" si="134"/>
        <v>-3151.3066738825983</v>
      </c>
      <c r="BK33" s="32">
        <f t="shared" si="134"/>
        <v>-2776.6594890879996</v>
      </c>
      <c r="BL33" s="32">
        <f t="shared" si="134"/>
        <v>-3094.308846371398</v>
      </c>
      <c r="BM33" s="32">
        <f t="shared" si="135"/>
        <v>-3017.7528672404046</v>
      </c>
      <c r="BN33" s="32">
        <f t="shared" si="136"/>
        <v>-3177.9871799711982</v>
      </c>
      <c r="BO33" s="32">
        <f t="shared" si="136"/>
        <v>-2865.2095254656006</v>
      </c>
      <c r="BP33" s="32">
        <f t="shared" si="136"/>
        <v>-2781.2599580312008</v>
      </c>
      <c r="BQ33" s="32">
        <f t="shared" si="137"/>
        <v>-2710.4159242602</v>
      </c>
      <c r="BR33" s="36"/>
      <c r="BS33" s="28"/>
      <c r="BT33" s="28"/>
      <c r="BU33" s="1"/>
      <c r="BV33" s="1"/>
      <c r="BW33" s="1"/>
      <c r="BX33" s="1"/>
      <c r="BY33" s="1"/>
      <c r="BZ33" s="1"/>
      <c r="CA33" s="1"/>
      <c r="CB33" s="1"/>
      <c r="CC33" s="1"/>
      <c r="CD33" s="1"/>
      <c r="CE33" s="1"/>
      <c r="CF33" s="1"/>
      <c r="CG33" s="1"/>
      <c r="CH33" s="1"/>
    </row>
    <row r="34" spans="1:86" ht="15.75" x14ac:dyDescent="0.25">
      <c r="A34" s="112">
        <v>34</v>
      </c>
      <c r="B34" s="29" t="str">
        <f>IF($D$2=$E$2,E!B34,'R'!B34)</f>
        <v>Резервы</v>
      </c>
      <c r="C34" s="203" t="str">
        <f t="shared" ca="1" si="88"/>
        <v/>
      </c>
      <c r="D34" s="204" t="str">
        <f t="shared" ca="1" si="89"/>
        <v/>
      </c>
      <c r="E34" s="115">
        <f t="shared" ca="1" si="90"/>
        <v>13.995664843979313</v>
      </c>
      <c r="F34" s="117">
        <f t="shared" ca="1" si="91"/>
        <v>1.4447796886569577</v>
      </c>
      <c r="G34" s="74">
        <f t="shared" si="92"/>
        <v>-1828.5959519854564</v>
      </c>
      <c r="H34" s="217">
        <f t="shared" si="93"/>
        <v>-747.95940119659508</v>
      </c>
      <c r="I34" s="32">
        <f t="shared" si="94"/>
        <v>-2642.8085644579178</v>
      </c>
      <c r="J34" s="74">
        <f t="shared" si="95"/>
        <v>-975.54731118345876</v>
      </c>
      <c r="K34" s="74">
        <f t="shared" si="96"/>
        <v>-992.55060896364296</v>
      </c>
      <c r="L34" s="74">
        <f t="shared" si="97"/>
        <v>-674.71064431081606</v>
      </c>
      <c r="M34" s="32">
        <f t="shared" si="146"/>
        <v>-5999.2083903626008</v>
      </c>
      <c r="N34" s="74">
        <f t="shared" si="99"/>
        <v>-2001.7061502342913</v>
      </c>
      <c r="O34" s="74">
        <f t="shared" si="100"/>
        <v>-2530.7778979409886</v>
      </c>
      <c r="P34" s="74">
        <f t="shared" si="101"/>
        <v>-1466.7243421873209</v>
      </c>
      <c r="Q34" s="32">
        <f t="shared" si="138"/>
        <v>-6725.9969794146591</v>
      </c>
      <c r="R34" s="74">
        <f t="shared" si="102"/>
        <v>-1897.2259244801935</v>
      </c>
      <c r="S34" s="74">
        <f t="shared" si="103"/>
        <v>-2019.9469189976098</v>
      </c>
      <c r="T34" s="74">
        <f t="shared" si="104"/>
        <v>-2808.8241359368558</v>
      </c>
      <c r="U34" s="32">
        <f t="shared" si="139"/>
        <v>-3229.894122123078</v>
      </c>
      <c r="V34" s="74">
        <f t="shared" si="105"/>
        <v>-3373.2315499198303</v>
      </c>
      <c r="W34" s="74">
        <f t="shared" si="106"/>
        <v>-121.94163920112078</v>
      </c>
      <c r="X34" s="217">
        <f t="shared" si="107"/>
        <v>265.27906699787309</v>
      </c>
      <c r="Y34" s="32">
        <f t="shared" si="108"/>
        <v>-722.59705850448267</v>
      </c>
      <c r="Z34" s="74">
        <f t="shared" si="109"/>
        <v>-152.47948023201161</v>
      </c>
      <c r="AA34" s="74">
        <f t="shared" si="110"/>
        <v>-156.47062012866718</v>
      </c>
      <c r="AB34" s="74">
        <f t="shared" si="111"/>
        <v>-413.64695814380389</v>
      </c>
      <c r="AC34" s="32">
        <f t="shared" si="147"/>
        <v>-2539.651332790932</v>
      </c>
      <c r="AD34" s="74">
        <f t="shared" si="113"/>
        <v>-1585.7621505351062</v>
      </c>
      <c r="AE34" s="74">
        <f t="shared" si="114"/>
        <v>189.21933329405329</v>
      </c>
      <c r="AF34" s="74">
        <f t="shared" si="115"/>
        <v>-1143.108515549879</v>
      </c>
      <c r="AG34" s="32">
        <f t="shared" si="140"/>
        <v>-299.56053116422709</v>
      </c>
      <c r="AH34" s="74">
        <f t="shared" si="116"/>
        <v>35.759374404010487</v>
      </c>
      <c r="AI34" s="74">
        <f t="shared" si="117"/>
        <v>-664.99274671432067</v>
      </c>
      <c r="AJ34" s="74">
        <f t="shared" si="118"/>
        <v>329.6728411460831</v>
      </c>
      <c r="AK34" s="32">
        <f t="shared" si="141"/>
        <v>-2749.5783170011609</v>
      </c>
      <c r="AL34" s="74">
        <f t="shared" si="119"/>
        <v>-2263.5553779516736</v>
      </c>
      <c r="AM34" s="74">
        <f t="shared" si="120"/>
        <v>-264.9230078852695</v>
      </c>
      <c r="AN34" s="217">
        <f t="shared" si="121"/>
        <v>-221.09993116421771</v>
      </c>
      <c r="AO34" s="32">
        <f t="shared" si="122"/>
        <v>-239.42846804521122</v>
      </c>
      <c r="AP34" s="74">
        <f t="shared" si="123"/>
        <v>35.218370262812698</v>
      </c>
      <c r="AQ34" s="74">
        <f t="shared" si="124"/>
        <v>11.027038028342531</v>
      </c>
      <c r="AR34" s="74">
        <f t="shared" si="125"/>
        <v>-285.67387633636645</v>
      </c>
      <c r="AS34" s="32">
        <f t="shared" si="126"/>
        <v>-575.50024151520483</v>
      </c>
      <c r="AT34" s="32">
        <f t="shared" si="126"/>
        <v>446.13466905647692</v>
      </c>
      <c r="AU34" s="32">
        <f t="shared" si="126"/>
        <v>7268.8543637255625</v>
      </c>
      <c r="AV34" s="32">
        <f t="shared" si="127"/>
        <v>3446.4518072423302</v>
      </c>
      <c r="AW34" s="32"/>
      <c r="AX34" s="32">
        <f t="shared" si="128"/>
        <v>627.80655481128724</v>
      </c>
      <c r="AY34" s="32">
        <f t="shared" si="128"/>
        <v>-1706.8600056418409</v>
      </c>
      <c r="AZ34" s="32">
        <f t="shared" si="128"/>
        <v>-1742.0897158432144</v>
      </c>
      <c r="BA34" s="32">
        <f t="shared" ref="BA34:BA35" si="149">BA15</f>
        <v>-1512.966988811404</v>
      </c>
      <c r="BB34" s="32">
        <f t="shared" si="130"/>
        <v>-1539.6467721988683</v>
      </c>
      <c r="BC34" s="32">
        <f t="shared" si="130"/>
        <v>-1676.6701925908956</v>
      </c>
      <c r="BD34" s="32">
        <f t="shared" si="130"/>
        <v>-3551.2430815494117</v>
      </c>
      <c r="BE34" s="32">
        <f t="shared" si="131"/>
        <v>-1782.5424782262226</v>
      </c>
      <c r="BF34" s="32">
        <f t="shared" si="132"/>
        <v>-2435.7386593100027</v>
      </c>
      <c r="BG34" s="32">
        <f t="shared" si="132"/>
        <v>-2054.0716064300182</v>
      </c>
      <c r="BH34" s="32">
        <f t="shared" si="132"/>
        <v>-2363.2419158180005</v>
      </c>
      <c r="BI34" s="32">
        <f t="shared" si="133"/>
        <v>-1524.1529300099974</v>
      </c>
      <c r="BJ34" s="32">
        <f t="shared" ref="BJ34" si="150">BJ15-BK15</f>
        <v>-3020.7298274400073</v>
      </c>
      <c r="BK34" s="32">
        <f t="shared" ref="BK34" si="151">BK15-BL15</f>
        <v>-3687.1958993773997</v>
      </c>
      <c r="BL34" s="32">
        <f t="shared" ref="BL34" si="152">BL15-BM15</f>
        <v>-2469.6686590295944</v>
      </c>
      <c r="BM34" s="32">
        <f t="shared" si="135"/>
        <v>-2619.4494539599987</v>
      </c>
      <c r="BN34" s="32">
        <f t="shared" si="136"/>
        <v>-4787.5401614978018</v>
      </c>
      <c r="BO34" s="32">
        <f t="shared" si="136"/>
        <v>-3772.6502462499993</v>
      </c>
      <c r="BP34" s="32">
        <f t="shared" si="136"/>
        <v>-2136.3599849700004</v>
      </c>
      <c r="BQ34" s="32">
        <f t="shared" si="137"/>
        <v>-3178.3894401399994</v>
      </c>
      <c r="BR34" s="36"/>
      <c r="BS34" s="28"/>
      <c r="BT34" s="28"/>
      <c r="BU34" s="1"/>
      <c r="BV34" s="1"/>
      <c r="BW34" s="1"/>
      <c r="BX34" s="1"/>
      <c r="BY34" s="1"/>
      <c r="BZ34" s="1"/>
      <c r="CA34" s="1"/>
      <c r="CB34" s="1"/>
      <c r="CC34" s="1"/>
      <c r="CD34" s="1"/>
      <c r="CE34" s="1"/>
      <c r="CF34" s="1"/>
      <c r="CG34" s="1"/>
      <c r="CH34" s="1"/>
    </row>
    <row r="35" spans="1:86" s="168" customFormat="1" ht="15.75" x14ac:dyDescent="0.25">
      <c r="A35" s="112">
        <v>35</v>
      </c>
      <c r="B35" s="162" t="str">
        <f>IF($D$2=$E$2,E!B35,'R'!B35)</f>
        <v>вкл. Резервы по кредитам</v>
      </c>
      <c r="C35" s="203" t="str">
        <f t="shared" ca="1" si="88"/>
        <v/>
      </c>
      <c r="D35" s="204" t="str">
        <f t="shared" ca="1" si="89"/>
        <v/>
      </c>
      <c r="E35" s="115">
        <f t="shared" ca="1" si="90"/>
        <v>10.610882675883088</v>
      </c>
      <c r="F35" s="117">
        <f t="shared" ca="1" si="91"/>
        <v>1.5275664779079356</v>
      </c>
      <c r="G35" s="164">
        <f t="shared" si="92"/>
        <v>-1782.2835332654658</v>
      </c>
      <c r="H35" s="218">
        <f t="shared" si="93"/>
        <v>-705.1381432866051</v>
      </c>
      <c r="I35" s="165">
        <f t="shared" si="94"/>
        <v>-2522.669071427898</v>
      </c>
      <c r="J35" s="164">
        <f t="shared" si="95"/>
        <v>-972.53539290341882</v>
      </c>
      <c r="K35" s="164">
        <f t="shared" si="96"/>
        <v>-1016.9465337636641</v>
      </c>
      <c r="L35" s="164">
        <f t="shared" si="97"/>
        <v>-533.18714476081504</v>
      </c>
      <c r="M35" s="165">
        <f t="shared" si="146"/>
        <v>-5887.1016589726023</v>
      </c>
      <c r="N35" s="164">
        <f t="shared" si="99"/>
        <v>-2756.8044107742935</v>
      </c>
      <c r="O35" s="164">
        <f t="shared" si="100"/>
        <v>-1682.163080160979</v>
      </c>
      <c r="P35" s="164">
        <f t="shared" si="101"/>
        <v>-1448.1341680373298</v>
      </c>
      <c r="Q35" s="165">
        <f>Q16-U16</f>
        <v>-6656.8127106546481</v>
      </c>
      <c r="R35" s="164">
        <f t="shared" si="102"/>
        <v>-1835.0877869401538</v>
      </c>
      <c r="S35" s="164">
        <f t="shared" si="103"/>
        <v>-2019.1283753676389</v>
      </c>
      <c r="T35" s="164">
        <f t="shared" si="104"/>
        <v>-2802.5965483468553</v>
      </c>
      <c r="U35" s="165">
        <f t="shared" si="139"/>
        <v>-3106.7411746530784</v>
      </c>
      <c r="V35" s="164">
        <f t="shared" si="105"/>
        <v>-3321.0670611698506</v>
      </c>
      <c r="W35" s="164">
        <f t="shared" si="106"/>
        <v>-153.50112330111119</v>
      </c>
      <c r="X35" s="218">
        <f t="shared" si="107"/>
        <v>367.82700981788332</v>
      </c>
      <c r="Y35" s="165">
        <f t="shared" si="108"/>
        <v>-860.09876772449263</v>
      </c>
      <c r="Z35" s="164">
        <f t="shared" si="109"/>
        <v>-234.41886587203157</v>
      </c>
      <c r="AA35" s="164">
        <f t="shared" si="110"/>
        <v>-261.61592569865832</v>
      </c>
      <c r="AB35" s="164">
        <f t="shared" si="111"/>
        <v>-364.06397615380274</v>
      </c>
      <c r="AC35" s="165">
        <f t="shared" si="147"/>
        <v>-2434.7249661809806</v>
      </c>
      <c r="AD35" s="164">
        <f t="shared" si="113"/>
        <v>-1472.2783489351073</v>
      </c>
      <c r="AE35" s="164">
        <f t="shared" si="114"/>
        <v>163.2588662840185</v>
      </c>
      <c r="AF35" s="164">
        <f t="shared" si="115"/>
        <v>-1125.7054835298918</v>
      </c>
      <c r="AG35" s="165">
        <f>AG16-AK16</f>
        <v>-68.1036845242038</v>
      </c>
      <c r="AH35" s="164">
        <f t="shared" si="116"/>
        <v>22.398600474040904</v>
      </c>
      <c r="AI35" s="164">
        <f t="shared" si="117"/>
        <v>-461.46974544433033</v>
      </c>
      <c r="AJ35" s="164">
        <f t="shared" si="118"/>
        <v>370.96746044608562</v>
      </c>
      <c r="AK35" s="165">
        <f t="shared" si="141"/>
        <v>-2739.562939591156</v>
      </c>
      <c r="AL35" s="164">
        <f t="shared" si="119"/>
        <v>-2293.0610989016654</v>
      </c>
      <c r="AM35" s="164">
        <f t="shared" si="120"/>
        <v>-250.26267793526625</v>
      </c>
      <c r="AN35" s="218">
        <f t="shared" si="121"/>
        <v>-196.23916275422403</v>
      </c>
      <c r="AO35" s="165">
        <f t="shared" si="122"/>
        <v>-178.62718755521081</v>
      </c>
      <c r="AP35" s="164">
        <f t="shared" si="123"/>
        <v>-3.2923617871872466</v>
      </c>
      <c r="AQ35" s="164">
        <f t="shared" si="124"/>
        <v>109.11377721834282</v>
      </c>
      <c r="AR35" s="164">
        <f t="shared" si="125"/>
        <v>-284.44860298636638</v>
      </c>
      <c r="AS35" s="165">
        <f t="shared" si="126"/>
        <v>-694.95450828501271</v>
      </c>
      <c r="AT35" s="165">
        <f t="shared" si="126"/>
        <v>-393.73165035357761</v>
      </c>
      <c r="AU35" s="165">
        <f t="shared" si="126"/>
        <v>1272.6003836755358</v>
      </c>
      <c r="AV35" s="165">
        <f t="shared" si="127"/>
        <v>3841.8929788923356</v>
      </c>
      <c r="AW35" s="165"/>
      <c r="AX35" s="165">
        <f t="shared" si="128"/>
        <v>741.95533778124945</v>
      </c>
      <c r="AY35" s="165">
        <f t="shared" si="128"/>
        <v>-1779.7870433618114</v>
      </c>
      <c r="AZ35" s="165">
        <f t="shared" si="128"/>
        <v>-1799.9892172732289</v>
      </c>
      <c r="BA35" s="165">
        <f t="shared" si="149"/>
        <v>-1131.2310214014128</v>
      </c>
      <c r="BB35" s="165">
        <f t="shared" si="130"/>
        <v>-2107.5154412088414</v>
      </c>
      <c r="BC35" s="165">
        <f t="shared" si="130"/>
        <v>-1536.05028747091</v>
      </c>
      <c r="BD35" s="165">
        <f t="shared" si="130"/>
        <v>-3038.3805415794222</v>
      </c>
      <c r="BE35" s="165">
        <f t="shared" si="131"/>
        <v>-1748.1375609662207</v>
      </c>
      <c r="BF35" s="165">
        <f t="shared" si="132"/>
        <v>-2332.265830360011</v>
      </c>
      <c r="BG35" s="165">
        <f t="shared" si="132"/>
        <v>-1646.8055763600059</v>
      </c>
      <c r="BH35" s="165">
        <f t="shared" si="132"/>
        <v>-2691.545268300003</v>
      </c>
      <c r="BI35" s="165">
        <f t="shared" si="133"/>
        <v>-1513.4828459499995</v>
      </c>
      <c r="BJ35" s="165">
        <f t="shared" ref="BJ35" si="153">BJ16-BK16</f>
        <v>-3414.6995841600001</v>
      </c>
      <c r="BK35" s="165">
        <f t="shared" ref="BK35" si="154">BK16-BL16</f>
        <v>-2887.7490238900027</v>
      </c>
      <c r="BL35" s="165">
        <f t="shared" ref="BL35" si="155">BL16-BM16</f>
        <v>-2570.9540260300018</v>
      </c>
      <c r="BM35" s="165">
        <f t="shared" si="135"/>
        <v>-2366.2585739999995</v>
      </c>
      <c r="BN35" s="165">
        <f t="shared" si="136"/>
        <v>-5076.7095168399974</v>
      </c>
      <c r="BO35" s="165">
        <f t="shared" si="136"/>
        <v>-2359.1797479000006</v>
      </c>
      <c r="BP35" s="165">
        <f t="shared" si="136"/>
        <v>-1803.4732767900014</v>
      </c>
      <c r="BQ35" s="165">
        <f t="shared" si="137"/>
        <v>-3052.6731538299991</v>
      </c>
      <c r="BR35" s="166"/>
      <c r="BS35" s="163"/>
      <c r="BT35" s="163"/>
      <c r="BU35" s="167"/>
      <c r="BV35" s="167"/>
      <c r="BW35" s="167"/>
      <c r="BX35" s="167"/>
      <c r="BY35" s="167"/>
      <c r="BZ35" s="167"/>
      <c r="CA35" s="167"/>
      <c r="CB35" s="167"/>
      <c r="CC35" s="167"/>
      <c r="CD35" s="167"/>
      <c r="CE35" s="167"/>
      <c r="CF35" s="167"/>
      <c r="CG35" s="167"/>
      <c r="CH35" s="167"/>
    </row>
    <row r="36" spans="1:86" s="154" customFormat="1" ht="15.75" x14ac:dyDescent="0.25">
      <c r="A36" s="112">
        <v>36</v>
      </c>
      <c r="B36" s="33" t="str">
        <f>IF($D$2=$E$2,E!B36,'R'!B36)</f>
        <v>Чистая прибыль до налога на прибыль</v>
      </c>
      <c r="C36" s="205" t="str">
        <f t="shared" ca="1" si="88"/>
        <v/>
      </c>
      <c r="D36" s="206" t="str">
        <f t="shared" ca="1" si="89"/>
        <v/>
      </c>
      <c r="E36" s="119">
        <f t="shared" ca="1" si="90"/>
        <v>-0.58526092496353344</v>
      </c>
      <c r="F36" s="121">
        <f t="shared" ca="1" si="91"/>
        <v>-0.35819768670937324</v>
      </c>
      <c r="G36" s="151">
        <f t="shared" ref="G36" si="156">SUM(G32:G34)</f>
        <v>2619.0632535989957</v>
      </c>
      <c r="H36" s="219">
        <f t="shared" ref="H36" si="157">SUM(H32:H34)</f>
        <v>4080.7943495414106</v>
      </c>
      <c r="I36" s="152">
        <f t="shared" ref="I36:J36" si="158">SUM(I32:I34)</f>
        <v>11757.251193899301</v>
      </c>
      <c r="J36" s="151">
        <f t="shared" si="158"/>
        <v>4306.4305844391292</v>
      </c>
      <c r="K36" s="151">
        <f t="shared" ref="K36" si="159">SUM(K32:K34)</f>
        <v>3177.6175934610592</v>
      </c>
      <c r="L36" s="151">
        <f t="shared" ref="L36" si="160">SUM(L32:L34)</f>
        <v>4273.2030159991136</v>
      </c>
      <c r="M36" s="152">
        <f t="shared" ref="M36:N36" si="161">SUM(M32:M34)</f>
        <v>6614.2584636204374</v>
      </c>
      <c r="N36" s="151">
        <f t="shared" si="161"/>
        <v>1787.644697060161</v>
      </c>
      <c r="O36" s="151">
        <f t="shared" ref="O36" si="162">SUM(O32:O34)</f>
        <v>1901.3526666153521</v>
      </c>
      <c r="P36" s="151">
        <f t="shared" ref="P36" si="163">SUM(P32:P34)</f>
        <v>2925.2610999449244</v>
      </c>
      <c r="Q36" s="152">
        <f t="shared" ref="Q36:R36" si="164">SUM(Q32:Q34)</f>
        <v>9440.2736090100116</v>
      </c>
      <c r="R36" s="151">
        <f t="shared" si="164"/>
        <v>2686.5067109413612</v>
      </c>
      <c r="S36" s="151">
        <f>SUM(S32:S34)</f>
        <v>3286.4714210278908</v>
      </c>
      <c r="T36" s="151">
        <f>SUM(T32:T34)</f>
        <v>3467.2954770407587</v>
      </c>
      <c r="U36" s="152">
        <f t="shared" ref="U36:V36" si="165">SUM(U32:U34)</f>
        <v>15779.921840670235</v>
      </c>
      <c r="V36" s="151">
        <f t="shared" si="165"/>
        <v>2669.8968575201961</v>
      </c>
      <c r="W36" s="151">
        <f t="shared" ref="W36" si="166">SUM(W32:W34)</f>
        <v>6314.9662311628344</v>
      </c>
      <c r="X36" s="219">
        <f t="shared" ref="X36" si="167">SUM(X32:X34)</f>
        <v>6795.0587519872033</v>
      </c>
      <c r="Y36" s="152">
        <f t="shared" ref="Y36:Z36" si="168">SUM(Y32:Y34)</f>
        <v>18801.21406646962</v>
      </c>
      <c r="Z36" s="151">
        <f t="shared" si="168"/>
        <v>6466.9825866397241</v>
      </c>
      <c r="AA36" s="151">
        <f t="shared" ref="AA36" si="169">SUM(AA32:AA34)</f>
        <v>6166.9687409800808</v>
      </c>
      <c r="AB36" s="151">
        <f t="shared" ref="AB36" si="170">SUM(AB32:AB34)</f>
        <v>6167.2627388498122</v>
      </c>
      <c r="AC36" s="152">
        <f t="shared" ref="AC36:AD36" si="171">SUM(AC32:AC34)</f>
        <v>15823.14762378968</v>
      </c>
      <c r="AD36" s="151">
        <f t="shared" si="171"/>
        <v>4425.362396807609</v>
      </c>
      <c r="AE36" s="151">
        <f t="shared" ref="AE36" si="172">SUM(AE32:AE34)</f>
        <v>6719.1376757302005</v>
      </c>
      <c r="AF36" s="151">
        <f t="shared" ref="AF36" si="173">SUM(AF32:AF34)</f>
        <v>4678.6475512518718</v>
      </c>
      <c r="AG36" s="152">
        <f t="shared" ref="AG36:AH36" si="174">SUM(AG32:AG34)</f>
        <v>17000.814927538377</v>
      </c>
      <c r="AH36" s="151">
        <f t="shared" si="174"/>
        <v>7054.5858836287216</v>
      </c>
      <c r="AI36" s="151">
        <f>SUM(AI32:AI34)</f>
        <v>4701.721873419734</v>
      </c>
      <c r="AJ36" s="151">
        <f>SUM(AJ32:AJ34)</f>
        <v>5244.5071704899237</v>
      </c>
      <c r="AK36" s="152">
        <f t="shared" ref="AK36:AL36" si="175">SUM(AK32:AK34)</f>
        <v>14169.281381060278</v>
      </c>
      <c r="AL36" s="151">
        <f t="shared" si="175"/>
        <v>2660.0369209702426</v>
      </c>
      <c r="AM36" s="151">
        <f t="shared" ref="AM36" si="176">SUM(AM32:AM34)</f>
        <v>5456.6310460691857</v>
      </c>
      <c r="AN36" s="219">
        <f t="shared" ref="AN36" si="177">SUM(AN32:AN34)</f>
        <v>6052.6134140208496</v>
      </c>
      <c r="AO36" s="152">
        <f t="shared" ref="AO36:AP36" si="178">SUM(AO32:AO34)</f>
        <v>16160.882629550018</v>
      </c>
      <c r="AP36" s="151">
        <f t="shared" si="178"/>
        <v>5698.8125650801094</v>
      </c>
      <c r="AQ36" s="151">
        <f t="shared" ref="AQ36" si="179">SUM(AQ32:AQ34)</f>
        <v>4289.6315962604158</v>
      </c>
      <c r="AR36" s="151">
        <f t="shared" ref="AR36" si="180">SUM(AR32:AR34)</f>
        <v>6172.4384682094942</v>
      </c>
      <c r="AS36" s="152">
        <f t="shared" ref="AS36" si="181">SUM(AS32:AS34)</f>
        <v>14453.549088388336</v>
      </c>
      <c r="AT36" s="152">
        <f t="shared" ref="AT36" si="182">SUM(AT32:AT34)</f>
        <v>10851.313580451053</v>
      </c>
      <c r="AU36" s="152">
        <f t="shared" ref="AU36" si="183">SUM(AU32:AU34)</f>
        <v>17686.552222421335</v>
      </c>
      <c r="AV36" s="152">
        <f t="shared" ref="AV36" si="184">SUM(AV32:AV34)</f>
        <v>18424.919159419918</v>
      </c>
      <c r="AW36" s="152"/>
      <c r="AX36" s="152">
        <f t="shared" ref="AX36" si="185">SUM(AX32:AX34)</f>
        <v>7397.7240630381011</v>
      </c>
      <c r="AY36" s="152">
        <f t="shared" ref="AY36" si="186">SUM(AY32:AY34)</f>
        <v>5782.5361765400457</v>
      </c>
      <c r="AZ36" s="152">
        <f t="shared" ref="AZ36:BM36" si="187">SUM(AZ32:AZ34)</f>
        <v>5946.9820248300766</v>
      </c>
      <c r="BA36" s="152">
        <f t="shared" si="187"/>
        <v>3416.3099932104415</v>
      </c>
      <c r="BB36" s="152">
        <f t="shared" si="187"/>
        <v>5451.1448434704234</v>
      </c>
      <c r="BC36" s="152">
        <f t="shared" si="187"/>
        <v>3502.9156684101463</v>
      </c>
      <c r="BD36" s="152">
        <f t="shared" si="187"/>
        <v>2524.7316328699362</v>
      </c>
      <c r="BE36" s="152">
        <f t="shared" si="187"/>
        <v>2158.0597508194965</v>
      </c>
      <c r="BF36" s="152">
        <f t="shared" si="187"/>
        <v>1341.0604923106994</v>
      </c>
      <c r="BG36" s="152">
        <f t="shared" si="187"/>
        <v>2400.4868907302075</v>
      </c>
      <c r="BH36" s="152">
        <f t="shared" si="187"/>
        <v>1588.7784278699046</v>
      </c>
      <c r="BI36" s="152">
        <f t="shared" si="187"/>
        <v>1262.9973832995825</v>
      </c>
      <c r="BJ36" s="152">
        <f t="shared" si="187"/>
        <v>2758.9881970293263</v>
      </c>
      <c r="BK36" s="152">
        <f t="shared" si="187"/>
        <v>1018.8055294603928</v>
      </c>
      <c r="BL36" s="152">
        <f t="shared" si="187"/>
        <v>1655.0698122101089</v>
      </c>
      <c r="BM36" s="152">
        <f t="shared" si="187"/>
        <v>1177.4074713699265</v>
      </c>
      <c r="BN36" s="152">
        <f t="shared" ref="BN36:BQ36" si="188">SUM(BN32:BN34)</f>
        <v>330.64047637114527</v>
      </c>
      <c r="BO36" s="152">
        <f t="shared" si="188"/>
        <v>1197.8999178300191</v>
      </c>
      <c r="BP36" s="152">
        <f t="shared" si="188"/>
        <v>2899.6074072599704</v>
      </c>
      <c r="BQ36" s="152">
        <f t="shared" si="188"/>
        <v>1042.9366620199798</v>
      </c>
      <c r="BR36" s="153"/>
      <c r="BS36" s="150"/>
      <c r="BT36" s="150"/>
      <c r="BU36" s="155"/>
      <c r="BV36" s="155"/>
      <c r="BW36" s="155"/>
      <c r="BX36" s="155"/>
      <c r="BY36" s="155"/>
      <c r="BZ36" s="155"/>
      <c r="CA36" s="155"/>
      <c r="CB36" s="155"/>
      <c r="CC36" s="155"/>
      <c r="CD36" s="155"/>
      <c r="CE36" s="155"/>
      <c r="CF36" s="155"/>
      <c r="CG36" s="155"/>
      <c r="CH36" s="155"/>
    </row>
    <row r="37" spans="1:86" ht="15.75" x14ac:dyDescent="0.25">
      <c r="A37" s="112">
        <v>37</v>
      </c>
      <c r="B37" s="29" t="str">
        <f>IF($D$2=$E$2,E!B37,'R'!B37)</f>
        <v>Налог на прибыль</v>
      </c>
      <c r="C37" s="203"/>
      <c r="D37" s="204"/>
      <c r="E37" s="115"/>
      <c r="F37" s="117"/>
      <c r="G37" s="74">
        <f t="shared" ref="G37" si="189">G38-G36</f>
        <v>-714.96202299842344</v>
      </c>
      <c r="H37" s="217">
        <f t="shared" ref="H37" si="190">H38-H36</f>
        <v>-1078.1939171922745</v>
      </c>
      <c r="I37" s="32">
        <f t="shared" ref="I37:J37" si="191">I38-I36</f>
        <v>-2141.4817229988985</v>
      </c>
      <c r="J37" s="74">
        <f t="shared" si="191"/>
        <v>-759.22000799882699</v>
      </c>
      <c r="K37" s="74">
        <f t="shared" ref="K37" si="192">K38-K36</f>
        <v>-731.7529170009916</v>
      </c>
      <c r="L37" s="74">
        <f t="shared" ref="L37" si="193">L38-L36</f>
        <v>-650.5087979990808</v>
      </c>
      <c r="M37" s="32">
        <f>M38-M36</f>
        <v>-2901.6177718588842</v>
      </c>
      <c r="N37" s="74">
        <f t="shared" ref="N37" si="194">N38-N36</f>
        <v>-1454.729646999891</v>
      </c>
      <c r="O37" s="74">
        <f t="shared" ref="O37" si="195">O38-O36</f>
        <v>-714.50844900588345</v>
      </c>
      <c r="P37" s="74">
        <f t="shared" ref="P37:P38" si="196">P18-Q18</f>
        <v>-732.37967585312435</v>
      </c>
      <c r="Q37" s="32">
        <f t="shared" ref="Q37:R37" si="197">Q38-Q36</f>
        <v>-3019.4044643492125</v>
      </c>
      <c r="R37" s="74">
        <f t="shared" si="197"/>
        <v>-714.81004200283496</v>
      </c>
      <c r="S37" s="74">
        <f>S38-S36</f>
        <v>-714.35527499770978</v>
      </c>
      <c r="T37" s="74">
        <f>T38-T36</f>
        <v>-1590.2391473486668</v>
      </c>
      <c r="U37" s="32">
        <f t="shared" ref="U37:V37" si="198">U38-U36</f>
        <v>-4130.1975293240102</v>
      </c>
      <c r="V37" s="74">
        <f t="shared" si="198"/>
        <v>-939.2810320424669</v>
      </c>
      <c r="W37" s="74">
        <f t="shared" ref="W37" si="199">W38-W36</f>
        <v>-938.02084796308554</v>
      </c>
      <c r="X37" s="217">
        <f t="shared" ref="X37" si="200">X38-X36</f>
        <v>-2252.8956493184569</v>
      </c>
      <c r="Y37" s="32">
        <f t="shared" ref="Y37:Z37" si="201">Y38-Y36</f>
        <v>-3210.2800209978959</v>
      </c>
      <c r="Z37" s="74">
        <f t="shared" si="201"/>
        <v>-1085.8708039979774</v>
      </c>
      <c r="AA37" s="74">
        <f t="shared" ref="AA37" si="202">AA38-AA36</f>
        <v>-1086.0492990400653</v>
      </c>
      <c r="AB37" s="74">
        <f t="shared" ref="AB37" si="203">AB38-AB36</f>
        <v>-1038.3599179598505</v>
      </c>
      <c r="AC37" s="32">
        <f>AC38-AC36</f>
        <v>-5495.5571903309265</v>
      </c>
      <c r="AD37" s="74">
        <f t="shared" ref="AD37" si="204">AD38-AD36</f>
        <v>-1204.7481510000825</v>
      </c>
      <c r="AE37" s="74">
        <f t="shared" ref="AE37" si="205">AE38-AE36</f>
        <v>-1076.0412859983062</v>
      </c>
      <c r="AF37" s="74">
        <f t="shared" ref="AF37:AF38" si="206">AF18-AG18</f>
        <v>-3214.7677533325405</v>
      </c>
      <c r="AG37" s="32">
        <f t="shared" ref="AG37:AH37" si="207">AG38-AG36</f>
        <v>-1419.1006873387887</v>
      </c>
      <c r="AH37" s="74">
        <f t="shared" si="207"/>
        <v>-345.23090799905094</v>
      </c>
      <c r="AI37" s="74">
        <f>AI38-AI36</f>
        <v>-344.84099799969044</v>
      </c>
      <c r="AJ37" s="74">
        <f>AJ38-AJ36</f>
        <v>-729.02878134005005</v>
      </c>
      <c r="AK37" s="32">
        <f t="shared" ref="AK37:AL37" si="208">AK38-AK36</f>
        <v>-3630.0376783402553</v>
      </c>
      <c r="AL37" s="74">
        <f t="shared" si="208"/>
        <v>-773.62865700025441</v>
      </c>
      <c r="AM37" s="74">
        <f t="shared" ref="AM37" si="209">AM38-AM36</f>
        <v>-773.68666499905157</v>
      </c>
      <c r="AN37" s="217">
        <f t="shared" ref="AN37" si="210">AN38-AN36</f>
        <v>-2082.7223563409489</v>
      </c>
      <c r="AO37" s="32">
        <f t="shared" ref="AO37:AP37" si="211">AO38-AO36</f>
        <v>-1771.6456295500193</v>
      </c>
      <c r="AP37" s="74">
        <f t="shared" si="211"/>
        <v>-601.29126449009982</v>
      </c>
      <c r="AQ37" s="74">
        <f t="shared" ref="AQ37" si="212">AQ38-AQ36</f>
        <v>-605.16350508037522</v>
      </c>
      <c r="AR37" s="74">
        <f t="shared" ref="AR37" si="213">AR38-AR36</f>
        <v>-565.19085997954517</v>
      </c>
      <c r="AS37" s="32">
        <f>AS38-AS36</f>
        <v>-5200.2008591353406</v>
      </c>
      <c r="AT37" s="32">
        <f t="shared" ref="AT37" si="214">AT38-AT36</f>
        <v>-1070.3228208317196</v>
      </c>
      <c r="AU37" s="32">
        <f t="shared" ref="AU37" si="215">AU38-AU36</f>
        <v>-4221.1769844008904</v>
      </c>
      <c r="AV37" s="32">
        <f t="shared" ref="AV37" si="216">AV38-AV36</f>
        <v>-3660.8224559899372</v>
      </c>
      <c r="AW37" s="32"/>
      <c r="AX37" s="32">
        <f t="shared" ref="AX37" si="217">AX38-AX36</f>
        <v>-1416.7410186295301</v>
      </c>
      <c r="AY37" s="32">
        <f t="shared" ref="AY37" si="218">AY38-AY36</f>
        <v>-2325.9240736109959</v>
      </c>
      <c r="AZ37" s="32">
        <f t="shared" ref="AZ37:BM37" si="219">AZ38-AZ36</f>
        <v>-694.52891135907521</v>
      </c>
      <c r="BA37" s="32">
        <f t="shared" si="219"/>
        <v>-2.5869210803998612</v>
      </c>
      <c r="BB37" s="32">
        <f t="shared" si="219"/>
        <v>-1004.1317313904219</v>
      </c>
      <c r="BC37" s="32">
        <f t="shared" si="219"/>
        <v>-1283.9226684101459</v>
      </c>
      <c r="BD37" s="32">
        <f t="shared" si="219"/>
        <v>-374.49363286993639</v>
      </c>
      <c r="BE37" s="32">
        <f t="shared" si="219"/>
        <v>-29.735750819496388</v>
      </c>
      <c r="BF37" s="32">
        <f t="shared" si="219"/>
        <v>845.11789263969513</v>
      </c>
      <c r="BG37" s="32">
        <f t="shared" si="219"/>
        <v>-952.25789073020769</v>
      </c>
      <c r="BH37" s="32">
        <f t="shared" si="219"/>
        <v>-632.99342786990451</v>
      </c>
      <c r="BI37" s="32">
        <f t="shared" si="219"/>
        <v>-102.74838329958243</v>
      </c>
      <c r="BJ37" s="32">
        <f t="shared" si="219"/>
        <v>-684.61472627957119</v>
      </c>
      <c r="BK37" s="32">
        <f t="shared" si="219"/>
        <v>-322.02452946039239</v>
      </c>
      <c r="BL37" s="32">
        <f t="shared" si="219"/>
        <v>-349.57281221010908</v>
      </c>
      <c r="BM37" s="32">
        <f t="shared" si="219"/>
        <v>-63.934471369926541</v>
      </c>
      <c r="BN37" s="32">
        <f t="shared" ref="BN37:BQ37" si="220">BN38-BN36</f>
        <v>320.8147225899711</v>
      </c>
      <c r="BO37" s="32">
        <f t="shared" si="220"/>
        <v>-955.85891783001898</v>
      </c>
      <c r="BP37" s="32">
        <f t="shared" si="220"/>
        <v>-335.37140725997051</v>
      </c>
      <c r="BQ37" s="32">
        <f t="shared" si="220"/>
        <v>-448.18666201997985</v>
      </c>
      <c r="BR37" s="36"/>
      <c r="BS37" s="28"/>
      <c r="BT37" s="28"/>
      <c r="BU37" s="1"/>
      <c r="BV37" s="1"/>
      <c r="BW37" s="1"/>
      <c r="BX37" s="1"/>
      <c r="BY37" s="1"/>
      <c r="BZ37" s="1"/>
      <c r="CA37" s="1"/>
      <c r="CB37" s="1"/>
      <c r="CC37" s="1"/>
      <c r="CD37" s="1"/>
      <c r="CE37" s="1"/>
      <c r="CF37" s="1"/>
      <c r="CG37" s="1"/>
      <c r="CH37" s="1"/>
    </row>
    <row r="38" spans="1:86" ht="15.75" x14ac:dyDescent="0.25">
      <c r="A38" s="112">
        <v>38</v>
      </c>
      <c r="B38" s="33" t="str">
        <f>IF($D$2=$E$2,E!B38,'R'!B38)</f>
        <v>Чистая прибыль</v>
      </c>
      <c r="C38" s="205" t="str">
        <f ca="1">IF((MID(OFFSET($F$24,0,1),2,2)="Q ")+(MID(OFFSET($F$24,0,1),2,2)="К "),OFFSET($F38,0,1)/OFFSET($F38,0,17)-1,"")</f>
        <v/>
      </c>
      <c r="D38" s="206" t="str">
        <f ca="1">IF((MID(OFFSET($F$24,0,1),2,2)="Q ")+(MID(OFFSET($F$24,0,1),2,2)="К "),OFFSET($F38,0,1)/OFFSET($F38,0,5)-1,"")</f>
        <v/>
      </c>
      <c r="E38" s="119">
        <f ca="1">IF((MID(OFFSET($F$24,0,1),2,2)="Q ")+(MID(OFFSET($F$24,0,1),2,2)="К "),OFFSET($F38,0,2)/OFFSET($F38,0,18)-1,OFFSET($F38,0,1)/OFFSET($F38,0,17)-1)</f>
        <v>-0.64587677670114862</v>
      </c>
      <c r="F38" s="121">
        <f ca="1">IF((MID(OFFSET($F$24,0,1),2,2)="Q ")+(MID(OFFSET($F$24,0,1),2,2)="К "),OFFSET($F38,0,2)/OFFSET($F38,0,3)-1,IF((MID(OFFSET($F$24,0,2),2,1)="Q")+(MID(OFFSET($F$24,0,2),2,1)="К"),OFFSET($F38,0,1)/OFFSET($F38,0,3)-1,OFFSET($F38,0,1)/OFFSET($F38,0,2)-1))</f>
        <v>-0.36584927848329596</v>
      </c>
      <c r="G38" s="73">
        <f t="shared" ref="G38" si="221">G19-H19</f>
        <v>1904.1012306005723</v>
      </c>
      <c r="H38" s="75">
        <f t="shared" ref="H38" si="222">H19-I19</f>
        <v>3002.6004323491361</v>
      </c>
      <c r="I38" s="42">
        <f t="shared" ref="I38" si="223">I19</f>
        <v>9615.7694709004027</v>
      </c>
      <c r="J38" s="73">
        <f>I19-K19</f>
        <v>3547.2105764403022</v>
      </c>
      <c r="K38" s="73">
        <f t="shared" ref="K38" si="224">K19-L19</f>
        <v>2445.8646764600676</v>
      </c>
      <c r="L38" s="73">
        <f t="shared" ref="L38" si="225">L19</f>
        <v>3622.6942180000328</v>
      </c>
      <c r="M38" s="42">
        <f t="shared" ref="M38" si="226">M19-Q19</f>
        <v>3712.6406917615532</v>
      </c>
      <c r="N38" s="73">
        <f t="shared" ref="N38" si="227">M19-O19</f>
        <v>332.91505006027</v>
      </c>
      <c r="O38" s="172">
        <f t="shared" ref="O38" si="228">O19-P19</f>
        <v>1186.8442176094686</v>
      </c>
      <c r="P38" s="73">
        <f t="shared" si="196"/>
        <v>2192.8814240918146</v>
      </c>
      <c r="Q38" s="42">
        <f>Q19-U19</f>
        <v>6420.8691446607991</v>
      </c>
      <c r="R38" s="172">
        <f t="shared" ref="R38" si="229">Q19-S19</f>
        <v>1971.6966689385263</v>
      </c>
      <c r="S38" s="73">
        <f>S19-T19</f>
        <v>2572.116146030181</v>
      </c>
      <c r="T38" s="73">
        <f>T19-U19</f>
        <v>1877.0563296920918</v>
      </c>
      <c r="U38" s="42">
        <f>U19-Y19</f>
        <v>11649.724311346225</v>
      </c>
      <c r="V38" s="73">
        <f t="shared" ref="V38" si="230">U19-W19</f>
        <v>1730.6158254777292</v>
      </c>
      <c r="W38" s="73">
        <f t="shared" ref="W38" si="231">W19-X19</f>
        <v>5376.9453831997489</v>
      </c>
      <c r="X38" s="75">
        <f t="shared" ref="X38" si="232">X19-Y19</f>
        <v>4542.1631026687464</v>
      </c>
      <c r="Y38" s="42">
        <f t="shared" ref="Y38" si="233">Y19</f>
        <v>15590.934045471724</v>
      </c>
      <c r="Z38" s="73">
        <f>Y19-AA19</f>
        <v>5381.1117826417467</v>
      </c>
      <c r="AA38" s="73">
        <f t="shared" ref="AA38" si="234">AA19-AB19</f>
        <v>5080.9194419400155</v>
      </c>
      <c r="AB38" s="73">
        <f t="shared" ref="AB38" si="235">AB19</f>
        <v>5128.9028208899617</v>
      </c>
      <c r="AC38" s="42">
        <f t="shared" ref="AC38" si="236">AC19-AG19</f>
        <v>10327.590433458754</v>
      </c>
      <c r="AD38" s="73">
        <f t="shared" ref="AD38" si="237">AC19-AE19</f>
        <v>3220.6142458075265</v>
      </c>
      <c r="AE38" s="172">
        <f t="shared" ref="AE38" si="238">AE19-AF19</f>
        <v>5643.0963897318943</v>
      </c>
      <c r="AF38" s="73">
        <f t="shared" si="206"/>
        <v>1463.8797979193332</v>
      </c>
      <c r="AG38" s="42">
        <f>AG19-AK19</f>
        <v>15581.714240199588</v>
      </c>
      <c r="AH38" s="172">
        <f t="shared" ref="AH38" si="239">AG19-AI19</f>
        <v>6709.3549756296707</v>
      </c>
      <c r="AI38" s="73">
        <f>AI19-AJ19</f>
        <v>4356.8808754200436</v>
      </c>
      <c r="AJ38" s="73">
        <f>AJ19-AK19</f>
        <v>4515.4783891498737</v>
      </c>
      <c r="AK38" s="42">
        <f>AK19-AO19</f>
        <v>10539.243702720023</v>
      </c>
      <c r="AL38" s="73">
        <f t="shared" ref="AL38" si="240">AK19-AM19</f>
        <v>1886.4082639699882</v>
      </c>
      <c r="AM38" s="73">
        <f t="shared" ref="AM38" si="241">AM19-AN19</f>
        <v>4682.9443810701341</v>
      </c>
      <c r="AN38" s="75">
        <f t="shared" ref="AN38" si="242">AN19-AO19</f>
        <v>3969.8910576799008</v>
      </c>
      <c r="AO38" s="42">
        <f t="shared" ref="AO38" si="243">AO19</f>
        <v>14389.236999999999</v>
      </c>
      <c r="AP38" s="73">
        <f>AO19-AQ19</f>
        <v>5097.5213005900096</v>
      </c>
      <c r="AQ38" s="73">
        <f t="shared" ref="AQ38" si="244">AQ19-AR19</f>
        <v>3684.4680911800406</v>
      </c>
      <c r="AR38" s="73">
        <f t="shared" ref="AR38" si="245">AR19</f>
        <v>5607.247608229949</v>
      </c>
      <c r="AS38" s="42">
        <f>AS19-AT19</f>
        <v>9253.3482292529952</v>
      </c>
      <c r="AT38" s="42">
        <f>AT19-AU19</f>
        <v>9780.9907596193334</v>
      </c>
      <c r="AU38" s="42">
        <f>AU19-AV19</f>
        <v>13465.375238020444</v>
      </c>
      <c r="AV38" s="42">
        <f t="shared" ref="AV38" si="246">AV19</f>
        <v>14764.096703429981</v>
      </c>
      <c r="AW38" s="42"/>
      <c r="AX38" s="42">
        <f>AX19-AY19</f>
        <v>5980.983044408571</v>
      </c>
      <c r="AY38" s="42">
        <f>AY19-AZ19</f>
        <v>3456.6121029290498</v>
      </c>
      <c r="AZ38" s="42">
        <f>AZ19-BA19</f>
        <v>5252.4531134710014</v>
      </c>
      <c r="BA38" s="42">
        <f t="shared" ref="BA38" si="247">BA19</f>
        <v>3413.7230721300416</v>
      </c>
      <c r="BB38" s="42">
        <f>BB19-BC19</f>
        <v>4447.0131120800015</v>
      </c>
      <c r="BC38" s="42">
        <f>BC19-BD19</f>
        <v>2218.9930000000004</v>
      </c>
      <c r="BD38" s="42">
        <f>BD19-BE19</f>
        <v>2150.2379999999998</v>
      </c>
      <c r="BE38" s="42">
        <f t="shared" ref="BE38" si="248">BE19</f>
        <v>2128.3240000000001</v>
      </c>
      <c r="BF38" s="42">
        <f t="shared" ref="BF38:BH38" si="249">BF19-BG19</f>
        <v>2186.1783849503945</v>
      </c>
      <c r="BG38" s="42">
        <f t="shared" si="249"/>
        <v>1448.2289999999998</v>
      </c>
      <c r="BH38" s="42">
        <f t="shared" si="249"/>
        <v>955.78500000000008</v>
      </c>
      <c r="BI38" s="42">
        <f t="shared" ref="BI38" si="250">BI19</f>
        <v>1160.249</v>
      </c>
      <c r="BJ38" s="42">
        <f>BJ19-BK19</f>
        <v>2074.3734707497551</v>
      </c>
      <c r="BK38" s="42">
        <f>BK19-BL19</f>
        <v>696.7810000000004</v>
      </c>
      <c r="BL38" s="42">
        <f>BL19-BM19</f>
        <v>1305.4969999999998</v>
      </c>
      <c r="BM38" s="42">
        <f>BM19</f>
        <v>1113.473</v>
      </c>
      <c r="BN38" s="42">
        <f>BN19-BO19</f>
        <v>651.45519896111637</v>
      </c>
      <c r="BO38" s="42">
        <f>BO19-BP19</f>
        <v>242.04100000000017</v>
      </c>
      <c r="BP38" s="42">
        <f>BP19-BQ19</f>
        <v>2564.2359999999999</v>
      </c>
      <c r="BQ38" s="42">
        <f>BQ19</f>
        <v>594.75</v>
      </c>
      <c r="BR38" s="36"/>
      <c r="BS38" s="28"/>
      <c r="BT38" s="28"/>
      <c r="BU38" s="1"/>
      <c r="BV38" s="1"/>
      <c r="BW38" s="1"/>
      <c r="BX38" s="1"/>
      <c r="BY38" s="1"/>
      <c r="BZ38" s="1"/>
      <c r="CA38" s="1"/>
      <c r="CB38" s="1"/>
      <c r="CC38" s="1"/>
      <c r="CD38" s="1"/>
      <c r="CE38" s="1"/>
      <c r="CF38" s="1"/>
      <c r="CG38" s="1"/>
      <c r="CH38" s="1"/>
    </row>
    <row r="39" spans="1:86" ht="14.1" customHeight="1" x14ac:dyDescent="0.25">
      <c r="A39" s="112">
        <v>39</v>
      </c>
      <c r="B39" s="33"/>
      <c r="C39" s="115"/>
      <c r="D39" s="118"/>
      <c r="E39" s="118"/>
      <c r="F39" s="117"/>
      <c r="G39" s="77"/>
      <c r="H39" s="211"/>
      <c r="I39" s="40"/>
      <c r="J39" s="77"/>
      <c r="K39" s="77"/>
      <c r="L39" s="77"/>
      <c r="M39" s="40"/>
      <c r="N39" s="72"/>
      <c r="O39" s="72"/>
      <c r="P39" s="77"/>
      <c r="Q39" s="40"/>
      <c r="R39" s="77"/>
      <c r="S39" s="77"/>
      <c r="T39" s="77"/>
      <c r="U39" s="40"/>
      <c r="V39" s="77"/>
      <c r="W39" s="77"/>
      <c r="X39" s="211"/>
      <c r="Y39" s="40"/>
      <c r="Z39" s="77"/>
      <c r="AA39" s="77"/>
      <c r="AB39" s="77"/>
      <c r="AC39" s="40"/>
      <c r="AD39" s="72"/>
      <c r="AE39" s="72"/>
      <c r="AF39" s="77"/>
      <c r="AG39" s="40"/>
      <c r="AH39" s="77"/>
      <c r="AI39" s="77"/>
      <c r="AJ39" s="77"/>
      <c r="AK39" s="40"/>
      <c r="AL39" s="77"/>
      <c r="AM39" s="77"/>
      <c r="AN39" s="211"/>
      <c r="AO39" s="40"/>
      <c r="AP39" s="77"/>
      <c r="AQ39" s="77"/>
      <c r="AR39" s="77"/>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36"/>
      <c r="BS39" s="28"/>
      <c r="BT39" s="28"/>
      <c r="BU39" s="1"/>
      <c r="BV39" s="1"/>
      <c r="BW39" s="1"/>
      <c r="BX39" s="1"/>
      <c r="BY39" s="1"/>
      <c r="BZ39" s="1"/>
      <c r="CA39" s="1"/>
      <c r="CB39" s="1"/>
      <c r="CC39" s="1"/>
      <c r="CD39" s="1"/>
      <c r="CE39" s="1"/>
      <c r="CF39" s="1"/>
      <c r="CG39" s="1"/>
      <c r="CH39" s="1"/>
    </row>
    <row r="40" spans="1:86" ht="14.1" customHeight="1" x14ac:dyDescent="0.25">
      <c r="A40" s="112">
        <v>40</v>
      </c>
      <c r="B40" s="5" t="str">
        <f>IF($D$2=$E$2,E!B40,'R'!B40)</f>
        <v>Соотношение расходов к доходам</v>
      </c>
      <c r="C40" s="181"/>
      <c r="D40" s="182"/>
      <c r="E40" s="118"/>
      <c r="F40" s="117"/>
      <c r="G40" s="76">
        <f>-G33/G32</f>
        <v>0.38233161129279641</v>
      </c>
      <c r="H40" s="220">
        <f>-H33/H32</f>
        <v>0.37468197259131503</v>
      </c>
      <c r="I40" s="9">
        <f>-I33/I32</f>
        <v>0.32259691462040097</v>
      </c>
      <c r="J40" s="76">
        <f t="shared" ref="J40" si="251">-J33/J32</f>
        <v>0.31727218596253481</v>
      </c>
      <c r="K40" s="76">
        <f t="shared" ref="K40" si="252">-K33/K32</f>
        <v>0.37088195867688245</v>
      </c>
      <c r="L40" s="76">
        <f t="shared" ref="L40" si="253">-L33/L32</f>
        <v>0.28213786157899429</v>
      </c>
      <c r="M40" s="9">
        <f t="shared" ref="M40:N40" si="254">-M33/M32</f>
        <v>0.45554877627583201</v>
      </c>
      <c r="N40" s="76">
        <f t="shared" si="254"/>
        <v>0.5496525971338887</v>
      </c>
      <c r="O40" s="76">
        <f t="shared" ref="O40" si="255">-O33/O32</f>
        <v>0.3791178040935651</v>
      </c>
      <c r="P40" s="76">
        <f t="shared" ref="P40" si="256">-P33/P32</f>
        <v>0.42321366020264756</v>
      </c>
      <c r="Q40" s="9">
        <f>-Q33/Q32</f>
        <v>0.30079642406200197</v>
      </c>
      <c r="R40" s="76">
        <f t="shared" ref="R40" si="257">-R33/R32</f>
        <v>0.31783846358127366</v>
      </c>
      <c r="S40" s="76">
        <f>-S33/S32</f>
        <v>0.30291201325130868</v>
      </c>
      <c r="T40" s="76">
        <f t="shared" ref="T40" si="258">-T33/T32</f>
        <v>0.28593548239477079</v>
      </c>
      <c r="U40" s="9">
        <f>-U33/U32</f>
        <v>0.25106810150815223</v>
      </c>
      <c r="V40" s="76">
        <f t="shared" ref="V40" si="259">-V33/V32</f>
        <v>0.28534527801845572</v>
      </c>
      <c r="W40" s="76">
        <f>-W33/W32</f>
        <v>0.22883828416756577</v>
      </c>
      <c r="X40" s="220">
        <f>-X33/X32</f>
        <v>0.23891180748405355</v>
      </c>
      <c r="Y40" s="9">
        <f>-Y33/Y32</f>
        <v>0.21799970965635204</v>
      </c>
      <c r="Z40" s="76">
        <f t="shared" ref="Z40" si="260">-Z33/Z32</f>
        <v>0.23166129837094138</v>
      </c>
      <c r="AA40" s="76">
        <f t="shared" ref="AA40" si="261">-AA33/AA32</f>
        <v>0.23314496420455394</v>
      </c>
      <c r="AB40" s="76">
        <f t="shared" ref="AB40" si="262">-AB33/AB32</f>
        <v>0.18807037017113934</v>
      </c>
      <c r="AC40" s="9">
        <f t="shared" ref="AC40:AD40" si="263">-AC33/AC32</f>
        <v>0.29673273978036041</v>
      </c>
      <c r="AD40" s="76">
        <f t="shared" si="263"/>
        <v>0.40052701773770333</v>
      </c>
      <c r="AE40" s="76">
        <f t="shared" ref="AE40" si="264">-AE33/AE32</f>
        <v>0.21029618159398814</v>
      </c>
      <c r="AF40" s="76">
        <f t="shared" ref="AF40" si="265">-AF33/AF32</f>
        <v>0.2550087828145855</v>
      </c>
      <c r="AG40" s="9">
        <f>-AG33/AG32</f>
        <v>0.26913647931429696</v>
      </c>
      <c r="AH40" s="76">
        <f t="shared" ref="AH40" si="266">-AH33/AH32</f>
        <v>0.19636821115317118</v>
      </c>
      <c r="AI40" s="76">
        <f>-AI33/AI32</f>
        <v>0.29731614457630973</v>
      </c>
      <c r="AJ40" s="76">
        <f t="shared" ref="AJ40" si="267">-AJ33/AJ32</f>
        <v>0.32671727496277253</v>
      </c>
      <c r="AK40" s="9">
        <f>-AK33/AK32</f>
        <v>0.23868683382505596</v>
      </c>
      <c r="AL40" s="76">
        <f t="shared" ref="AL40" si="268">-AL33/AL32</f>
        <v>0.25864274189206249</v>
      </c>
      <c r="AM40" s="76">
        <f>-AM33/AM32</f>
        <v>0.27681188567930615</v>
      </c>
      <c r="AN40" s="220">
        <f>-AN33/AN32</f>
        <v>0.18208423371006524</v>
      </c>
      <c r="AO40" s="9">
        <f>-AO33/AO32</f>
        <v>0.26254308224600925</v>
      </c>
      <c r="AP40" s="76">
        <f t="shared" ref="AP40" si="269">-AP33/AP32</f>
        <v>0.2732631002215466</v>
      </c>
      <c r="AQ40" s="76">
        <f t="shared" ref="AQ40" si="270">-AQ33/AQ32</f>
        <v>0.35880101711949941</v>
      </c>
      <c r="AR40" s="76">
        <f t="shared" ref="AR40" si="271">-AR33/AR32</f>
        <v>0.1691616084655988</v>
      </c>
      <c r="AS40" s="9">
        <f t="shared" ref="AS40" si="272">-AS33/AS32</f>
        <v>0.25966015785251484</v>
      </c>
      <c r="AT40" s="9">
        <f>-AT33/AT32</f>
        <v>0.37187300768265441</v>
      </c>
      <c r="AU40" s="9">
        <f>-AU33/AU32</f>
        <v>0.3473384930797867</v>
      </c>
      <c r="AV40" s="9">
        <f>-AV33/AV32</f>
        <v>0.28062170558998312</v>
      </c>
      <c r="AW40" s="9"/>
      <c r="AX40" s="9">
        <f t="shared" ref="AX40" si="273">-AX33/AX32</f>
        <v>0.42205965052849131</v>
      </c>
      <c r="AY40" s="9">
        <f t="shared" ref="AY40" si="274">-AY33/AY32</f>
        <v>0.31448811901187657</v>
      </c>
      <c r="AZ40" s="9">
        <f>-AZ33/AZ32</f>
        <v>0.30353989220221478</v>
      </c>
      <c r="BA40" s="9">
        <f>-BA33/BA32</f>
        <v>0.44628383936509414</v>
      </c>
      <c r="BB40" s="9">
        <f t="shared" ref="BB40:BC40" si="275">-BB33/BB32</f>
        <v>0.37072082402394541</v>
      </c>
      <c r="BC40" s="9">
        <f t="shared" si="275"/>
        <v>0.37884034954946283</v>
      </c>
      <c r="BD40" s="9">
        <f>-BD33/BD32</f>
        <v>0.32745536967497574</v>
      </c>
      <c r="BE40" s="9">
        <f t="shared" ref="BE40:BQ40" si="276">-BE33/BE32</f>
        <v>0.48249897718289281</v>
      </c>
      <c r="BF40" s="9">
        <f t="shared" si="276"/>
        <v>0.49783347864233868</v>
      </c>
      <c r="BG40" s="9">
        <f t="shared" si="276"/>
        <v>0.39433758805731961</v>
      </c>
      <c r="BH40" s="9">
        <f t="shared" si="276"/>
        <v>0.42032007966671564</v>
      </c>
      <c r="BI40" s="9">
        <f t="shared" si="276"/>
        <v>0.52862506721008984</v>
      </c>
      <c r="BJ40" s="9">
        <f t="shared" si="276"/>
        <v>0.35284939638159529</v>
      </c>
      <c r="BK40" s="9">
        <f t="shared" si="276"/>
        <v>0.37107915480121673</v>
      </c>
      <c r="BL40" s="9">
        <f t="shared" si="276"/>
        <v>0.42863119054819471</v>
      </c>
      <c r="BM40" s="9">
        <f t="shared" si="276"/>
        <v>0.44283575422477284</v>
      </c>
      <c r="BN40" s="9">
        <f t="shared" si="276"/>
        <v>0.38306688699537023</v>
      </c>
      <c r="BO40" s="9">
        <f t="shared" si="276"/>
        <v>0.36565816704260728</v>
      </c>
      <c r="BP40" s="9">
        <f t="shared" si="276"/>
        <v>0.35578598822999302</v>
      </c>
      <c r="BQ40" s="9">
        <f t="shared" si="276"/>
        <v>0.39101511769040315</v>
      </c>
      <c r="BR40" s="3"/>
      <c r="BS40" s="1"/>
      <c r="BT40" s="1"/>
      <c r="BU40" s="1"/>
      <c r="BV40" s="1"/>
      <c r="BW40" s="1"/>
      <c r="BX40" s="1"/>
      <c r="BY40" s="1"/>
      <c r="BZ40" s="1"/>
      <c r="CA40" s="1"/>
      <c r="CB40" s="1"/>
      <c r="CC40" s="1"/>
      <c r="CD40" s="1"/>
      <c r="CE40" s="1"/>
      <c r="CF40" s="1"/>
      <c r="CG40" s="1"/>
      <c r="CH40" s="1"/>
    </row>
    <row r="41" spans="1:86" ht="14.1" customHeight="1" x14ac:dyDescent="0.25">
      <c r="A41" s="112">
        <v>41</v>
      </c>
      <c r="B41" s="5"/>
      <c r="C41" s="176"/>
      <c r="D41" s="177"/>
      <c r="E41" s="178"/>
      <c r="F41" s="176"/>
      <c r="G41" s="78"/>
      <c r="H41" s="78"/>
      <c r="I41" s="5"/>
      <c r="J41" s="78"/>
      <c r="K41" s="78"/>
      <c r="L41" s="78"/>
      <c r="M41" s="5"/>
      <c r="N41" s="78"/>
      <c r="O41" s="98"/>
      <c r="P41" s="78"/>
      <c r="Q41" s="7"/>
      <c r="R41" s="78"/>
      <c r="S41" s="78"/>
      <c r="T41" s="78"/>
      <c r="U41" s="7"/>
      <c r="V41" s="78"/>
      <c r="W41" s="78"/>
      <c r="X41" s="78"/>
      <c r="Y41" s="5"/>
      <c r="Z41" s="78"/>
      <c r="AA41" s="78"/>
      <c r="AB41" s="78"/>
      <c r="AC41" s="5"/>
      <c r="AD41" s="78"/>
      <c r="AE41" s="98"/>
      <c r="AF41" s="78"/>
      <c r="AG41" s="7"/>
      <c r="AH41" s="78"/>
      <c r="AI41" s="78"/>
      <c r="AJ41" s="78"/>
      <c r="AK41" s="7"/>
      <c r="AL41" s="78"/>
      <c r="AM41" s="78"/>
      <c r="AN41" s="78"/>
      <c r="AO41" s="5"/>
      <c r="AP41" s="78"/>
      <c r="AQ41" s="78"/>
      <c r="AR41" s="78"/>
      <c r="AS41" s="5"/>
      <c r="AT41" s="7"/>
      <c r="AU41" s="7"/>
      <c r="AV41" s="5"/>
      <c r="AW41" s="5"/>
      <c r="AX41" s="5"/>
      <c r="AY41" s="5"/>
      <c r="AZ41" s="7"/>
      <c r="BA41" s="5"/>
      <c r="BB41" s="5"/>
      <c r="BC41" s="5"/>
      <c r="BD41" s="7"/>
      <c r="BE41" s="5"/>
      <c r="BF41" s="5"/>
      <c r="BG41" s="5"/>
      <c r="BH41" s="5"/>
      <c r="BI41" s="5"/>
      <c r="BJ41" s="5"/>
      <c r="BK41" s="5"/>
      <c r="BL41" s="5"/>
      <c r="BM41" s="5"/>
      <c r="BN41" s="5"/>
      <c r="BO41" s="5"/>
      <c r="BP41" s="5"/>
      <c r="BQ41" s="3"/>
      <c r="BR41" s="1"/>
      <c r="BS41" s="1"/>
      <c r="BT41" s="1"/>
      <c r="BU41" s="1"/>
      <c r="BV41" s="1"/>
      <c r="BW41" s="1"/>
      <c r="BX41" s="1"/>
      <c r="BY41" s="1"/>
      <c r="BZ41" s="1"/>
      <c r="CA41" s="1"/>
      <c r="CB41" s="1"/>
      <c r="CC41" s="1"/>
      <c r="CD41" s="1"/>
      <c r="CE41" s="1"/>
      <c r="CF41" s="1"/>
      <c r="CG41" s="1"/>
    </row>
    <row r="42" spans="1:86" ht="14.1" customHeight="1" x14ac:dyDescent="0.2">
      <c r="A42" s="112">
        <v>42</v>
      </c>
      <c r="B42" s="290" t="str">
        <f>IF($D$2=$E$2,E!B42,'R'!B42:B43)</f>
        <v>Баланс</v>
      </c>
      <c r="C42" s="292" t="str">
        <f>IF($D$2=$E$2,E!C42,'R'!C42)</f>
        <v>С начала года</v>
      </c>
      <c r="D42" s="128"/>
      <c r="E42" s="297" t="str">
        <f>IF($D$2=$E$2,E!E42,'R'!E42)</f>
        <v>С начала квартала</v>
      </c>
      <c r="F42" s="301" t="str">
        <f>IF($D$2=$E$2,E!F42,'R'!F42)</f>
        <v>M-o-M</v>
      </c>
      <c r="G42" s="256">
        <f>IF($D$2=$E$2,E!G42,'R'!G42:G43)</f>
        <v>46174</v>
      </c>
      <c r="H42" s="273">
        <f>IF($D$2=$E$2,E!H42,'R'!H42:H43)</f>
        <v>46143</v>
      </c>
      <c r="I42" s="283">
        <f>IF($D$2=$E$2,E!I42,'R'!I42:I43)</f>
        <v>46113</v>
      </c>
      <c r="J42" s="254"/>
      <c r="K42" s="256">
        <f>IF($D$2=$E$2,E!K42,'R'!K42:K43)</f>
        <v>46082</v>
      </c>
      <c r="L42" s="303">
        <f>IF($D$2=$E$2,E!L42,'R'!L42:L43)</f>
        <v>46054</v>
      </c>
      <c r="M42" s="277">
        <f>IF($D$2=$E$2,E!M42,'R'!M42:M43)</f>
        <v>46023</v>
      </c>
      <c r="N42" s="250"/>
      <c r="O42" s="264">
        <f>IF($D$2=$E$2,E!O42,'R'!O42:O43)</f>
        <v>45992</v>
      </c>
      <c r="P42" s="279">
        <f>IF($D$2=$E$2,E!P42,'R'!P42:P43)</f>
        <v>45962</v>
      </c>
      <c r="Q42" s="269">
        <f>IF($D$2=$E$2,E!Q42,'R'!Q42:Q43)</f>
        <v>45931</v>
      </c>
      <c r="R42" s="273"/>
      <c r="S42" s="279">
        <f>IF($D$2=$E$2,E!S42,'R'!S42:S43)</f>
        <v>45901</v>
      </c>
      <c r="T42" s="279">
        <f>IF($D$2=$E$2,E!T42,'R'!T42:T43)</f>
        <v>45870</v>
      </c>
      <c r="U42" s="269">
        <f>IF($D$2=$E$2,E!U42,'R'!U42:U43)</f>
        <v>45839</v>
      </c>
      <c r="V42" s="243"/>
      <c r="W42" s="256">
        <f>IF($D$2=$E$2,E!W42,'R'!W42:W43)</f>
        <v>45809</v>
      </c>
      <c r="X42" s="273">
        <f>IF($D$2=$E$2,E!X42,'R'!X42:X43)</f>
        <v>45778</v>
      </c>
      <c r="Y42" s="283">
        <f>IF($D$2=$E$2,E!Y42,'R'!Y42:Y43)</f>
        <v>45748</v>
      </c>
      <c r="Z42" s="240"/>
      <c r="AA42" s="256">
        <f>IF($D$2=$E$2,E!AA42,'R'!AA42:AA43)</f>
        <v>45717</v>
      </c>
      <c r="AB42" s="273">
        <f>IF($D$2=$E$2,E!AB42,'R'!AB42:AB43)</f>
        <v>45689</v>
      </c>
      <c r="AC42" s="277">
        <f>IF($D$2=$E$2,E!AC42,'R'!AC42:AC43)</f>
        <v>45658</v>
      </c>
      <c r="AD42" s="232"/>
      <c r="AE42" s="264">
        <f>IF($D$2=$E$2,E!AE42,'R'!AE42:AE43)</f>
        <v>45627</v>
      </c>
      <c r="AF42" s="279">
        <f>IF($D$2=$E$2,E!AF42,'R'!AF42:AF43)</f>
        <v>45597</v>
      </c>
      <c r="AG42" s="269">
        <f>IF($D$2=$E$2,E!AG42,'R'!AG42:AG43)</f>
        <v>45566</v>
      </c>
      <c r="AH42" s="273"/>
      <c r="AI42" s="279">
        <f>IF($D$2=$E$2,E!AI42,'R'!AI42:AI43)</f>
        <v>45536</v>
      </c>
      <c r="AJ42" s="279">
        <f>IF($D$2=$E$2,E!AJ42,'R'!AJ42:AJ43)</f>
        <v>45505</v>
      </c>
      <c r="AK42" s="269">
        <f>IF($D$2=$E$2,E!AK42,'R'!AK42:AK43)</f>
        <v>45474</v>
      </c>
      <c r="AL42" s="227"/>
      <c r="AM42" s="256">
        <f>IF($D$2=$E$2,E!AM42,'R'!AM42:AM43)</f>
        <v>45444</v>
      </c>
      <c r="AN42" s="273">
        <f>IF($D$2=$E$2,E!AN42,'R'!AN42:AN43)</f>
        <v>45413</v>
      </c>
      <c r="AO42" s="283">
        <f>IF($D$2=$E$2,E!AO42,'R'!AO42:AO43)</f>
        <v>45383</v>
      </c>
      <c r="AP42" s="200"/>
      <c r="AQ42" s="256">
        <f>IF($D$2=$E$2,E!AQ42,'R'!AQ42:AQ43)</f>
        <v>45352</v>
      </c>
      <c r="AR42" s="273">
        <f>IF($D$2=$E$2,E!AR42,'R'!AR42:AR43)</f>
        <v>45323</v>
      </c>
      <c r="AS42" s="277">
        <f>IF($D$2=$E$2,E!AS42,'R'!AS42:AS43)</f>
        <v>45292</v>
      </c>
      <c r="AT42" s="269">
        <f>IF($D$2=$E$2,E!AW42,'R'!AW42:AW43)</f>
        <v>45200</v>
      </c>
      <c r="AU42" s="269">
        <f>IF($D$2=$E$2,E!BA42,'R'!BA42:BA43)</f>
        <v>45108</v>
      </c>
      <c r="AV42" s="283">
        <f>IF($D$2=$E$2,E!BE42,'R'!BE42:BE43)</f>
        <v>45017</v>
      </c>
      <c r="AW42" s="277">
        <f>IF($D$2=$E$2,E!BI42,'R'!BI42:BI43)</f>
        <v>44927</v>
      </c>
      <c r="AX42" s="277">
        <f>IF($D$2=$E$2,E!BY42,'R'!BY42:BY43)</f>
        <v>44562</v>
      </c>
      <c r="AY42" s="277">
        <f>IF($D$2=$E$2,E!CC42,'R'!CC42:CC43)</f>
        <v>44470</v>
      </c>
      <c r="AZ42" s="277">
        <f>IF($D$2=$E$2,E!CG42,'R'!CG42:CG43)</f>
        <v>44378</v>
      </c>
      <c r="BA42" s="285">
        <f>IF($D$2=$E$2,E!CK42,'R'!CK42:CK43)</f>
        <v>44287</v>
      </c>
      <c r="BB42" s="277">
        <f>IF($D$2=$E$2,E!CO42,'R'!CO42:CO43)</f>
        <v>44197</v>
      </c>
      <c r="BC42" s="277">
        <f>IF($D$2=$E$2,E!CS42,'R'!CS42:CS43)</f>
        <v>44105</v>
      </c>
      <c r="BD42" s="277">
        <f>IF($D$2=$E$2,E!CW42,'R'!CW42:CW43)</f>
        <v>44013</v>
      </c>
      <c r="BE42" s="285">
        <f>IF($D$2=$E$2,E!DA42,'R'!DA42:DA43)</f>
        <v>43922</v>
      </c>
      <c r="BF42" s="285">
        <f>IF($D$2=$E$2,E!DE42,'R'!DE42:DE43)</f>
        <v>43831</v>
      </c>
      <c r="BG42" s="285">
        <f>IF($D$2=$E$2,E!DF42,'R'!DF42:DF43)</f>
        <v>43739</v>
      </c>
      <c r="BH42" s="277">
        <f>IF($D$2=$E$2,E!DG42,'R'!DG42:DG43)</f>
        <v>43647</v>
      </c>
      <c r="BI42" s="277">
        <f>IF($D$2=$E$2,E!DH42,'R'!DH42:DH43)</f>
        <v>43556</v>
      </c>
      <c r="BJ42" s="277">
        <f>IF($D$2=$E$2,E!DI42,'R'!DI42:DI43)</f>
        <v>43466</v>
      </c>
      <c r="BK42" s="277">
        <f>IF($D$2=$E$2,E!DJ42,'R'!DJ42:DJ43)</f>
        <v>43374</v>
      </c>
      <c r="BL42" s="277">
        <f>IF($D$2=$E$2,E!DK42,'R'!DK42:DK43)</f>
        <v>43282</v>
      </c>
      <c r="BM42" s="277">
        <f>IF($D$2=$E$2,E!DL42,'R'!DL42:DL43)</f>
        <v>43191</v>
      </c>
      <c r="BN42" s="277">
        <f>IF($D$2=$E$2,E!DM42,'R'!DM42:DM43)</f>
        <v>43101</v>
      </c>
      <c r="BO42" s="277">
        <f>IF($D$2=$E$2,E!DN42,'R'!DN42:DN43)</f>
        <v>43009</v>
      </c>
      <c r="BP42" s="277">
        <f>IF($D$2=$E$2,E!DO42,'R'!DO42:DO43)</f>
        <v>42917</v>
      </c>
      <c r="BQ42" s="277">
        <f>IF($D$2=$E$2,E!DP42,'R'!DP42:DP43)</f>
        <v>42826</v>
      </c>
      <c r="BR42" s="277">
        <f>IF($D$2=$E$2,E!DQ42,'R'!DQ42:DQ43)</f>
        <v>42736</v>
      </c>
      <c r="BS42" s="1"/>
      <c r="BT42" s="1"/>
      <c r="BU42" s="1"/>
      <c r="BV42" s="1"/>
      <c r="BW42" s="1"/>
      <c r="BX42" s="1"/>
      <c r="BY42" s="1"/>
      <c r="BZ42" s="1"/>
      <c r="CA42" s="1"/>
      <c r="CB42" s="1"/>
      <c r="CC42" s="1"/>
      <c r="CD42" s="1"/>
      <c r="CE42" s="1"/>
      <c r="CF42" s="1"/>
      <c r="CG42" s="1"/>
      <c r="CH42" s="1"/>
    </row>
    <row r="43" spans="1:86" ht="14.1" customHeight="1" x14ac:dyDescent="0.2">
      <c r="A43" s="112">
        <v>43</v>
      </c>
      <c r="B43" s="291"/>
      <c r="C43" s="293"/>
      <c r="D43" s="129"/>
      <c r="E43" s="298"/>
      <c r="F43" s="302"/>
      <c r="G43" s="257"/>
      <c r="H43" s="274"/>
      <c r="I43" s="284"/>
      <c r="J43" s="255"/>
      <c r="K43" s="257"/>
      <c r="L43" s="304"/>
      <c r="M43" s="278"/>
      <c r="N43" s="252"/>
      <c r="O43" s="268"/>
      <c r="P43" s="280"/>
      <c r="Q43" s="270"/>
      <c r="R43" s="274"/>
      <c r="S43" s="280"/>
      <c r="T43" s="280"/>
      <c r="U43" s="270"/>
      <c r="V43" s="245"/>
      <c r="W43" s="257"/>
      <c r="X43" s="274"/>
      <c r="Y43" s="284"/>
      <c r="Z43" s="241"/>
      <c r="AA43" s="257"/>
      <c r="AB43" s="274"/>
      <c r="AC43" s="278"/>
      <c r="AD43" s="233"/>
      <c r="AE43" s="268"/>
      <c r="AF43" s="280"/>
      <c r="AG43" s="270"/>
      <c r="AH43" s="274"/>
      <c r="AI43" s="280"/>
      <c r="AJ43" s="280"/>
      <c r="AK43" s="270"/>
      <c r="AL43" s="229"/>
      <c r="AM43" s="257"/>
      <c r="AN43" s="274"/>
      <c r="AO43" s="284"/>
      <c r="AP43" s="201"/>
      <c r="AQ43" s="257"/>
      <c r="AR43" s="274"/>
      <c r="AS43" s="278"/>
      <c r="AT43" s="270"/>
      <c r="AU43" s="270"/>
      <c r="AV43" s="284"/>
      <c r="AW43" s="278"/>
      <c r="AX43" s="278"/>
      <c r="AY43" s="278"/>
      <c r="AZ43" s="278"/>
      <c r="BA43" s="286"/>
      <c r="BB43" s="278"/>
      <c r="BC43" s="278"/>
      <c r="BD43" s="278"/>
      <c r="BE43" s="286"/>
      <c r="BF43" s="286"/>
      <c r="BG43" s="286"/>
      <c r="BH43" s="278"/>
      <c r="BI43" s="278"/>
      <c r="BJ43" s="287"/>
      <c r="BK43" s="287"/>
      <c r="BL43" s="287"/>
      <c r="BM43" s="278"/>
      <c r="BN43" s="287"/>
      <c r="BO43" s="287"/>
      <c r="BP43" s="287"/>
      <c r="BQ43" s="287"/>
      <c r="BR43" s="287"/>
      <c r="BS43" s="1"/>
      <c r="BT43" s="1"/>
      <c r="BU43" s="1"/>
      <c r="BV43" s="1"/>
      <c r="BW43" s="1"/>
      <c r="BX43" s="1"/>
      <c r="BY43" s="1"/>
      <c r="BZ43" s="1"/>
      <c r="CA43" s="1"/>
      <c r="CB43" s="1"/>
      <c r="CC43" s="1"/>
      <c r="CD43" s="1"/>
      <c r="CE43" s="1"/>
      <c r="CF43" s="1"/>
      <c r="CG43" s="1"/>
      <c r="CH43" s="1"/>
    </row>
    <row r="44" spans="1:86" ht="9" customHeight="1" x14ac:dyDescent="0.2">
      <c r="A44" s="112">
        <v>44</v>
      </c>
      <c r="B44" s="4" t="str">
        <f>IF($D$2=$E$2,E!B44,'R'!B44)</f>
        <v>в млн руб</v>
      </c>
      <c r="C44" s="122"/>
      <c r="D44" s="123"/>
      <c r="E44" s="123"/>
      <c r="F44" s="124"/>
      <c r="G44" s="79"/>
      <c r="H44" s="79"/>
      <c r="I44" s="10"/>
      <c r="J44" s="79"/>
      <c r="K44" s="79"/>
      <c r="L44" s="79"/>
      <c r="M44" s="10"/>
      <c r="N44" s="79"/>
      <c r="O44" s="79"/>
      <c r="P44" s="79"/>
      <c r="Q44" s="10"/>
      <c r="R44" s="79"/>
      <c r="S44" s="79"/>
      <c r="T44" s="79"/>
      <c r="U44" s="10"/>
      <c r="V44" s="79"/>
      <c r="W44" s="79"/>
      <c r="X44" s="79"/>
      <c r="Y44" s="10"/>
      <c r="Z44" s="79"/>
      <c r="AA44" s="79"/>
      <c r="AB44" s="79"/>
      <c r="AC44" s="10"/>
      <c r="AD44" s="79"/>
      <c r="AE44" s="79"/>
      <c r="AF44" s="79"/>
      <c r="AG44" s="10"/>
      <c r="AH44" s="79"/>
      <c r="AI44" s="79"/>
      <c r="AJ44" s="79"/>
      <c r="AK44" s="10"/>
      <c r="AL44" s="79"/>
      <c r="AM44" s="79"/>
      <c r="AN44" s="79"/>
      <c r="AO44" s="10"/>
      <c r="AP44" s="79"/>
      <c r="AQ44" s="79"/>
      <c r="AR44" s="79"/>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
      <c r="BT44" s="1"/>
      <c r="BU44" s="1"/>
      <c r="BV44" s="1"/>
      <c r="BW44" s="1"/>
      <c r="BX44" s="1"/>
      <c r="BY44" s="1"/>
      <c r="BZ44" s="1"/>
      <c r="CA44" s="1"/>
      <c r="CB44" s="1"/>
      <c r="CC44" s="1"/>
      <c r="CD44" s="1"/>
      <c r="CE44" s="1"/>
      <c r="CF44" s="1"/>
      <c r="CG44" s="1"/>
      <c r="CH44" s="1"/>
    </row>
    <row r="45" spans="1:86" ht="14.1" customHeight="1" x14ac:dyDescent="0.2">
      <c r="A45" s="112">
        <v>45</v>
      </c>
      <c r="B45" s="19" t="str">
        <f>IF($D$2=$E$2,E!B45,'R'!B45)</f>
        <v>Активы</v>
      </c>
      <c r="C45" s="119">
        <f ca="1">HLOOKUP(OFFSET($F$42,0,1),$42:$71,$A45-$A$41,0)/IF(OFFSET($F$42,0,3)="",HLOOKUP(DATE(YEAR(OFFSET($F$42,0,1)),1,1),$42:$71,$A45-$A$41,0),IF(YEAR(OFFSET($F$42,0,1))-YEAR(OFFSET($F$42,0,3))=0,HLOOKUP(DATE(YEAR(OFFSET($F$42,0,1)),1,1),$42:$71,$A45-$A$41,0),HLOOKUP(DATE(YEAR(OFFSET($F$42,0,1))-1,1,1),$42:$71,$A45-$A$41,0)))-1</f>
        <v>-1.2035069170716395E-2</v>
      </c>
      <c r="D45" s="120"/>
      <c r="E45" s="120">
        <f ca="1">IF(MONTH(OFFSET($F$42,0,1))=1,HLOOKUP(OFFSET($F$42,0,1),$42:$71,$A45-$A$41,0)/HLOOKUP(DATE(YEAR(OFFSET($F$42,0,1))-1,10,1),$42:$71,$A45-$A$41,0)-1,IF(ROUND(MONTH(OFFSET($F$42,0,1))/3,0)&lt;=1,HLOOKUP(OFFSET($F$42,0,1),$42:$71,$A45-$A$41,0)/HLOOKUP(DATE(YEAR(OFFSET($F$42,0,1)),1,1),$42:$71,$A45-$A$41,0)-1,IF(ROUND(MONTH(OFFSET($F$42,0,1))/3,0)&lt;=2,HLOOKUP(OFFSET($F$42,0,1),$42:$71,$A45-$A$41,0)/HLOOKUP(DATE(YEAR(OFFSET($F$42,0,1)),4,1),$42:$71,$A45-$A$41,0)-1,IF(ROUND(MONTH(OFFSET($F$42,0,1))/3,0)&lt;=3,HLOOKUP(OFFSET($F$42,0,1),$42:$71,$A45-$A$41,0)/HLOOKUP(DATE(YEAR(OFFSET($F$42,0,1)),7,1),$42:$71,$A45-$A$41,0)-1,HLOOKUP(OFFSET($F$42,0,1),$42:$71,$A45-$A$41,0)/HLOOKUP(DATE(YEAR(OFFSET($F$42,0,1)),10,1),$42:$71,$A45-$A$41,0)-1))))</f>
        <v>-7.2418978517134192E-2</v>
      </c>
      <c r="F45" s="121">
        <f ca="1">HLOOKUP(OFFSET($F$42,0,1),$42:$71,$A45-$A$41,0)/IF(OFFSET($F$42,0,3)="",HLOOKUP(DATE(YEAR(OFFSET($F$42,0,1)),MONTH(OFFSET($F$42,0,1))-1,1),$42:$71,$A45-$A$41,0),IF(YEAR(OFFSET($F$42,0,1))-YEAR(OFFSET($F$42,0,3))=0,HLOOKUP(DATE(YEAR(OFFSET($F$42,0,1)),MONTH(OFFSET($F$42,0,1))-1,1),$42:$71,$A45-$A$41,0),HLOOKUP(DATE(YEAR(OFFSET($F$42,0,1))-1,12,1),$42:$71,$A45-$A$41,0)))-1</f>
        <v>-3.2870984302320605E-2</v>
      </c>
      <c r="G45" s="80">
        <v>1286297.2110747381</v>
      </c>
      <c r="H45" s="222">
        <v>1330016.151099358</v>
      </c>
      <c r="I45" s="125">
        <v>1386722.2175572491</v>
      </c>
      <c r="J45" s="80"/>
      <c r="K45" s="80">
        <v>1343671.1167686351</v>
      </c>
      <c r="L45" s="80">
        <v>1310112.3646738059</v>
      </c>
      <c r="M45" s="16">
        <v>1301966.4675698951</v>
      </c>
      <c r="N45" s="80"/>
      <c r="O45" s="80">
        <v>1318844.0481796169</v>
      </c>
      <c r="P45" s="80">
        <v>1332626.3597617089</v>
      </c>
      <c r="Q45" s="16">
        <v>1351387.4731983789</v>
      </c>
      <c r="R45" s="80"/>
      <c r="S45" s="80">
        <v>1219112.088548017</v>
      </c>
      <c r="T45" s="80">
        <v>1315496.245961627</v>
      </c>
      <c r="U45" s="16">
        <v>1256543.0601170931</v>
      </c>
      <c r="V45" s="80"/>
      <c r="W45" s="80">
        <v>1172303.6017720206</v>
      </c>
      <c r="X45" s="222">
        <v>1145203.4587657372</v>
      </c>
      <c r="Y45" s="125">
        <v>1146491.4346648671</v>
      </c>
      <c r="Z45" s="80"/>
      <c r="AA45" s="80">
        <v>1096292.2645139897</v>
      </c>
      <c r="AB45" s="80">
        <v>1109172.158214865</v>
      </c>
      <c r="AC45" s="16">
        <v>1143978.1201771214</v>
      </c>
      <c r="AD45" s="80"/>
      <c r="AE45" s="80">
        <v>1132060.1306548361</v>
      </c>
      <c r="AF45" s="80">
        <v>1089640.4156273957</v>
      </c>
      <c r="AG45" s="16">
        <v>1041044.8202385972</v>
      </c>
      <c r="AH45" s="80"/>
      <c r="AI45" s="80">
        <v>1054708.561318303</v>
      </c>
      <c r="AJ45" s="80">
        <v>1046365.9262300351</v>
      </c>
      <c r="AK45" s="16">
        <v>1075275.9985681074</v>
      </c>
      <c r="AL45" s="80"/>
      <c r="AM45" s="80">
        <v>1091344.0091476301</v>
      </c>
      <c r="AN45" s="222">
        <v>1053983.7250333447</v>
      </c>
      <c r="AO45" s="125">
        <v>1012269.2034167971</v>
      </c>
      <c r="AP45" s="80"/>
      <c r="AQ45" s="80">
        <v>1026625.9840571242</v>
      </c>
      <c r="AR45" s="80">
        <v>1091712.4983268881</v>
      </c>
      <c r="AS45" s="16">
        <v>1056628.5897227193</v>
      </c>
      <c r="AT45" s="16">
        <v>965310.21614199679</v>
      </c>
      <c r="AU45" s="16">
        <v>858357.74136746407</v>
      </c>
      <c r="AV45" s="125">
        <v>834464.29196471302</v>
      </c>
      <c r="AW45" s="16">
        <v>836609.49246925465</v>
      </c>
      <c r="AX45" s="16">
        <v>795126.59304401092</v>
      </c>
      <c r="AY45" s="16">
        <v>770497.46170995699</v>
      </c>
      <c r="AZ45" s="16">
        <v>737629.79524070199</v>
      </c>
      <c r="BA45" s="125">
        <v>733731.70865495922</v>
      </c>
      <c r="BB45" s="16">
        <v>730651.76298871869</v>
      </c>
      <c r="BC45" s="16">
        <v>716638.103</v>
      </c>
      <c r="BD45" s="16">
        <v>667908.745</v>
      </c>
      <c r="BE45" s="16">
        <v>665147.56900000002</v>
      </c>
      <c r="BF45" s="16">
        <v>667115.06499999994</v>
      </c>
      <c r="BG45" s="16">
        <v>650907.23899999994</v>
      </c>
      <c r="BH45" s="16">
        <v>652388.80900000001</v>
      </c>
      <c r="BI45" s="16">
        <v>646459.26599999995</v>
      </c>
      <c r="BJ45" s="16">
        <v>651678.05500000005</v>
      </c>
      <c r="BK45" s="15">
        <v>603766.48600000003</v>
      </c>
      <c r="BL45" s="15">
        <v>594665.505</v>
      </c>
      <c r="BM45" s="15">
        <v>593419.01899999997</v>
      </c>
      <c r="BN45" s="16">
        <v>594461.61</v>
      </c>
      <c r="BO45" s="16">
        <v>560616.147</v>
      </c>
      <c r="BP45" s="16">
        <v>552667.77399999998</v>
      </c>
      <c r="BQ45" s="16">
        <v>541742.59</v>
      </c>
      <c r="BR45" s="16">
        <v>564773.20799999998</v>
      </c>
      <c r="BS45" s="1"/>
      <c r="BT45" s="1"/>
      <c r="BU45" s="1"/>
      <c r="BV45" s="1"/>
      <c r="BW45" s="1"/>
      <c r="BX45" s="1"/>
      <c r="BY45" s="1"/>
      <c r="BZ45" s="1"/>
      <c r="CA45" s="1"/>
      <c r="CB45" s="1"/>
      <c r="CC45" s="1"/>
      <c r="CD45" s="1"/>
      <c r="CE45" s="1"/>
      <c r="CF45" s="1"/>
      <c r="CG45" s="1"/>
      <c r="CH45" s="1"/>
    </row>
    <row r="46" spans="1:86" ht="14.1" customHeight="1" x14ac:dyDescent="0.2">
      <c r="A46" s="112">
        <v>46</v>
      </c>
      <c r="B46" s="20" t="str">
        <f>IF($D$2=$E$2,E!B46,'R'!B46)</f>
        <v>Кредитный портфель (гросс)</v>
      </c>
      <c r="C46" s="119">
        <f ca="1">HLOOKUP(OFFSET($F$42,0,1),$42:$71,$A46-$A$41,0)/IF(OFFSET($F$42,0,3)="",HLOOKUP(DATE(YEAR(OFFSET($F$42,0,1)),1,1),$42:$71,$A46-$A$41,0),IF(YEAR(OFFSET($F$42,0,1))-YEAR(OFFSET($F$42,0,3))=0,HLOOKUP(DATE(YEAR(OFFSET($F$42,0,1)),1,1),$42:$71,$A46-$A$41,0),HLOOKUP(DATE(YEAR(OFFSET($F$42,0,1))-1,1,1),$42:$71,$A46-$A$41,0)))-1</f>
        <v>-3.9550462042505119E-2</v>
      </c>
      <c r="D46" s="120"/>
      <c r="E46" s="120">
        <f ca="1">IF(MONTH(OFFSET($F$42,0,1))=1,HLOOKUP(OFFSET($F$42,0,1),$42:$71,$A46-$A$41,0)/HLOOKUP(DATE(YEAR(OFFSET($F$42,0,1))-1,10,1),$42:$71,$A46-$A$41,0)-1,IF(ROUND(MONTH(OFFSET($F$42,0,1))/3,0)&lt;=1,HLOOKUP(OFFSET($F$42,0,1),$42:$71,$A46-$A$41,0)/HLOOKUP(DATE(YEAR(OFFSET($F$42,0,1)),1,1),$42:$71,$A46-$A$41,0)-1,IF(ROUND(MONTH(OFFSET($F$42,0,1))/3,0)&lt;=2,HLOOKUP(OFFSET($F$42,0,1),$42:$71,$A46-$A$41,0)/HLOOKUP(DATE(YEAR(OFFSET($F$42,0,1)),4,1),$42:$71,$A46-$A$41,0)-1,IF(ROUND(MONTH(OFFSET($F$42,0,1))/3,0)&lt;=3,HLOOKUP(OFFSET($F$42,0,1),$42:$71,$A46-$A$41,0)/HLOOKUP(DATE(YEAR(OFFSET($F$42,0,1)),7,1),$42:$71,$A46-$A$41,0)-1,HLOOKUP(OFFSET($F$42,0,1),$42:$71,$A46-$A$41,0)/HLOOKUP(DATE(YEAR(OFFSET($F$42,0,1)),10,1),$42:$71,$A46-$A$41,0)-1))))</f>
        <v>-4.9673396409471327E-2</v>
      </c>
      <c r="F46" s="121">
        <f ca="1">HLOOKUP(OFFSET($F$42,0,1),$42:$71,$A46-$A$41,0)/IF(OFFSET($F$42,0,3)="",HLOOKUP(DATE(YEAR(OFFSET($F$42,0,1)),MONTH(OFFSET($F$42,0,1))-1,1),$42:$71,$A46-$A$41,0),IF(YEAR(OFFSET($F$42,0,1))-YEAR(OFFSET($F$42,0,3))=0,HLOOKUP(DATE(YEAR(OFFSET($F$42,0,1)),MONTH(OFFSET($F$42,0,1))-1,1),$42:$71,$A46-$A$41,0),HLOOKUP(DATE(YEAR(OFFSET($F$42,0,1))-1,12,1),$42:$71,$A46-$A$41,0)))-1</f>
        <v>-1.9784568678993919E-2</v>
      </c>
      <c r="G46" s="81">
        <f t="shared" ref="G46" si="277">SUM(G47:G48)</f>
        <v>900908.55447289022</v>
      </c>
      <c r="H46" s="212">
        <f t="shared" ref="H46" si="278">SUM(H47:H48)</f>
        <v>919092.4012069098</v>
      </c>
      <c r="I46" s="43">
        <f t="shared" ref="I46" si="279">SUM(I47:I48)</f>
        <v>947998.87856350967</v>
      </c>
      <c r="J46" s="81"/>
      <c r="K46" s="81">
        <f>SUM(K47:K48)</f>
        <v>870313.1686789802</v>
      </c>
      <c r="L46" s="81">
        <f>SUM(L47:L48)</f>
        <v>952068.36632444989</v>
      </c>
      <c r="M46" s="15">
        <f>SUM(M47:M48)</f>
        <v>938007.17150510033</v>
      </c>
      <c r="N46" s="81"/>
      <c r="O46" s="81">
        <f>SUM(O47:O48)</f>
        <v>919570.35846129735</v>
      </c>
      <c r="P46" s="81">
        <f>SUM(P47:P48)</f>
        <v>911348.36716662976</v>
      </c>
      <c r="Q46" s="15">
        <f t="shared" ref="Q46" si="280">SUM(Q47:Q48)</f>
        <v>930508.11277007975</v>
      </c>
      <c r="R46" s="81"/>
      <c r="S46" s="81">
        <f t="shared" ref="S46" si="281">SUM(S47:S48)</f>
        <v>790313.40170902968</v>
      </c>
      <c r="T46" s="81">
        <f t="shared" ref="T46" si="282">SUM(T47:T48)</f>
        <v>824934.03189610969</v>
      </c>
      <c r="U46" s="15">
        <f t="shared" ref="U46" si="283">SUM(U47:U48)</f>
        <v>842754.09354821988</v>
      </c>
      <c r="V46" s="81"/>
      <c r="W46" s="81">
        <f t="shared" ref="W46" si="284">SUM(W47:W48)</f>
        <v>785762.42960775946</v>
      </c>
      <c r="X46" s="212">
        <f t="shared" ref="X46" si="285">SUM(X47:X48)</f>
        <v>743683.55730924977</v>
      </c>
      <c r="Y46" s="43">
        <f t="shared" ref="Y46" si="286">SUM(Y47:Y48)</f>
        <v>756222.05391828972</v>
      </c>
      <c r="Z46" s="81"/>
      <c r="AA46" s="81">
        <f>SUM(AA47:AA48)</f>
        <v>762944.29344311007</v>
      </c>
      <c r="AB46" s="81">
        <f>SUM(AB47:AB48)</f>
        <v>746749.30929228046</v>
      </c>
      <c r="AC46" s="15">
        <f>SUM(AC47:AC48)</f>
        <v>745873.61542579974</v>
      </c>
      <c r="AD46" s="81"/>
      <c r="AE46" s="81">
        <f>SUM(AE47:AE48)</f>
        <v>763012.54184864997</v>
      </c>
      <c r="AF46" s="81">
        <f>SUM(AF47:AF48)</f>
        <v>765954.75297888042</v>
      </c>
      <c r="AG46" s="15">
        <f t="shared" ref="AG46" si="287">SUM(AG47:AG48)</f>
        <v>732964.32249961002</v>
      </c>
      <c r="AH46" s="81"/>
      <c r="AI46" s="81">
        <f t="shared" ref="AI46" si="288">SUM(AI47:AI48)</f>
        <v>728445.30872320035</v>
      </c>
      <c r="AJ46" s="81">
        <f t="shared" ref="AJ46" si="289">SUM(AJ47:AJ48)</f>
        <v>726263.15796450118</v>
      </c>
      <c r="AK46" s="15">
        <f t="shared" ref="AK46" si="290">SUM(AK47:AK48)</f>
        <v>709875.98137648043</v>
      </c>
      <c r="AL46" s="81"/>
      <c r="AM46" s="81">
        <f t="shared" ref="AM46" si="291">SUM(AM47:AM48)</f>
        <v>742767.91013679979</v>
      </c>
      <c r="AN46" s="212">
        <f t="shared" ref="AN46" si="292">SUM(AN47:AN48)</f>
        <v>718104.32122803037</v>
      </c>
      <c r="AO46" s="43">
        <f t="shared" ref="AO46" si="293">SUM(AO47:AO48)</f>
        <v>699608.20566704008</v>
      </c>
      <c r="AP46" s="81"/>
      <c r="AQ46" s="81">
        <f>SUM(AQ47:AQ48)</f>
        <v>731037.92293686001</v>
      </c>
      <c r="AR46" s="81">
        <f>SUM(AR47:AR48)</f>
        <v>738030.81701095041</v>
      </c>
      <c r="AS46" s="15">
        <f>SUM(AS47:AS48)</f>
        <v>686547.88181758963</v>
      </c>
      <c r="AT46" s="15">
        <f t="shared" ref="AT46" si="294">SUM(AT47:AT48)</f>
        <v>653871.12906375073</v>
      </c>
      <c r="AU46" s="15">
        <f t="shared" ref="AU46" si="295">SUM(AU47:AU48)</f>
        <v>567816.95492986008</v>
      </c>
      <c r="AV46" s="43">
        <f t="shared" ref="AV46" si="296">SUM(AV47:AV48)</f>
        <v>590383.26181550941</v>
      </c>
      <c r="AW46" s="15">
        <f>SUM(AW47:AW48)</f>
        <v>552040.08178810019</v>
      </c>
      <c r="AX46" s="15">
        <f>SUM(AX47:AX48)</f>
        <v>508049.41010439012</v>
      </c>
      <c r="AY46" s="15">
        <f t="shared" ref="AY46" si="297">SUM(AY47:AY48)</f>
        <v>509888.47353786003</v>
      </c>
      <c r="AZ46" s="15">
        <f t="shared" ref="AZ46" si="298">SUM(AZ47:AZ48)</f>
        <v>502295.85910365975</v>
      </c>
      <c r="BA46" s="43">
        <f t="shared" ref="BA46" si="299">SUM(BA47:BA48)</f>
        <v>476746.44346380018</v>
      </c>
      <c r="BB46" s="15">
        <f>SUM(BB47:BB48)</f>
        <v>455793.13232243998</v>
      </c>
      <c r="BC46" s="15">
        <f>SUM(BC47:BC48)</f>
        <v>465068.56805274996</v>
      </c>
      <c r="BD46" s="15">
        <f t="shared" ref="BD46:BR46" si="300">SUM(BD47:BD48)</f>
        <v>416294.88763352006</v>
      </c>
      <c r="BE46" s="15">
        <f t="shared" si="300"/>
        <v>431933.13635841</v>
      </c>
      <c r="BF46" s="15">
        <f t="shared" si="300"/>
        <v>400641.37365965999</v>
      </c>
      <c r="BG46" s="15">
        <f t="shared" si="300"/>
        <v>390966.18360471004</v>
      </c>
      <c r="BH46" s="15">
        <f t="shared" si="300"/>
        <v>365339.46718619997</v>
      </c>
      <c r="BI46" s="15">
        <f t="shared" si="300"/>
        <v>373026.81531285006</v>
      </c>
      <c r="BJ46" s="15">
        <f t="shared" si="300"/>
        <v>377746.12061216985</v>
      </c>
      <c r="BK46" s="15">
        <f t="shared" si="300"/>
        <v>379257.54747542</v>
      </c>
      <c r="BL46" s="15">
        <f t="shared" si="300"/>
        <v>360036.30790616001</v>
      </c>
      <c r="BM46" s="15">
        <f t="shared" si="300"/>
        <v>351480.77385310002</v>
      </c>
      <c r="BN46" s="15">
        <f t="shared" si="300"/>
        <v>356357.48488801008</v>
      </c>
      <c r="BO46" s="15">
        <f t="shared" si="300"/>
        <v>345389.08594299998</v>
      </c>
      <c r="BP46" s="15">
        <f t="shared" si="300"/>
        <v>349861.30888236</v>
      </c>
      <c r="BQ46" s="15">
        <f t="shared" si="300"/>
        <v>342095.78036600002</v>
      </c>
      <c r="BR46" s="15">
        <f t="shared" si="300"/>
        <v>348415.27780100005</v>
      </c>
      <c r="BS46" s="1"/>
      <c r="BT46" s="1"/>
      <c r="BU46" s="1"/>
      <c r="BV46" s="1"/>
      <c r="BW46" s="1"/>
      <c r="BX46" s="1"/>
      <c r="BY46" s="1"/>
      <c r="BZ46" s="1"/>
      <c r="CA46" s="1"/>
      <c r="CB46" s="1"/>
      <c r="CC46" s="1"/>
      <c r="CD46" s="1"/>
      <c r="CE46" s="1"/>
      <c r="CF46" s="1"/>
      <c r="CG46" s="1"/>
      <c r="CH46" s="1"/>
    </row>
    <row r="47" spans="1:86" ht="14.1" customHeight="1" x14ac:dyDescent="0.2">
      <c r="A47" s="112">
        <v>47</v>
      </c>
      <c r="B47" s="13" t="str">
        <f>IF($D$2=$E$2,E!B47,'R'!B47)</f>
        <v>Корпоративные кредиты</v>
      </c>
      <c r="C47" s="115">
        <f ca="1">HLOOKUP(OFFSET($F$42,0,1),$42:$71,$A47-$A$41,0)/IF(OFFSET($F$42,0,3)="",HLOOKUP(DATE(YEAR(OFFSET($F$42,0,1)),1,1),$42:$71,$A47-$A$41,0),IF(YEAR(OFFSET($F$42,0,1))-YEAR(OFFSET($F$42,0,3))=0,HLOOKUP(DATE(YEAR(OFFSET($F$42,0,1)),1,1),$42:$71,$A47-$A$41,0),HLOOKUP(DATE(YEAR(OFFSET($F$42,0,1))-1,1,1),$42:$71,$A47-$A$41,0)))-1</f>
        <v>-6.1685402978818193E-2</v>
      </c>
      <c r="D47" s="118"/>
      <c r="E47" s="118">
        <f ca="1">IF(MONTH(OFFSET($F$42,0,1))=1,HLOOKUP(OFFSET($F$42,0,1),$42:$71,$A47-$A$41,0)/HLOOKUP(DATE(YEAR(OFFSET($F$42,0,1))-1,10,1),$42:$71,$A47-$A$41,0)-1,IF(ROUND(MONTH(OFFSET($F$42,0,1))/3,0)&lt;=1,HLOOKUP(OFFSET($F$42,0,1),$42:$71,$A47-$A$41,0)/HLOOKUP(DATE(YEAR(OFFSET($F$42,0,1)),1,1),$42:$71,$A47-$A$41,0)-1,IF(ROUND(MONTH(OFFSET($F$42,0,1))/3,0)&lt;=2,HLOOKUP(OFFSET($F$42,0,1),$42:$71,$A47-$A$41,0)/HLOOKUP(DATE(YEAR(OFFSET($F$42,0,1)),4,1),$42:$71,$A47-$A$41,0)-1,IF(ROUND(MONTH(OFFSET($F$42,0,1))/3,0)&lt;=3,HLOOKUP(OFFSET($F$42,0,1),$42:$71,$A47-$A$41,0)/HLOOKUP(DATE(YEAR(OFFSET($F$42,0,1)),7,1),$42:$71,$A47-$A$41,0)-1,HLOOKUP(OFFSET($F$42,0,1),$42:$71,$A47-$A$41,0)/HLOOKUP(DATE(YEAR(OFFSET($F$42,0,1)),10,1),$42:$71,$A47-$A$41,0)-1))))</f>
        <v>-6.8970466004690589E-2</v>
      </c>
      <c r="F47" s="117">
        <f ca="1">HLOOKUP(OFFSET($F$42,0,1),$42:$71,$A47-$A$41,0)/IF(OFFSET($F$42,0,3)="",HLOOKUP(DATE(YEAR(OFFSET($F$42,0,1)),MONTH(OFFSET($F$42,0,1))-1,1),$42:$71,$A47-$A$41,0),IF(YEAR(OFFSET($F$42,0,1))-YEAR(OFFSET($F$42,0,3))=0,HLOOKUP(DATE(YEAR(OFFSET($F$42,0,1)),MONTH(OFFSET($F$42,0,1))-1,1),$42:$71,$A47-$A$41,0),HLOOKUP(DATE(YEAR(OFFSET($F$42,0,1))-1,12,1),$42:$71,$A47-$A$41,0)))-1</f>
        <v>-2.802532636726085E-2</v>
      </c>
      <c r="G47" s="82">
        <v>690912.39682393032</v>
      </c>
      <c r="H47" s="213">
        <v>710833.7445065896</v>
      </c>
      <c r="I47" s="126">
        <v>742095.03737118957</v>
      </c>
      <c r="J47" s="82"/>
      <c r="K47" s="82">
        <v>665910.36528396013</v>
      </c>
      <c r="L47" s="82">
        <v>748737.93090316968</v>
      </c>
      <c r="M47" s="17">
        <v>736333.42060044012</v>
      </c>
      <c r="N47" s="82"/>
      <c r="O47" s="82">
        <v>724273.88711891952</v>
      </c>
      <c r="P47" s="82">
        <v>720539.74819736008</v>
      </c>
      <c r="Q47" s="17">
        <v>744389.35829276964</v>
      </c>
      <c r="R47" s="82"/>
      <c r="S47" s="82">
        <v>608537.99086141959</v>
      </c>
      <c r="T47" s="82">
        <v>647084.74427489017</v>
      </c>
      <c r="U47" s="17">
        <v>667142.53985567961</v>
      </c>
      <c r="V47" s="82"/>
      <c r="W47" s="82">
        <v>610849.46257965954</v>
      </c>
      <c r="X47" s="213">
        <v>570066.52359050978</v>
      </c>
      <c r="Y47" s="126">
        <v>585005.35480675998</v>
      </c>
      <c r="Z47" s="82"/>
      <c r="AA47" s="82">
        <v>595552.84797875001</v>
      </c>
      <c r="AB47" s="82">
        <v>582793.49691607023</v>
      </c>
      <c r="AC47" s="17">
        <v>582838.50999504968</v>
      </c>
      <c r="AD47" s="82"/>
      <c r="AE47" s="82">
        <v>602137.31880706013</v>
      </c>
      <c r="AF47" s="82">
        <v>605117.38057514979</v>
      </c>
      <c r="AG47" s="17">
        <v>573566.09835459979</v>
      </c>
      <c r="AH47" s="82"/>
      <c r="AI47" s="82">
        <v>568966.52167730965</v>
      </c>
      <c r="AJ47" s="82">
        <v>566764.38159764046</v>
      </c>
      <c r="AK47" s="17">
        <v>550645.26582483947</v>
      </c>
      <c r="AL47" s="82"/>
      <c r="AM47" s="82">
        <v>585725.91338198993</v>
      </c>
      <c r="AN47" s="213">
        <v>561225.98333552957</v>
      </c>
      <c r="AO47" s="126">
        <v>542318.92348380992</v>
      </c>
      <c r="AP47" s="82"/>
      <c r="AQ47" s="82">
        <v>573485.32967113995</v>
      </c>
      <c r="AR47" s="82">
        <v>580330.52695949993</v>
      </c>
      <c r="AS47" s="17">
        <v>527835.47732971003</v>
      </c>
      <c r="AT47" s="17">
        <v>496465.41624957987</v>
      </c>
      <c r="AU47" s="17">
        <v>416770.29121350026</v>
      </c>
      <c r="AV47" s="126">
        <v>444426.32611565955</v>
      </c>
      <c r="AW47" s="17">
        <v>409992.16190935002</v>
      </c>
      <c r="AX47" s="17">
        <v>373530.15413866</v>
      </c>
      <c r="AY47" s="17">
        <v>380681.19764347008</v>
      </c>
      <c r="AZ47" s="17">
        <v>375315.15023377992</v>
      </c>
      <c r="BA47" s="126">
        <v>358531.48344391002</v>
      </c>
      <c r="BB47" s="17">
        <v>341157.85262443009</v>
      </c>
      <c r="BC47" s="17">
        <v>354182.56420636998</v>
      </c>
      <c r="BD47" s="17">
        <v>311499.33187417005</v>
      </c>
      <c r="BE47" s="17">
        <v>327478.82302164001</v>
      </c>
      <c r="BF47" s="17">
        <v>298050.62127136003</v>
      </c>
      <c r="BG47" s="17">
        <v>290470.52123472001</v>
      </c>
      <c r="BH47" s="17">
        <v>266738.83368712995</v>
      </c>
      <c r="BI47" s="17">
        <v>280249.75666190003</v>
      </c>
      <c r="BJ47" s="17">
        <v>288357.7296008399</v>
      </c>
      <c r="BK47" s="17">
        <v>293680.36184425</v>
      </c>
      <c r="BL47" s="17">
        <v>278100.41251669003</v>
      </c>
      <c r="BM47" s="17">
        <v>274206.25804451003</v>
      </c>
      <c r="BN47" s="17">
        <v>280957.17060170008</v>
      </c>
      <c r="BO47" s="17">
        <v>277630.04158130998</v>
      </c>
      <c r="BP47" s="17">
        <v>287151.34954148001</v>
      </c>
      <c r="BQ47" s="17">
        <v>284715.90787459002</v>
      </c>
      <c r="BR47" s="17">
        <v>292517.89511300006</v>
      </c>
      <c r="BS47" s="1"/>
      <c r="BT47" s="1"/>
      <c r="BU47" s="1"/>
      <c r="BV47" s="1"/>
      <c r="BW47" s="1"/>
      <c r="BX47" s="1"/>
      <c r="BY47" s="1"/>
      <c r="BZ47" s="1"/>
      <c r="CA47" s="1"/>
      <c r="CB47" s="1"/>
      <c r="CC47" s="1"/>
      <c r="CD47" s="1"/>
      <c r="CE47" s="1"/>
      <c r="CF47" s="1"/>
      <c r="CG47" s="1"/>
      <c r="CH47" s="1"/>
    </row>
    <row r="48" spans="1:86" ht="14.1" customHeight="1" x14ac:dyDescent="0.2">
      <c r="A48" s="112">
        <v>48</v>
      </c>
      <c r="B48" s="14" t="str">
        <f>IF($D$2=$E$2,E!B48,'R'!B48)</f>
        <v>Розничные кредиты</v>
      </c>
      <c r="C48" s="115">
        <f ca="1">HLOOKUP(OFFSET($F$42,0,1),$42:$71,$A48-$A$41,0)/IF(OFFSET($F$42,0,3)="",HLOOKUP(DATE(YEAR(OFFSET($F$42,0,1)),1,1),$42:$71,$A48-$A$41,0),IF(YEAR(OFFSET($F$42,0,1))-YEAR(OFFSET($F$42,0,3))=0,HLOOKUP(DATE(YEAR(OFFSET($F$42,0,1)),1,1),$42:$71,$A48-$A$41,0),HLOOKUP(DATE(YEAR(OFFSET($F$42,0,1))-1,1,1),$42:$71,$A48-$A$41,0)))-1</f>
        <v>4.1266682981634162E-2</v>
      </c>
      <c r="D48" s="118"/>
      <c r="E48" s="118">
        <f ca="1">IF(MONTH(OFFSET($F$42,0,1))=1,HLOOKUP(OFFSET($F$42,0,1),$42:$71,$A48-$A$41,0)/HLOOKUP(DATE(YEAR(OFFSET($F$42,0,1))-1,10,1),$42:$71,$A48-$A$41,0)-1,IF(ROUND(MONTH(OFFSET($F$42,0,1))/3,0)&lt;=1,HLOOKUP(OFFSET($F$42,0,1),$42:$71,$A48-$A$41,0)/HLOOKUP(DATE(YEAR(OFFSET($F$42,0,1)),1,1),$42:$71,$A48-$A$41,0)-1,IF(ROUND(MONTH(OFFSET($F$42,0,1))/3,0)&lt;=2,HLOOKUP(OFFSET($F$42,0,1),$42:$71,$A48-$A$41,0)/HLOOKUP(DATE(YEAR(OFFSET($F$42,0,1)),4,1),$42:$71,$A48-$A$41,0)-1,IF(ROUND(MONTH(OFFSET($F$42,0,1))/3,0)&lt;=3,HLOOKUP(OFFSET($F$42,0,1),$42:$71,$A48-$A$41,0)/HLOOKUP(DATE(YEAR(OFFSET($F$42,0,1)),7,1),$42:$71,$A48-$A$41,0)-1,HLOOKUP(OFFSET($F$42,0,1),$42:$71,$A48-$A$41,0)/HLOOKUP(DATE(YEAR(OFFSET($F$42,0,1)),10,1),$42:$71,$A48-$A$41,0)-1))))</f>
        <v>1.9874891274211048E-2</v>
      </c>
      <c r="F48" s="117">
        <f ca="1">HLOOKUP(OFFSET($F$42,0,1),$42:$71,$A48-$A$41,0)/IF(OFFSET($F$42,0,3)="",HLOOKUP(DATE(YEAR(OFFSET($F$42,0,1)),MONTH(OFFSET($F$42,0,1))-1,1),$42:$71,$A48-$A$41,0),IF(YEAR(OFFSET($F$42,0,1))-YEAR(OFFSET($F$42,0,3))=0,HLOOKUP(DATE(YEAR(OFFSET($F$42,0,1)),MONTH(OFFSET($F$42,0,1))-1,1),$42:$71,$A48-$A$41,0),HLOOKUP(DATE(YEAR(OFFSET($F$42,0,1))-1,12,1),$42:$71,$A48-$A$41,0)))-1</f>
        <v>8.3429950820239629E-3</v>
      </c>
      <c r="G48" s="82">
        <v>209996.1576489599</v>
      </c>
      <c r="H48" s="213">
        <v>208258.65670032022</v>
      </c>
      <c r="I48" s="126">
        <v>205903.84119232011</v>
      </c>
      <c r="J48" s="82"/>
      <c r="K48" s="82">
        <v>204402.80339502011</v>
      </c>
      <c r="L48" s="82">
        <v>203330.43542128021</v>
      </c>
      <c r="M48" s="126">
        <v>201673.75090466021</v>
      </c>
      <c r="N48" s="82"/>
      <c r="O48" s="82">
        <v>195296.47134237789</v>
      </c>
      <c r="P48" s="82">
        <v>190808.61896926968</v>
      </c>
      <c r="Q48" s="17">
        <v>186118.75447731008</v>
      </c>
      <c r="R48" s="82"/>
      <c r="S48" s="82">
        <v>181775.4108476101</v>
      </c>
      <c r="T48" s="82">
        <v>177849.2876212195</v>
      </c>
      <c r="U48" s="17">
        <v>175611.55369254021</v>
      </c>
      <c r="V48" s="82"/>
      <c r="W48" s="82">
        <v>174912.9670280999</v>
      </c>
      <c r="X48" s="213">
        <v>173617.03371873999</v>
      </c>
      <c r="Y48" s="126">
        <v>171216.6991115298</v>
      </c>
      <c r="Z48" s="82"/>
      <c r="AA48" s="82">
        <v>167391.44546436</v>
      </c>
      <c r="AB48" s="82">
        <v>163955.8123762102</v>
      </c>
      <c r="AC48" s="126">
        <v>163035.10543075</v>
      </c>
      <c r="AD48" s="82"/>
      <c r="AE48" s="82">
        <v>160875.2230415899</v>
      </c>
      <c r="AF48" s="82">
        <v>160837.3724037307</v>
      </c>
      <c r="AG48" s="17">
        <v>159398.2241450102</v>
      </c>
      <c r="AH48" s="82"/>
      <c r="AI48" s="82">
        <v>159478.7870458907</v>
      </c>
      <c r="AJ48" s="82">
        <v>159498.77636686069</v>
      </c>
      <c r="AK48" s="17">
        <v>159230.71555164098</v>
      </c>
      <c r="AL48" s="82"/>
      <c r="AM48" s="82">
        <v>157041.99675480981</v>
      </c>
      <c r="AN48" s="213">
        <v>156878.3378925008</v>
      </c>
      <c r="AO48" s="126">
        <v>157289.2821832301</v>
      </c>
      <c r="AP48" s="82"/>
      <c r="AQ48" s="82">
        <v>157552.59326572009</v>
      </c>
      <c r="AR48" s="82">
        <v>157700.29005145049</v>
      </c>
      <c r="AS48" s="126">
        <v>158712.4044878796</v>
      </c>
      <c r="AT48" s="17">
        <v>157405.7128141709</v>
      </c>
      <c r="AU48" s="17">
        <v>151046.66371635988</v>
      </c>
      <c r="AV48" s="126">
        <v>145956.93569984988</v>
      </c>
      <c r="AW48" s="126">
        <v>142047.91987875017</v>
      </c>
      <c r="AX48" s="126">
        <v>134519.25596573012</v>
      </c>
      <c r="AY48" s="17">
        <v>129207.27589438997</v>
      </c>
      <c r="AZ48" s="17">
        <v>126980.70886987983</v>
      </c>
      <c r="BA48" s="126">
        <v>118214.96001989015</v>
      </c>
      <c r="BB48" s="17">
        <v>114635.27969800991</v>
      </c>
      <c r="BC48" s="17">
        <v>110886.00384637997</v>
      </c>
      <c r="BD48" s="17">
        <v>104795.55575935</v>
      </c>
      <c r="BE48" s="17">
        <v>104454.31333676999</v>
      </c>
      <c r="BF48" s="17">
        <v>102590.75238829998</v>
      </c>
      <c r="BG48" s="17">
        <v>100495.66236998999</v>
      </c>
      <c r="BH48" s="17">
        <v>98600.633499069998</v>
      </c>
      <c r="BI48" s="17">
        <v>92777.058650950014</v>
      </c>
      <c r="BJ48" s="17">
        <v>89388.391011329979</v>
      </c>
      <c r="BK48" s="17">
        <v>85577.18563117001</v>
      </c>
      <c r="BL48" s="17">
        <v>81935.895389469995</v>
      </c>
      <c r="BM48" s="17">
        <v>77274.515808589989</v>
      </c>
      <c r="BN48" s="17">
        <v>75400.314286310007</v>
      </c>
      <c r="BO48" s="17">
        <v>67759.044361690001</v>
      </c>
      <c r="BP48" s="17">
        <v>62709.959340880006</v>
      </c>
      <c r="BQ48" s="17">
        <v>57379.872491410002</v>
      </c>
      <c r="BR48" s="17">
        <v>55897.382687999998</v>
      </c>
      <c r="BS48" s="1"/>
      <c r="BT48" s="1"/>
      <c r="BU48" s="1"/>
      <c r="BV48" s="1"/>
      <c r="BW48" s="1"/>
      <c r="BX48" s="1"/>
      <c r="BY48" s="1"/>
      <c r="BZ48" s="1"/>
      <c r="CA48" s="1"/>
      <c r="CB48" s="1"/>
      <c r="CC48" s="1"/>
      <c r="CD48" s="1"/>
      <c r="CE48" s="1"/>
      <c r="CF48" s="1"/>
      <c r="CG48" s="1"/>
      <c r="CH48" s="1"/>
    </row>
    <row r="49" spans="1:86" ht="14.1" customHeight="1" x14ac:dyDescent="0.2">
      <c r="A49" s="112">
        <v>49</v>
      </c>
      <c r="B49" s="13" t="str">
        <f>IF($D$2=$E$2,E!B49,'R'!B49)</f>
        <v>Просроченные кредиты / кредиты (гросс)</v>
      </c>
      <c r="C49" s="115"/>
      <c r="D49" s="118"/>
      <c r="E49" s="118"/>
      <c r="F49" s="117"/>
      <c r="G49" s="83">
        <v>1.299231690142889E-2</v>
      </c>
      <c r="H49" s="215">
        <v>1.185666606068125E-2</v>
      </c>
      <c r="I49" s="71">
        <v>1.1539273954106409E-2</v>
      </c>
      <c r="J49" s="83"/>
      <c r="K49" s="83">
        <v>1.7845499662005871E-2</v>
      </c>
      <c r="L49" s="83">
        <v>1.6112509804692209E-2</v>
      </c>
      <c r="M49" s="71">
        <v>1.5906673236920851E-2</v>
      </c>
      <c r="N49" s="83"/>
      <c r="O49" s="83">
        <v>2.0567731081553822E-2</v>
      </c>
      <c r="P49" s="83">
        <v>1.9999860114345729E-2</v>
      </c>
      <c r="Q49" s="23">
        <v>1.89274315366037E-2</v>
      </c>
      <c r="R49" s="83"/>
      <c r="S49" s="83">
        <v>2.288607368828241E-2</v>
      </c>
      <c r="T49" s="83">
        <v>3.0206971247991321E-2</v>
      </c>
      <c r="U49" s="23">
        <v>2.9220088294344079E-2</v>
      </c>
      <c r="V49" s="83"/>
      <c r="W49" s="83">
        <v>3.0100649927167742E-2</v>
      </c>
      <c r="X49" s="215">
        <v>2.6955650432393383E-2</v>
      </c>
      <c r="Y49" s="71">
        <v>2.5332344933863118E-2</v>
      </c>
      <c r="Z49" s="83"/>
      <c r="AA49" s="83">
        <v>2.5524413449211272E-2</v>
      </c>
      <c r="AB49" s="83">
        <v>2.7353390698833937E-2</v>
      </c>
      <c r="AC49" s="71">
        <v>2.7445616513832583E-2</v>
      </c>
      <c r="AD49" s="83"/>
      <c r="AE49" s="83">
        <v>2.7804065520237724E-2</v>
      </c>
      <c r="AF49" s="83">
        <v>2.6805469010622855E-2</v>
      </c>
      <c r="AG49" s="23">
        <v>2.7599283289299725E-2</v>
      </c>
      <c r="AH49" s="83"/>
      <c r="AI49" s="83">
        <v>2.6767121329054046E-2</v>
      </c>
      <c r="AJ49" s="83">
        <v>2.6201434629584561E-2</v>
      </c>
      <c r="AK49" s="23">
        <v>2.3945442482010439E-2</v>
      </c>
      <c r="AL49" s="83"/>
      <c r="AM49" s="83">
        <v>2.2868919962406961E-2</v>
      </c>
      <c r="AN49" s="215">
        <v>2.3784421597729598E-2</v>
      </c>
      <c r="AO49" s="71">
        <v>2.437560118186571E-2</v>
      </c>
      <c r="AP49" s="83"/>
      <c r="AQ49" s="83">
        <v>2.321890573838678E-2</v>
      </c>
      <c r="AR49" s="83">
        <v>2.9101711674951604E-2</v>
      </c>
      <c r="AS49" s="71">
        <v>3.1019130130676285E-2</v>
      </c>
      <c r="AT49" s="23">
        <v>3.9199349570519147E-2</v>
      </c>
      <c r="AU49" s="23">
        <v>4.1179409329593339E-2</v>
      </c>
      <c r="AV49" s="71">
        <v>3.7682863560573231E-2</v>
      </c>
      <c r="AW49" s="71">
        <v>5.0991570040062974E-2</v>
      </c>
      <c r="AX49" s="71">
        <v>5.0634570048165718E-2</v>
      </c>
      <c r="AY49" s="23">
        <v>5.5919484967790499E-2</v>
      </c>
      <c r="AZ49" s="23">
        <v>5.7133911020272841E-2</v>
      </c>
      <c r="BA49" s="71">
        <v>5.5041333350137459E-2</v>
      </c>
      <c r="BB49" s="23">
        <v>4.8696976322150587E-2</v>
      </c>
      <c r="BC49" s="23">
        <v>5.2482087024570863E-2</v>
      </c>
      <c r="BD49" s="23">
        <v>5.3293532202900867E-2</v>
      </c>
      <c r="BE49" s="23">
        <v>5.1754827583893798E-2</v>
      </c>
      <c r="BF49" s="23">
        <v>5.3447033700993053E-2</v>
      </c>
      <c r="BG49" s="23">
        <v>4.7267486997505562E-2</v>
      </c>
      <c r="BH49" s="23">
        <v>4.9768408926739699E-2</v>
      </c>
      <c r="BI49" s="23">
        <v>4.8366571140116332E-2</v>
      </c>
      <c r="BJ49" s="23">
        <v>4.6117948138733982E-2</v>
      </c>
      <c r="BK49" s="23">
        <v>3.8795844928975608E-2</v>
      </c>
      <c r="BL49" s="23">
        <v>4.086703667629811E-2</v>
      </c>
      <c r="BM49" s="23">
        <v>4.2150680070758166E-2</v>
      </c>
      <c r="BN49" s="23">
        <v>4.1599974952934812E-2</v>
      </c>
      <c r="BO49" s="23">
        <v>5.0715566046840251E-2</v>
      </c>
      <c r="BP49" s="23">
        <v>5.2221907756434371E-2</v>
      </c>
      <c r="BQ49" s="23">
        <v>4.6671958312137211E-2</v>
      </c>
      <c r="BR49" s="23">
        <v>3.2583863921386909E-2</v>
      </c>
      <c r="BS49" s="1"/>
      <c r="BT49" s="1"/>
      <c r="BU49" s="1"/>
      <c r="BV49" s="1"/>
      <c r="BW49" s="1"/>
      <c r="BX49" s="1"/>
      <c r="BY49" s="1"/>
      <c r="BZ49" s="1"/>
      <c r="CA49" s="1"/>
      <c r="CB49" s="1"/>
      <c r="CC49" s="1"/>
      <c r="CD49" s="1"/>
      <c r="CE49" s="1"/>
      <c r="CF49" s="1"/>
      <c r="CG49" s="1"/>
      <c r="CH49" s="1"/>
    </row>
    <row r="50" spans="1:86" ht="14.1" customHeight="1" x14ac:dyDescent="0.2">
      <c r="A50" s="112">
        <v>50</v>
      </c>
      <c r="B50" s="13" t="str">
        <f>IF($D$2=$E$2,E!B50,'R'!B50)</f>
        <v>Резервы/просроченные кредиты</v>
      </c>
      <c r="C50" s="115"/>
      <c r="D50" s="118"/>
      <c r="E50" s="118"/>
      <c r="F50" s="117"/>
      <c r="G50" s="84">
        <v>2.1244099597428008</v>
      </c>
      <c r="H50" s="216">
        <v>2.1554218328613399</v>
      </c>
      <c r="I50" s="127">
        <v>2.11328918398846</v>
      </c>
      <c r="J50" s="84"/>
      <c r="K50" s="84">
        <v>1.786414525456437</v>
      </c>
      <c r="L50" s="84">
        <v>1.8063307039826579</v>
      </c>
      <c r="M50" s="127">
        <v>1.8269376471729359</v>
      </c>
      <c r="N50" s="84"/>
      <c r="O50" s="84">
        <v>1.596282265215436</v>
      </c>
      <c r="P50" s="84">
        <v>1.8603666851988341</v>
      </c>
      <c r="Q50" s="24">
        <v>1.8599054400260979</v>
      </c>
      <c r="R50" s="84"/>
      <c r="S50" s="84">
        <v>1.723985270482649</v>
      </c>
      <c r="T50" s="84">
        <v>1.4459037719865859</v>
      </c>
      <c r="U50" s="24">
        <v>1.3454855792385261</v>
      </c>
      <c r="V50" s="84"/>
      <c r="W50" s="84">
        <v>1.280863886382458</v>
      </c>
      <c r="X50" s="216">
        <v>1.556519558385508</v>
      </c>
      <c r="Y50" s="127">
        <v>1.6378183912803721</v>
      </c>
      <c r="Z50" s="84"/>
      <c r="AA50" s="84">
        <v>1.633613168748101</v>
      </c>
      <c r="AB50" s="84">
        <v>1.604850076891724</v>
      </c>
      <c r="AC50" s="127">
        <v>1.6012960577626449</v>
      </c>
      <c r="AD50" s="84"/>
      <c r="AE50" s="84">
        <v>1.546365876061689</v>
      </c>
      <c r="AF50" s="84">
        <v>1.5557366831905139</v>
      </c>
      <c r="AG50" s="24">
        <v>1.5820618899192349</v>
      </c>
      <c r="AH50" s="84"/>
      <c r="AI50" s="84">
        <v>1.6507434468884219</v>
      </c>
      <c r="AJ50" s="84">
        <v>1.608039666684868</v>
      </c>
      <c r="AK50" s="24">
        <v>1.8178576291006801</v>
      </c>
      <c r="AL50" s="84"/>
      <c r="AM50" s="84">
        <v>1.8881829073605489</v>
      </c>
      <c r="AN50" s="216">
        <v>1.8738943914503441</v>
      </c>
      <c r="AO50" s="127">
        <v>1.8776017042173641</v>
      </c>
      <c r="AP50" s="84"/>
      <c r="AQ50" s="84">
        <v>1.8595063900722351</v>
      </c>
      <c r="AR50" s="84">
        <v>1.690741679431975</v>
      </c>
      <c r="AS50" s="127">
        <v>1.702441930984494</v>
      </c>
      <c r="AT50" s="24">
        <v>1.3782544622141886</v>
      </c>
      <c r="AU50" s="24">
        <v>1.5230077786222711</v>
      </c>
      <c r="AV50" s="127">
        <v>1.5757239971130887</v>
      </c>
      <c r="AW50" s="127">
        <v>1.4551599291762498</v>
      </c>
      <c r="AX50" s="127">
        <v>1.4738469177234599</v>
      </c>
      <c r="AY50" s="24">
        <v>1.4433396616445968</v>
      </c>
      <c r="AZ50" s="24">
        <v>1.4253573019172865</v>
      </c>
      <c r="BA50" s="127">
        <v>1.5556598134598101</v>
      </c>
      <c r="BB50" s="24">
        <v>1.7889580278389923</v>
      </c>
      <c r="BC50" s="24">
        <v>1.6313335404056342</v>
      </c>
      <c r="BD50" s="24">
        <v>1.5588463248558508</v>
      </c>
      <c r="BE50" s="24">
        <v>1.492950407384307</v>
      </c>
      <c r="BF50" s="24">
        <v>1.3725818599137887</v>
      </c>
      <c r="BG50" s="24">
        <v>1.670607328212018</v>
      </c>
      <c r="BH50" s="24">
        <v>1.6851770940803559</v>
      </c>
      <c r="BI50" s="24">
        <v>1.6857990222674268</v>
      </c>
      <c r="BJ50" s="24">
        <v>2.3384319826583071</v>
      </c>
      <c r="BK50" s="24">
        <v>2.4185551378356167</v>
      </c>
      <c r="BL50" s="24">
        <v>2.5329586445458059</v>
      </c>
      <c r="BM50" s="24">
        <v>2.5182321483893957</v>
      </c>
      <c r="BN50" s="24">
        <v>2.5693860471340035</v>
      </c>
      <c r="BO50" s="24">
        <v>2.1889714281443924</v>
      </c>
      <c r="BP50" s="24">
        <v>2.0683356826702362</v>
      </c>
      <c r="BQ50" s="24">
        <v>2.2782280509886483</v>
      </c>
      <c r="BR50" s="24">
        <v>2.9865051103591975</v>
      </c>
      <c r="BS50" s="1"/>
      <c r="BT50" s="1"/>
      <c r="BU50" s="1"/>
      <c r="BV50" s="1"/>
      <c r="BW50" s="1"/>
      <c r="BX50" s="1"/>
      <c r="BY50" s="1"/>
      <c r="BZ50" s="1"/>
      <c r="CA50" s="1"/>
      <c r="CB50" s="1"/>
      <c r="CC50" s="1"/>
      <c r="CD50" s="1"/>
      <c r="CE50" s="1"/>
      <c r="CF50" s="1"/>
      <c r="CG50" s="1"/>
      <c r="CH50" s="1"/>
    </row>
    <row r="51" spans="1:86" ht="14.1" customHeight="1" x14ac:dyDescent="0.2">
      <c r="A51" s="112">
        <v>51</v>
      </c>
      <c r="B51" s="20" t="str">
        <f>IF($D$2=$E$2,E!B51,'R'!B51)</f>
        <v>Средства клиентов</v>
      </c>
      <c r="C51" s="119">
        <f ca="1">HLOOKUP(OFFSET($F$42,0,1),$42:$71,$A51-$A$41,0)/IF(OFFSET($F$42,0,3)="",HLOOKUP(DATE(YEAR(OFFSET($F$42,0,1)),1,1),$42:$71,$A51-$A$41,0),IF(YEAR(OFFSET($F$42,0,1))-YEAR(OFFSET($F$42,0,3))=0,HLOOKUP(DATE(YEAR(OFFSET($F$42,0,1)),1,1),$42:$71,$A51-$A$41,0),HLOOKUP(DATE(YEAR(OFFSET($F$42,0,1))-1,1,1),$42:$71,$A51-$A$41,0)))-1</f>
        <v>2.468955633464831E-2</v>
      </c>
      <c r="D51" s="120"/>
      <c r="E51" s="120">
        <f ca="1">IF(MONTH(OFFSET($F$42,0,1))=1,HLOOKUP(OFFSET($F$42,0,1),$42:$71,$A51-$A$41,0)/HLOOKUP(DATE(YEAR(OFFSET($F$42,0,1))-1,10,1),$42:$71,$A51-$A$41,0)-1,IF(ROUND(MONTH(OFFSET($F$42,0,1))/3,0)&lt;=1,HLOOKUP(OFFSET($F$42,0,1),$42:$71,$A51-$A$41,0)/HLOOKUP(DATE(YEAR(OFFSET($F$42,0,1)),1,1),$42:$71,$A51-$A$41,0)-1,IF(ROUND(MONTH(OFFSET($F$42,0,1))/3,0)&lt;=2,HLOOKUP(OFFSET($F$42,0,1),$42:$71,$A51-$A$41,0)/HLOOKUP(DATE(YEAR(OFFSET($F$42,0,1)),4,1),$42:$71,$A51-$A$41,0)-1,IF(ROUND(MONTH(OFFSET($F$42,0,1))/3,0)&lt;=3,HLOOKUP(OFFSET($F$42,0,1),$42:$71,$A51-$A$41,0)/HLOOKUP(DATE(YEAR(OFFSET($F$42,0,1)),7,1),$42:$71,$A51-$A$41,0)-1,HLOOKUP(OFFSET($F$42,0,1),$42:$71,$A51-$A$41,0)/HLOOKUP(DATE(YEAR(OFFSET($F$42,0,1)),10,1),$42:$71,$A51-$A$41,0)-1))))</f>
        <v>4.9619653201005143E-3</v>
      </c>
      <c r="F51" s="121">
        <f ca="1">HLOOKUP(OFFSET($F$42,0,1),$42:$71,$A51-$A$41,0)/IF(OFFSET($F$42,0,3)="",HLOOKUP(DATE(YEAR(OFFSET($F$42,0,1)),MONTH(OFFSET($F$42,0,1))-1,1),$42:$71,$A51-$A$41,0),IF(YEAR(OFFSET($F$42,0,1))-YEAR(OFFSET($F$42,0,3))=0,HLOOKUP(DATE(YEAR(OFFSET($F$42,0,1)),MONTH(OFFSET($F$42,0,1))-1,1),$42:$71,$A51-$A$41,0),HLOOKUP(DATE(YEAR(OFFSET($F$42,0,1))-1,12,1),$42:$71,$A51-$A$41,0)))-1</f>
        <v>1.8349439884207897E-2</v>
      </c>
      <c r="G51" s="81">
        <f t="shared" ref="G51" si="301">SUM(G52:G53)</f>
        <v>895790.34498621081</v>
      </c>
      <c r="H51" s="212">
        <f t="shared" ref="H51" si="302">SUM(H52:H53)</f>
        <v>879649.27352252207</v>
      </c>
      <c r="I51" s="43">
        <f>SUM(I52:I53)</f>
        <v>891367.410806322</v>
      </c>
      <c r="J51" s="81"/>
      <c r="K51" s="81">
        <f t="shared" ref="K51" si="303">SUM(K52:K53)</f>
        <v>891095.79180019337</v>
      </c>
      <c r="L51" s="81">
        <f t="shared" ref="L51" si="304">SUM(L52:L53)</f>
        <v>875383.13786642579</v>
      </c>
      <c r="M51" s="15">
        <f t="shared" ref="M51" si="305">SUM(M52:M53)</f>
        <v>874206.57256475359</v>
      </c>
      <c r="N51" s="81"/>
      <c r="O51" s="81">
        <f t="shared" ref="O51" si="306">SUM(O52:O53)</f>
        <v>855111.81729005813</v>
      </c>
      <c r="P51" s="81">
        <f t="shared" ref="P51" si="307">SUM(P52:P53)</f>
        <v>849402.76134755951</v>
      </c>
      <c r="Q51" s="15">
        <f>SUM(Q52:Q53)</f>
        <v>840863.84197607473</v>
      </c>
      <c r="R51" s="81"/>
      <c r="S51" s="81">
        <f t="shared" ref="S51" si="308">SUM(S52:S53)</f>
        <v>732769.1656367525</v>
      </c>
      <c r="T51" s="81">
        <f t="shared" ref="T51" si="309">SUM(T52:T53)</f>
        <v>737762.86552904965</v>
      </c>
      <c r="U51" s="15">
        <f>SUM(U52:U53)</f>
        <v>745708.50306308805</v>
      </c>
      <c r="V51" s="81"/>
      <c r="W51" s="81">
        <f t="shared" ref="W51" si="310">SUM(W52:W53)</f>
        <v>730457.97678298457</v>
      </c>
      <c r="X51" s="212">
        <f t="shared" ref="X51" si="311">SUM(X52:X53)</f>
        <v>715749.49501783843</v>
      </c>
      <c r="Y51" s="43">
        <f>SUM(Y52:Y53)</f>
        <v>721030.72100609401</v>
      </c>
      <c r="Z51" s="81"/>
      <c r="AA51" s="81">
        <f t="shared" ref="AA51" si="312">SUM(AA52:AA53)</f>
        <v>710406.63212104491</v>
      </c>
      <c r="AB51" s="81">
        <f t="shared" ref="AB51" si="313">SUM(AB52:AB53)</f>
        <v>704947.87549455976</v>
      </c>
      <c r="AC51" s="15">
        <f t="shared" ref="AC51" si="314">SUM(AC52:AC53)</f>
        <v>711585.82375259511</v>
      </c>
      <c r="AD51" s="81"/>
      <c r="AE51" s="81">
        <f t="shared" ref="AE51" si="315">SUM(AE52:AE53)</f>
        <v>665238.43371443753</v>
      </c>
      <c r="AF51" s="81">
        <f t="shared" ref="AF51" si="316">SUM(AF52:AF53)</f>
        <v>624019.23603069456</v>
      </c>
      <c r="AG51" s="15">
        <f>SUM(AG52:AG53)</f>
        <v>616375.81672781031</v>
      </c>
      <c r="AH51" s="81"/>
      <c r="AI51" s="81">
        <f t="shared" ref="AI51" si="317">SUM(AI52:AI53)</f>
        <v>626561.12446148007</v>
      </c>
      <c r="AJ51" s="81">
        <f t="shared" ref="AJ51" si="318">SUM(AJ52:AJ53)</f>
        <v>642649.19764146896</v>
      </c>
      <c r="AK51" s="15">
        <f>SUM(AK52:AK53)</f>
        <v>651096.30115313549</v>
      </c>
      <c r="AL51" s="81"/>
      <c r="AM51" s="81">
        <f t="shared" ref="AM51" si="319">SUM(AM52:AM53)</f>
        <v>642082.44951206166</v>
      </c>
      <c r="AN51" s="212">
        <f t="shared" ref="AN51" si="320">SUM(AN52:AN53)</f>
        <v>652198.65035044844</v>
      </c>
      <c r="AO51" s="43">
        <f>SUM(AO52:AO53)</f>
        <v>644606.36250832817</v>
      </c>
      <c r="AP51" s="81"/>
      <c r="AQ51" s="81">
        <f t="shared" ref="AQ51" si="321">SUM(AQ52:AQ53)</f>
        <v>645165.75389035849</v>
      </c>
      <c r="AR51" s="81">
        <f t="shared" ref="AR51" si="322">SUM(AR52:AR53)</f>
        <v>649391.22409115662</v>
      </c>
      <c r="AS51" s="15">
        <f t="shared" ref="AS51" si="323">SUM(AS52:AS53)</f>
        <v>647410.39467222674</v>
      </c>
      <c r="AT51" s="15">
        <f>SUM(AT52:AT53)</f>
        <v>610342.91095281555</v>
      </c>
      <c r="AU51" s="15">
        <f>SUM(AU52:AU53)</f>
        <v>576901.65771797858</v>
      </c>
      <c r="AV51" s="43">
        <f>SUM(AV52:AV53)</f>
        <v>585636.285219974</v>
      </c>
      <c r="AW51" s="15">
        <f t="shared" ref="AW51" si="324">SUM(AW52:AW53)</f>
        <v>645600.4205439603</v>
      </c>
      <c r="AX51" s="15">
        <f t="shared" ref="AX51" si="325">SUM(AX52:AX53)</f>
        <v>505928.72950190096</v>
      </c>
      <c r="AY51" s="15">
        <f t="shared" ref="AY51" si="326">SUM(AY52:AY53)</f>
        <v>493834.13503785082</v>
      </c>
      <c r="AZ51" s="15">
        <f>SUM(AZ52:AZ53)</f>
        <v>494854.78200533951</v>
      </c>
      <c r="BA51" s="43">
        <f>SUM(BA52:BA53)</f>
        <v>492074.34398880089</v>
      </c>
      <c r="BB51" s="15">
        <f t="shared" ref="BB51" si="327">SUM(BB52:BB53)</f>
        <v>483560.72241146961</v>
      </c>
      <c r="BC51" s="15">
        <v>476309.77742667001</v>
      </c>
      <c r="BD51" s="15">
        <f>SUM(BD52:BD53)</f>
        <v>432079.21090209146</v>
      </c>
      <c r="BE51" s="15">
        <f>SUM(BE52:BE53)</f>
        <v>434391.29200000002</v>
      </c>
      <c r="BF51" s="15">
        <v>415879.91164695</v>
      </c>
      <c r="BG51" s="15">
        <v>415014.95600000001</v>
      </c>
      <c r="BH51" s="15">
        <v>398507.43908968003</v>
      </c>
      <c r="BI51" s="15">
        <v>404152.85919440002</v>
      </c>
      <c r="BJ51" s="15">
        <v>412976.41399999999</v>
      </c>
      <c r="BK51" s="15">
        <v>379438.35151594999</v>
      </c>
      <c r="BL51" s="15">
        <v>362961.84</v>
      </c>
      <c r="BM51" s="15">
        <v>352228.28</v>
      </c>
      <c r="BN51" s="15">
        <v>359234.85200000001</v>
      </c>
      <c r="BO51" s="15">
        <v>334562.147</v>
      </c>
      <c r="BP51" s="15">
        <v>322527.8</v>
      </c>
      <c r="BQ51" s="15">
        <v>325302.04300000001</v>
      </c>
      <c r="BR51" s="15">
        <v>355027.58399999997</v>
      </c>
      <c r="BS51" s="1"/>
      <c r="BT51" s="1"/>
      <c r="BU51" s="1"/>
      <c r="BV51" s="1"/>
      <c r="BW51" s="1"/>
      <c r="BX51" s="1"/>
      <c r="BY51" s="1"/>
      <c r="BZ51" s="1"/>
      <c r="CA51" s="1"/>
      <c r="CB51" s="1"/>
      <c r="CC51" s="1"/>
      <c r="CD51" s="1"/>
      <c r="CE51" s="1"/>
      <c r="CF51" s="1"/>
      <c r="CG51" s="1"/>
      <c r="CH51" s="1"/>
    </row>
    <row r="52" spans="1:86" ht="14.1" customHeight="1" x14ac:dyDescent="0.2">
      <c r="A52" s="112">
        <v>52</v>
      </c>
      <c r="B52" s="18" t="str">
        <f>IF($D$2=$E$2,E!B52,'R'!B52)</f>
        <v>Средства корпоративных клиентов</v>
      </c>
      <c r="C52" s="115">
        <f ca="1">HLOOKUP(OFFSET($F$42,0,1),$42:$71,$A52-$A$41,0)/IF(OFFSET($F$42,0,3)="",HLOOKUP(DATE(YEAR(OFFSET($F$42,0,1)),1,1),$42:$71,$A52-$A$41,0),IF(YEAR(OFFSET($F$42,0,1))-YEAR(OFFSET($F$42,0,3))=0,HLOOKUP(DATE(YEAR(OFFSET($F$42,0,1)),1,1),$42:$71,$A52-$A$41,0),HLOOKUP(DATE(YEAR(OFFSET($F$42,0,1))-1,1,1),$42:$71,$A52-$A$41,0)))-1</f>
        <v>8.5037579888314063E-4</v>
      </c>
      <c r="D52" s="118"/>
      <c r="E52" s="118">
        <f ca="1">IF(MONTH(OFFSET($F$42,0,1))=1,HLOOKUP(OFFSET($F$42,0,1),$42:$71,$A52-$A$41,0)/HLOOKUP(DATE(YEAR(OFFSET($F$42,0,1))-1,10,1),$42:$71,$A52-$A$41,0)-1,IF(ROUND(MONTH(OFFSET($F$42,0,1))/3,0)&lt;=1,HLOOKUP(OFFSET($F$42,0,1),$42:$71,$A52-$A$41,0)/HLOOKUP(DATE(YEAR(OFFSET($F$42,0,1)),1,1),$42:$71,$A52-$A$41,0)-1,IF(ROUND(MONTH(OFFSET($F$42,0,1))/3,0)&lt;=2,HLOOKUP(OFFSET($F$42,0,1),$42:$71,$A52-$A$41,0)/HLOOKUP(DATE(YEAR(OFFSET($F$42,0,1)),4,1),$42:$71,$A52-$A$41,0)-1,IF(ROUND(MONTH(OFFSET($F$42,0,1))/3,0)&lt;=3,HLOOKUP(OFFSET($F$42,0,1),$42:$71,$A52-$A$41,0)/HLOOKUP(DATE(YEAR(OFFSET($F$42,0,1)),7,1),$42:$71,$A52-$A$41,0)-1,HLOOKUP(OFFSET($F$42,0,1),$42:$71,$A52-$A$41,0)/HLOOKUP(DATE(YEAR(OFFSET($F$42,0,1)),10,1),$42:$71,$A52-$A$41,0)-1))))</f>
        <v>-6.3910905962729636E-3</v>
      </c>
      <c r="F52" s="117">
        <f ca="1">HLOOKUP(OFFSET($F$42,0,1),$42:$71,$A52-$A$41,0)/IF(OFFSET($F$42,0,3)="",HLOOKUP(DATE(YEAR(OFFSET($F$42,0,1)),MONTH(OFFSET($F$42,0,1))-1,1),$42:$71,$A52-$A$41,0),IF(YEAR(OFFSET($F$42,0,1))-YEAR(OFFSET($F$42,0,3))=0,HLOOKUP(DATE(YEAR(OFFSET($F$42,0,1)),MONTH(OFFSET($F$42,0,1))-1,1),$42:$71,$A52-$A$41,0),HLOOKUP(DATE(YEAR(OFFSET($F$42,0,1))-1,12,1),$42:$71,$A52-$A$41,0)))-1</f>
        <v>2.273355215714612E-2</v>
      </c>
      <c r="G52" s="82">
        <v>366058.2223154477</v>
      </c>
      <c r="H52" s="213">
        <v>357921.39755595085</v>
      </c>
      <c r="I52" s="126">
        <v>368412.78178063268</v>
      </c>
      <c r="J52" s="82"/>
      <c r="K52" s="82">
        <v>379244.00179026596</v>
      </c>
      <c r="L52" s="82">
        <v>374344.86460913363</v>
      </c>
      <c r="M52" s="17">
        <v>365747.19974827248</v>
      </c>
      <c r="N52" s="82"/>
      <c r="O52" s="82">
        <v>369691.1094762201</v>
      </c>
      <c r="P52" s="82">
        <v>362168.05562457029</v>
      </c>
      <c r="Q52" s="17">
        <v>363187.81625875906</v>
      </c>
      <c r="R52" s="82"/>
      <c r="S52" s="82">
        <v>259664.53320297119</v>
      </c>
      <c r="T52" s="82">
        <v>267328.19325376977</v>
      </c>
      <c r="U52" s="17">
        <v>274156.95805616997</v>
      </c>
      <c r="V52" s="82"/>
      <c r="W52" s="82">
        <v>267984.95932081999</v>
      </c>
      <c r="X52" s="213">
        <v>263970.84718414949</v>
      </c>
      <c r="Y52" s="126">
        <v>270599.4664702497</v>
      </c>
      <c r="Z52" s="82"/>
      <c r="AA52" s="82">
        <v>269942.42495145032</v>
      </c>
      <c r="AB52" s="82">
        <v>276355.17904669</v>
      </c>
      <c r="AC52" s="17">
        <v>284476.99929106998</v>
      </c>
      <c r="AD52" s="82"/>
      <c r="AE52" s="82">
        <v>267542.34571379988</v>
      </c>
      <c r="AF52" s="82">
        <v>234425.57749630036</v>
      </c>
      <c r="AG52" s="17">
        <v>247647.20181251995</v>
      </c>
      <c r="AH52" s="82"/>
      <c r="AI52" s="82">
        <v>254290.04914832048</v>
      </c>
      <c r="AJ52" s="82">
        <v>259825.17787112942</v>
      </c>
      <c r="AK52" s="17">
        <v>262934.73174848285</v>
      </c>
      <c r="AL52" s="82"/>
      <c r="AM52" s="82">
        <v>253514.17304804033</v>
      </c>
      <c r="AN52" s="213">
        <v>263231.32808853069</v>
      </c>
      <c r="AO52" s="126">
        <v>249337.88844393953</v>
      </c>
      <c r="AP52" s="82"/>
      <c r="AQ52" s="82">
        <v>245978.89856579975</v>
      </c>
      <c r="AR52" s="82">
        <v>258821.53273169079</v>
      </c>
      <c r="AS52" s="17">
        <v>256225.62196849022</v>
      </c>
      <c r="AT52" s="17">
        <v>248025.96800112005</v>
      </c>
      <c r="AU52" s="17">
        <v>238032.49393881042</v>
      </c>
      <c r="AV52" s="126">
        <v>258590.46899766047</v>
      </c>
      <c r="AW52" s="17">
        <v>320406.43735472986</v>
      </c>
      <c r="AX52" s="17">
        <v>213340.91512911013</v>
      </c>
      <c r="AY52" s="17">
        <v>213289.30878624998</v>
      </c>
      <c r="AZ52" s="17">
        <v>225678.28461720922</v>
      </c>
      <c r="BA52" s="126">
        <v>230919.96492850001</v>
      </c>
      <c r="BB52" s="17">
        <v>209891.47524126986</v>
      </c>
      <c r="BC52" s="17">
        <v>212410.49216951642</v>
      </c>
      <c r="BD52" s="17">
        <v>184430.13180355352</v>
      </c>
      <c r="BE52" s="17">
        <v>180788.935</v>
      </c>
      <c r="BF52" s="17">
        <v>169441.6820299</v>
      </c>
      <c r="BG52" s="17">
        <v>175613.350796454</v>
      </c>
      <c r="BH52" s="17">
        <v>152735.6207195771</v>
      </c>
      <c r="BI52" s="17">
        <v>164568.37480931188</v>
      </c>
      <c r="BJ52" s="17">
        <v>166747.65900000001</v>
      </c>
      <c r="BK52" s="17">
        <v>155929.941983161</v>
      </c>
      <c r="BL52" s="17">
        <v>149386.42190165</v>
      </c>
      <c r="BM52" s="17">
        <v>148017.7136435</v>
      </c>
      <c r="BN52" s="17">
        <v>155439.01800000001</v>
      </c>
      <c r="BO52" s="17">
        <v>143510.51999999999</v>
      </c>
      <c r="BP52" s="17">
        <v>125790.205</v>
      </c>
      <c r="BQ52" s="17">
        <v>142621.50599999999</v>
      </c>
      <c r="BR52" s="17">
        <v>169552.359</v>
      </c>
      <c r="BS52" s="1"/>
      <c r="BT52" s="1"/>
      <c r="BU52" s="1"/>
      <c r="BV52" s="1"/>
      <c r="BW52" s="1"/>
      <c r="BX52" s="1"/>
      <c r="BY52" s="1"/>
      <c r="BZ52" s="1"/>
      <c r="CA52" s="1"/>
      <c r="CB52" s="1"/>
      <c r="CC52" s="1"/>
      <c r="CD52" s="1"/>
      <c r="CE52" s="1"/>
      <c r="CF52" s="1"/>
      <c r="CG52" s="1"/>
      <c r="CH52" s="1"/>
    </row>
    <row r="53" spans="1:86" ht="14.1" customHeight="1" x14ac:dyDescent="0.2">
      <c r="A53" s="112">
        <v>53</v>
      </c>
      <c r="B53" s="18" t="str">
        <f>IF($D$2=$E$2,E!B53,'R'!B53)</f>
        <v>Средства розничных клиентов</v>
      </c>
      <c r="C53" s="115">
        <f ca="1">HLOOKUP(OFFSET($F$42,0,1),$42:$71,$A53-$A$41,0)/IF(OFFSET($F$42,0,3)="",HLOOKUP(DATE(YEAR(OFFSET($F$42,0,1)),1,1),$42:$71,$A53-$A$41,0),IF(YEAR(OFFSET($F$42,0,1))-YEAR(OFFSET($F$42,0,3))=0,HLOOKUP(DATE(YEAR(OFFSET($F$42,0,1)),1,1),$42:$71,$A53-$A$41,0),HLOOKUP(DATE(YEAR(OFFSET($F$42,0,1))-1,1,1),$42:$71,$A53-$A$41,0)))-1</f>
        <v>4.1837658998096439E-2</v>
      </c>
      <c r="D53" s="118"/>
      <c r="E53" s="118">
        <f ca="1">IF(MONTH(OFFSET($F$42,0,1))=1,HLOOKUP(OFFSET($F$42,0,1),$42:$71,$A53-$A$41,0)/HLOOKUP(DATE(YEAR(OFFSET($F$42,0,1))-1,10,1),$42:$71,$A53-$A$41,0)-1,IF(ROUND(MONTH(OFFSET($F$42,0,1))/3,0)&lt;=1,HLOOKUP(OFFSET($F$42,0,1),$42:$71,$A53-$A$41,0)/HLOOKUP(DATE(YEAR(OFFSET($F$42,0,1)),1,1),$42:$71,$A53-$A$41,0)-1,IF(ROUND(MONTH(OFFSET($F$42,0,1))/3,0)&lt;=2,HLOOKUP(OFFSET($F$42,0,1),$42:$71,$A53-$A$41,0)/HLOOKUP(DATE(YEAR(OFFSET($F$42,0,1)),4,1),$42:$71,$A53-$A$41,0)-1,IF(ROUND(MONTH(OFFSET($F$42,0,1))/3,0)&lt;=3,HLOOKUP(OFFSET($F$42,0,1),$42:$71,$A53-$A$41,0)/HLOOKUP(DATE(YEAR(OFFSET($F$42,0,1)),7,1),$42:$71,$A53-$A$41,0)-1,HLOOKUP(OFFSET($F$42,0,1),$42:$71,$A53-$A$41,0)/HLOOKUP(DATE(YEAR(OFFSET($F$42,0,1)),10,1),$42:$71,$A53-$A$41,0)-1))))</f>
        <v>1.2960003160696454E-2</v>
      </c>
      <c r="F53" s="117">
        <f ca="1">HLOOKUP(OFFSET($F$42,0,1),$42:$71,$A53-$A$41,0)/IF(OFFSET($F$42,0,3)="",HLOOKUP(DATE(YEAR(OFFSET($F$42,0,1)),MONTH(OFFSET($F$42,0,1))-1,1),$42:$71,$A53-$A$41,0),IF(YEAR(OFFSET($F$42,0,1))-YEAR(OFFSET($F$42,0,3))=0,HLOOKUP(DATE(YEAR(OFFSET($F$42,0,1)),MONTH(OFFSET($F$42,0,1))-1,1),$42:$71,$A53-$A$41,0),HLOOKUP(DATE(YEAR(OFFSET($F$42,0,1))-1,12,1),$42:$71,$A53-$A$41,0)))-1</f>
        <v>1.5341803788733621E-2</v>
      </c>
      <c r="G53" s="82">
        <v>529732.12267076306</v>
      </c>
      <c r="H53" s="213">
        <v>521727.87596657121</v>
      </c>
      <c r="I53" s="126">
        <v>522954.62902568933</v>
      </c>
      <c r="J53" s="82"/>
      <c r="K53" s="82">
        <v>511851.79000992741</v>
      </c>
      <c r="L53" s="82">
        <v>501038.27325729223</v>
      </c>
      <c r="M53" s="17">
        <v>508459.3728164811</v>
      </c>
      <c r="N53" s="82"/>
      <c r="O53" s="82">
        <v>485420.70781383803</v>
      </c>
      <c r="P53" s="82">
        <v>487234.70572298922</v>
      </c>
      <c r="Q53" s="17">
        <v>477676.02571731561</v>
      </c>
      <c r="R53" s="82"/>
      <c r="S53" s="82">
        <v>473104.63243378134</v>
      </c>
      <c r="T53" s="82">
        <v>470434.67227527982</v>
      </c>
      <c r="U53" s="17">
        <v>471551.54500691802</v>
      </c>
      <c r="V53" s="82"/>
      <c r="W53" s="82">
        <v>462473.01746216463</v>
      </c>
      <c r="X53" s="213">
        <v>451778.64783368894</v>
      </c>
      <c r="Y53" s="126">
        <v>450431.25453584432</v>
      </c>
      <c r="Z53" s="82"/>
      <c r="AA53" s="82">
        <v>440464.20716959459</v>
      </c>
      <c r="AB53" s="82">
        <v>428592.69644786976</v>
      </c>
      <c r="AC53" s="17">
        <v>427108.82446152513</v>
      </c>
      <c r="AD53" s="82"/>
      <c r="AE53" s="82">
        <v>397696.08800063771</v>
      </c>
      <c r="AF53" s="82">
        <v>389593.65853439423</v>
      </c>
      <c r="AG53" s="17">
        <v>368728.61491529038</v>
      </c>
      <c r="AH53" s="82"/>
      <c r="AI53" s="82">
        <v>372271.07531315961</v>
      </c>
      <c r="AJ53" s="82">
        <v>382824.01977033954</v>
      </c>
      <c r="AK53" s="17">
        <v>388161.56940465269</v>
      </c>
      <c r="AL53" s="82"/>
      <c r="AM53" s="82">
        <v>388568.2764640213</v>
      </c>
      <c r="AN53" s="213">
        <v>388967.32226191775</v>
      </c>
      <c r="AO53" s="126">
        <v>395268.47406438866</v>
      </c>
      <c r="AP53" s="82"/>
      <c r="AQ53" s="82">
        <v>399186.85532455874</v>
      </c>
      <c r="AR53" s="82">
        <v>390569.69135946588</v>
      </c>
      <c r="AS53" s="17">
        <v>391184.7727037365</v>
      </c>
      <c r="AT53" s="17">
        <v>362316.94295169547</v>
      </c>
      <c r="AU53" s="17">
        <v>338869.16377916822</v>
      </c>
      <c r="AV53" s="126">
        <v>327045.81622231356</v>
      </c>
      <c r="AW53" s="17">
        <v>325193.98318923049</v>
      </c>
      <c r="AX53" s="17">
        <v>292587.8143727908</v>
      </c>
      <c r="AY53" s="17">
        <v>280544.82625160081</v>
      </c>
      <c r="AZ53" s="17">
        <v>269176.49738813029</v>
      </c>
      <c r="BA53" s="126">
        <v>261154.37906030091</v>
      </c>
      <c r="BB53" s="17">
        <v>273669.24717019976</v>
      </c>
      <c r="BC53" s="17">
        <v>263899.28474375029</v>
      </c>
      <c r="BD53" s="17">
        <v>247649.07909853791</v>
      </c>
      <c r="BE53" s="17">
        <v>253602.35699999999</v>
      </c>
      <c r="BF53" s="17">
        <v>246438.22942426</v>
      </c>
      <c r="BG53" s="17">
        <v>239401.60532053601</v>
      </c>
      <c r="BH53" s="17">
        <v>245771.81890624546</v>
      </c>
      <c r="BI53" s="17">
        <v>239584.48333611924</v>
      </c>
      <c r="BJ53" s="17">
        <v>246228.755</v>
      </c>
      <c r="BK53" s="17">
        <v>223508.41054881699</v>
      </c>
      <c r="BL53" s="17">
        <v>213575.41855845999</v>
      </c>
      <c r="BM53" s="17">
        <v>204210.56585501001</v>
      </c>
      <c r="BN53" s="17">
        <v>203795.834</v>
      </c>
      <c r="BO53" s="17">
        <v>191051.62599999999</v>
      </c>
      <c r="BP53" s="17">
        <v>196737.59400000001</v>
      </c>
      <c r="BQ53" s="17">
        <v>182680.538</v>
      </c>
      <c r="BR53" s="17">
        <v>185475.22500000001</v>
      </c>
      <c r="BS53" s="1"/>
      <c r="BT53" s="1"/>
      <c r="BU53" s="1"/>
      <c r="BV53" s="1"/>
      <c r="BW53" s="1"/>
      <c r="BX53" s="1"/>
      <c r="BY53" s="1"/>
      <c r="BZ53" s="1"/>
      <c r="CA53" s="1"/>
      <c r="CB53" s="1"/>
      <c r="CC53" s="1"/>
      <c r="CD53" s="1"/>
      <c r="CE53" s="1"/>
      <c r="CF53" s="1"/>
      <c r="CG53" s="1"/>
      <c r="CH53" s="1"/>
    </row>
    <row r="54" spans="1:86" ht="14.1" customHeight="1" x14ac:dyDescent="0.2">
      <c r="A54" s="112">
        <v>54</v>
      </c>
      <c r="B54" s="18"/>
      <c r="C54" s="115"/>
      <c r="D54" s="118"/>
      <c r="E54" s="118"/>
      <c r="F54" s="117"/>
      <c r="G54" s="82"/>
      <c r="H54" s="213"/>
      <c r="I54" s="202"/>
      <c r="J54" s="82"/>
      <c r="K54" s="82"/>
      <c r="L54" s="82"/>
      <c r="M54" s="199"/>
      <c r="N54" s="82"/>
      <c r="O54" s="82"/>
      <c r="P54" s="82"/>
      <c r="Q54" s="17"/>
      <c r="R54" s="82"/>
      <c r="S54" s="82"/>
      <c r="T54" s="82"/>
      <c r="U54" s="17"/>
      <c r="V54" s="82"/>
      <c r="W54" s="82"/>
      <c r="X54" s="213"/>
      <c r="Y54" s="202"/>
      <c r="Z54" s="82"/>
      <c r="AA54" s="82"/>
      <c r="AB54" s="82"/>
      <c r="AC54" s="199"/>
      <c r="AD54" s="82"/>
      <c r="AE54" s="82"/>
      <c r="AF54" s="82"/>
      <c r="AG54" s="17"/>
      <c r="AH54" s="82"/>
      <c r="AI54" s="82"/>
      <c r="AJ54" s="82"/>
      <c r="AK54" s="17"/>
      <c r="AL54" s="82"/>
      <c r="AM54" s="82"/>
      <c r="AN54" s="213"/>
      <c r="AO54" s="202"/>
      <c r="AP54" s="82"/>
      <c r="AQ54" s="82"/>
      <c r="AR54" s="82"/>
      <c r="AS54" s="199"/>
      <c r="AT54" s="17"/>
      <c r="AU54" s="17"/>
      <c r="AV54" s="126"/>
      <c r="AW54" s="17"/>
      <c r="AX54" s="17"/>
      <c r="AY54" s="17"/>
      <c r="AZ54" s="17"/>
      <c r="BA54" s="126"/>
      <c r="BB54" s="17"/>
      <c r="BC54" s="17"/>
      <c r="BD54" s="17"/>
      <c r="BE54" s="17"/>
      <c r="BF54" s="17"/>
      <c r="BG54" s="17"/>
      <c r="BH54" s="17"/>
      <c r="BI54" s="17"/>
      <c r="BJ54" s="17"/>
      <c r="BK54" s="17"/>
      <c r="BL54" s="17"/>
      <c r="BM54" s="17"/>
      <c r="BN54" s="17"/>
      <c r="BO54" s="17"/>
      <c r="BP54" s="17"/>
      <c r="BQ54" s="17"/>
      <c r="BR54" s="17"/>
      <c r="BS54" s="1"/>
      <c r="BT54" s="1"/>
      <c r="BU54" s="1"/>
      <c r="BV54" s="1"/>
      <c r="BW54" s="1"/>
      <c r="BX54" s="1"/>
      <c r="BY54" s="1"/>
      <c r="BZ54" s="1"/>
      <c r="CA54" s="1"/>
      <c r="CB54" s="1"/>
      <c r="CC54" s="1"/>
      <c r="CD54" s="1"/>
      <c r="CE54" s="1"/>
      <c r="CF54" s="1"/>
      <c r="CG54" s="1"/>
      <c r="CH54" s="1"/>
    </row>
    <row r="55" spans="1:86" ht="14.1" customHeight="1" x14ac:dyDescent="0.2">
      <c r="A55" s="112">
        <v>55</v>
      </c>
      <c r="B55" s="20" t="str">
        <f>IF($D$2=$E$2,E!B55,'R'!B55)</f>
        <v>Cost-of-Risk</v>
      </c>
      <c r="C55" s="115"/>
      <c r="D55" s="118"/>
      <c r="E55" s="118"/>
      <c r="F55" s="117"/>
      <c r="G55" s="82"/>
      <c r="H55" s="207"/>
      <c r="I55" s="126"/>
      <c r="J55" s="82"/>
      <c r="K55" s="82"/>
      <c r="L55" s="82"/>
      <c r="M55" s="17"/>
      <c r="N55" s="82"/>
      <c r="O55" s="82"/>
      <c r="P55" s="82"/>
      <c r="Q55" s="17"/>
      <c r="R55" s="82"/>
      <c r="S55" s="82"/>
      <c r="T55" s="82"/>
      <c r="U55" s="17"/>
      <c r="V55" s="82"/>
      <c r="W55" s="82"/>
      <c r="X55" s="207"/>
      <c r="Y55" s="126"/>
      <c r="Z55" s="82"/>
      <c r="AA55" s="82"/>
      <c r="AB55" s="82"/>
      <c r="AC55" s="17"/>
      <c r="AD55" s="82"/>
      <c r="AE55" s="82"/>
      <c r="AF55" s="82"/>
      <c r="AG55" s="17"/>
      <c r="AH55" s="82"/>
      <c r="AI55" s="82"/>
      <c r="AJ55" s="82"/>
      <c r="AK55" s="17"/>
      <c r="AL55" s="82"/>
      <c r="AM55" s="82"/>
      <c r="AN55" s="207"/>
      <c r="AO55" s="126"/>
      <c r="AP55" s="82"/>
      <c r="AQ55" s="82"/>
      <c r="AR55" s="82"/>
      <c r="AS55" s="17"/>
      <c r="AT55" s="17"/>
      <c r="AU55" s="17"/>
      <c r="AV55" s="126"/>
      <c r="AW55" s="17"/>
      <c r="AX55" s="17"/>
      <c r="AY55" s="17"/>
      <c r="AZ55" s="17"/>
      <c r="BA55" s="126"/>
      <c r="BB55" s="17"/>
      <c r="BC55" s="17"/>
      <c r="BD55" s="17"/>
      <c r="BE55" s="17"/>
      <c r="BF55" s="17"/>
      <c r="BG55" s="17"/>
      <c r="BH55" s="17"/>
      <c r="BI55" s="17"/>
      <c r="BJ55" s="17"/>
      <c r="BK55" s="17"/>
      <c r="BL55" s="17"/>
      <c r="BM55" s="17"/>
      <c r="BN55" s="17"/>
      <c r="BO55" s="17"/>
      <c r="BP55" s="17"/>
      <c r="BQ55" s="17"/>
      <c r="BR55" s="17"/>
      <c r="BS55" s="1"/>
      <c r="BT55" s="1"/>
      <c r="BU55" s="1"/>
      <c r="BV55" s="1"/>
      <c r="BW55" s="1"/>
      <c r="BX55" s="1"/>
      <c r="BY55" s="1"/>
      <c r="BZ55" s="1"/>
      <c r="CA55" s="1"/>
      <c r="CB55" s="1"/>
      <c r="CC55" s="1"/>
      <c r="CD55" s="1"/>
      <c r="CE55" s="1"/>
      <c r="CF55" s="1"/>
      <c r="CG55" s="1"/>
      <c r="CH55" s="1"/>
    </row>
    <row r="56" spans="1:86" s="187" customFormat="1" ht="14.1" customHeight="1" x14ac:dyDescent="0.2">
      <c r="A56" s="112">
        <v>56</v>
      </c>
      <c r="B56" s="180" t="str">
        <f>IF($D$2=$E$2,E!B56,'R'!B56)</f>
        <v>Накопительно с начала года</v>
      </c>
      <c r="C56" s="181"/>
      <c r="D56" s="182"/>
      <c r="E56" s="182"/>
      <c r="F56" s="183"/>
      <c r="G56" s="179">
        <f>-G$16/AVERAGE(G$46,$M$46)/((G$42-$M$42)/365)</f>
        <v>1.3171331439804245E-2</v>
      </c>
      <c r="H56" s="179">
        <f>-H$16/AVERAGE(H$46,$M$46)/((H$42-$M$42)/365)</f>
        <v>1.0573384169256706E-2</v>
      </c>
      <c r="I56" s="184">
        <f>-I$16/AVERAGE(I$46,$M$46)/((I$42-$M$42)/365)</f>
        <v>1.0849195915448315E-2</v>
      </c>
      <c r="J56" s="179"/>
      <c r="K56" s="179">
        <f>-K$16/AVERAGE(K$46,$M$46)/((K$42-$M$42)/365)</f>
        <v>1.0606317732546057E-2</v>
      </c>
      <c r="L56" s="179">
        <f>-L$16/AVERAGE(L$46,$M$46)/((L$42-$M$42)/365)</f>
        <v>6.6429605740888353E-3</v>
      </c>
      <c r="M56" s="184">
        <f>-M$16/AVERAGE(M$46,$AC$46)/((M$42-$AC$42)/366)</f>
        <v>1.9664087129945711E-2</v>
      </c>
      <c r="N56" s="179"/>
      <c r="O56" s="179">
        <f>-O$16/AVERAGE(O$46,$AC$46)/((O$42-$AC$42)/365)</f>
        <v>1.8049858595410338E-2</v>
      </c>
      <c r="P56" s="179">
        <f>-P$16/AVERAGE(P$46,$AC$46)/((P$42-$AC$42)/365)</f>
        <v>1.7492027383831703E-2</v>
      </c>
      <c r="Q56" s="184">
        <f>-Q$16/AVERAGE(Q$46,$AC$46)/((Q$42-$AC$42)/366)</f>
        <v>1.699219088546856E-2</v>
      </c>
      <c r="R56" s="179"/>
      <c r="S56" s="179">
        <f>-S$16/AVERAGE(S$46,$AC$46)/((S$42-$AC$42)/365)</f>
        <v>1.7186619361699924E-2</v>
      </c>
      <c r="T56" s="179">
        <f>-T$16/AVERAGE(T$46,$AC$46)/((T$42-$AC$42)/365)</f>
        <v>1.4839405771202097E-2</v>
      </c>
      <c r="U56" s="184">
        <f>-U$16/AVERAGE(U$46,$AC$46)/((U$42-$AC$42)/366)</f>
        <v>1.0098457694707868E-2</v>
      </c>
      <c r="V56" s="179"/>
      <c r="W56" s="179">
        <f>-W$16/AVERAGE(W$46,$AC$46)/((W$42-$AC$42)/365)</f>
        <v>2.0383095424181827E-3</v>
      </c>
      <c r="X56" s="179">
        <f>-X$16/AVERAGE(X$46,$AC$46)/((X$42-$AC$42)/365)</f>
        <v>2.0104318576998578E-3</v>
      </c>
      <c r="Y56" s="184">
        <f>-Y$16/AVERAGE(Y$46,$AC$46)/((Y$42-$AC$42)/366)</f>
        <v>4.6571401011675957E-3</v>
      </c>
      <c r="Z56" s="179"/>
      <c r="AA56" s="179">
        <f>-AA$16/AVERAGE(AA$46,$AC$46)/((AA$42-$AC$42)/365)</f>
        <v>5.1308134314333653E-3</v>
      </c>
      <c r="AB56" s="179">
        <f>-AB$16/AVERAGE(AB$46,$AC$46)/((AB$42-$AC$42)/365)</f>
        <v>5.7436605699190697E-3</v>
      </c>
      <c r="AC56" s="184">
        <f>-AC$16/AVERAGE(AC$46,$AS$46)/((AC$42-$AS$42)/366)</f>
        <v>7.5690273963131402E-3</v>
      </c>
      <c r="AD56" s="179"/>
      <c r="AE56" s="179">
        <f>-AE$16/AVERAGE(AE$46,$AS$46)/((AE$42-$AS$42)/366)</f>
        <v>5.9523510565232217E-3</v>
      </c>
      <c r="AF56" s="179">
        <f>-AF$16/AVERAGE(AF$46,$AS$46)/((AF$42-$AS$42)/366)</f>
        <v>6.7943410717901812E-3</v>
      </c>
      <c r="AG56" s="184">
        <f>-AG$16/AVERAGE(AG$46,$AS$46)/((AG$42-$AS$42)/366)</f>
        <v>5.6202278385187546E-3</v>
      </c>
      <c r="AH56" s="179"/>
      <c r="AI56" s="179">
        <f>-AI$16/AVERAGE(AI$46,$AS$46)/((AI$42-$AS$42)/366)</f>
        <v>6.3788838679740903E-3</v>
      </c>
      <c r="AJ56" s="179">
        <f>-AJ$16/AVERAGE(AJ$46,$AS$46)/((AJ$42-$AS$42)/366)</f>
        <v>6.1960413649217961E-3</v>
      </c>
      <c r="AK56" s="184">
        <f>-AK$16/AVERAGE(AK$46,$AS$46)/((AK$42-$AS$42)/366)</f>
        <v>8.4049670481066412E-3</v>
      </c>
      <c r="AL56" s="179"/>
      <c r="AM56" s="179">
        <f>-AM$16/AVERAGE(AM$46,$AS$46)/((AM$42-$AS$42)/366)</f>
        <v>2.1062453873813619E-3</v>
      </c>
      <c r="AN56" s="221">
        <f>-AN$16/AVERAGE(AN$46,$AS$46)/((AN$42-$AS$42)/366)</f>
        <v>1.6144825822395315E-3</v>
      </c>
      <c r="AO56" s="184">
        <f>-AO$16/AVERAGE(AO$46,$AS$46)/((AO$42-$AS$42)/366)</f>
        <v>1.0365854595473472E-3</v>
      </c>
      <c r="AP56" s="179"/>
      <c r="AQ56" s="179">
        <f>-AQ$16/AVERAGE(AQ$46,$AS$46)/((AQ$42-$AS$42)/366)</f>
        <v>1.5089632438442864E-3</v>
      </c>
      <c r="AR56" s="179">
        <f>-AR$16/AVERAGE(AR$46,$AS$46)/((AR$42-$AS$42)/366)</f>
        <v>4.7148376853845654E-3</v>
      </c>
      <c r="AS56" s="184">
        <f>-AS$16/AVERAGE(AS$46,$AW$46)/((AS$42-$AW$42)/365)</f>
        <v>-6.5006399581175253E-3</v>
      </c>
      <c r="AT56" s="184">
        <f>-AT$16/AVERAGE(AT$46,$AW$46)/((AT$42-$AW$42)/365)</f>
        <v>-1.0467837201056531E-2</v>
      </c>
      <c r="AU56" s="184">
        <f>-AU$16/AVERAGE(AU$46,$AW$46)/((AU$42-$AW$42)/365)</f>
        <v>-1.8419775016250854E-2</v>
      </c>
      <c r="AV56" s="184">
        <f>-AV$16/AVERAGE(AV$46,$AW$46)/((AV$42-$AW$42)/365)</f>
        <v>-2.7277121920931072E-2</v>
      </c>
      <c r="AW56" s="184">
        <f>-AW$16/AVERAGE(AW$46,$AX$46)/((AW$42-$AX$42)/365)</f>
        <v>1.8780483176596207E-2</v>
      </c>
      <c r="AX56" s="184">
        <f>-AX$16/AVERAGE(AX$46,$BB$46)/((AX$42-$BB$42)/365)</f>
        <v>8.2358928342416739E-3</v>
      </c>
      <c r="AY56" s="184">
        <f>-AY$16/AVERAGE(AY$46,$BB$46)/((AY$42-$BB$42)/365)</f>
        <v>1.3044878231960424E-2</v>
      </c>
      <c r="AZ56" s="184">
        <f>-AZ$16/AVERAGE(AZ$46,$BB$46)/((AZ$42-$BB$42)/365)</f>
        <v>1.2339196653147703E-2</v>
      </c>
      <c r="BA56" s="184">
        <f>-BA$16/AVERAGE(BA$46,$BB$46)/((BA$42-$BB$42)/365)</f>
        <v>9.8393041380431655E-3</v>
      </c>
      <c r="BB56" s="184">
        <f>-BB$16/AVERAGE(BB$46,$BF$46)/((BB$42-$BF$42)/366)</f>
        <v>1.9686464691327111E-2</v>
      </c>
      <c r="BC56" s="184">
        <f>-BC$16/AVERAGE(BC$46,$BF$46)/((BC$42-$BF$42)/366)</f>
        <v>1.9511095247586367E-2</v>
      </c>
      <c r="BD56" s="184">
        <f>-BD$16/AVERAGE(BD$46,$BF$46)/((BD$42-$BF$42)/366)</f>
        <v>2.356520517251183E-2</v>
      </c>
      <c r="BE56" s="184">
        <f>-BE$16/AVERAGE(BE$46,$BF$46)/((BE$42-$BF$42)/366)</f>
        <v>1.6889709605565045E-2</v>
      </c>
      <c r="BF56" s="185"/>
      <c r="BG56" s="185"/>
      <c r="BH56" s="185"/>
      <c r="BI56" s="185"/>
      <c r="BJ56" s="185"/>
      <c r="BK56" s="185"/>
      <c r="BL56" s="185"/>
      <c r="BM56" s="185"/>
      <c r="BN56" s="185"/>
      <c r="BO56" s="185"/>
      <c r="BP56" s="185"/>
      <c r="BQ56" s="185"/>
      <c r="BR56" s="185"/>
      <c r="BS56" s="186"/>
      <c r="BT56" s="186"/>
      <c r="BU56" s="186"/>
      <c r="BV56" s="186"/>
      <c r="BW56" s="186"/>
      <c r="BX56" s="186"/>
      <c r="BY56" s="186"/>
      <c r="BZ56" s="186"/>
      <c r="CA56" s="186"/>
      <c r="CB56" s="186"/>
      <c r="CC56" s="186"/>
      <c r="CD56" s="186"/>
      <c r="CE56" s="186"/>
      <c r="CF56" s="186"/>
      <c r="CG56" s="186"/>
      <c r="CH56" s="186"/>
    </row>
    <row r="57" spans="1:86" s="187" customFormat="1" ht="14.1" customHeight="1" x14ac:dyDescent="0.2">
      <c r="A57" s="112">
        <v>57</v>
      </c>
      <c r="B57" s="180" t="str">
        <f>IF($D$2=$E$2,E!B57,'R'!B57)</f>
        <v>За квартал/за месяц</v>
      </c>
      <c r="C57" s="181"/>
      <c r="D57" s="182"/>
      <c r="E57" s="182"/>
      <c r="F57" s="183"/>
      <c r="G57" s="179">
        <f>-G$35/AVERAGE(G$46,H$46)/((G$42-H$42)/365)</f>
        <v>2.30603739116528E-2</v>
      </c>
      <c r="H57" s="179">
        <f>-H$35/AVERAGE(H$46,I$46)/((H$42-I$42)/365)</f>
        <v>9.1898889318097737E-3</v>
      </c>
      <c r="I57" s="184">
        <f>-I$35/AVERAGE(I$46,M$46)/((I$42-M$42)/365)</f>
        <v>1.0849195915448315E-2</v>
      </c>
      <c r="J57" s="179">
        <f>-J$35/AVERAGE(I$46,K$46)/((I$42-K$42)/365)</f>
        <v>1.2594999814324459E-2</v>
      </c>
      <c r="K57" s="179">
        <f>-K$35/AVERAGE(K$46,L$46)/((K$42-L$42)/365)</f>
        <v>1.4548681714957859E-2</v>
      </c>
      <c r="L57" s="179">
        <f>-L$35/AVERAGE(L$46,M$46)/((L$42-M$42)/365)</f>
        <v>6.6429605740888353E-3</v>
      </c>
      <c r="M57" s="184">
        <f>-M$35/AVERAGE(M$46,Q$46)/((M$42-Q$42)/365)</f>
        <v>2.4999994515623999E-2</v>
      </c>
      <c r="N57" s="179">
        <f>-N$35/AVERAGE(M$46,O$46)/((M$42-O$42)/366)</f>
        <v>3.5043574071046885E-2</v>
      </c>
      <c r="O57" s="179">
        <f>-O$35/AVERAGE(O$46,P$46)/((O$42-P$42)/365)</f>
        <v>2.2356336399664969E-2</v>
      </c>
      <c r="P57" s="179">
        <f>-P$35/AVERAGE(P$46,Q$46)/((P$42-Q$42)/365)</f>
        <v>1.8514593470485761E-2</v>
      </c>
      <c r="Q57" s="184">
        <f>-Q$35/AVERAGE(Q$46,U$46)/((Q$42-U$42)/365)</f>
        <v>2.9787113004293868E-2</v>
      </c>
      <c r="R57" s="179">
        <f>-R$35/AVERAGE(Q$46,S$46)/((Q$42-S$42)/366)</f>
        <v>2.6020212802193746E-2</v>
      </c>
      <c r="S57" s="179">
        <f>-S$35/AVERAGE(S$46,T$46)/((S$42-T$42)/365)</f>
        <v>2.9436491024236018E-2</v>
      </c>
      <c r="T57" s="179">
        <f>-T$35/AVERAGE(T$46,U$46)/((T$42-U$42)/365)</f>
        <v>3.9573723281726432E-2</v>
      </c>
      <c r="U57" s="184">
        <f>-U$35/AVERAGE(U$46,Y$46)/((U$42-Y$42)/365)</f>
        <v>1.5586354719880631E-2</v>
      </c>
      <c r="V57" s="179">
        <f>-V$35/AVERAGE(U$46,W$46)/((U$42-W$42)/365)</f>
        <v>4.962346446764266E-2</v>
      </c>
      <c r="W57" s="179">
        <f>-W$35/AVERAGE(W$46,X$46)/((W$42-X$42)/365)</f>
        <v>2.3634073397849078E-3</v>
      </c>
      <c r="X57" s="179">
        <f>-X$35/AVERAGE(X$46,Y$46)/((X$42-Y$42)/365)</f>
        <v>-5.967346992972895E-3</v>
      </c>
      <c r="Y57" s="184">
        <f>-Y$35/AVERAGE(Y$46,AC$46)/((Y$42-AC$42)/365)</f>
        <v>4.6444156746616736E-3</v>
      </c>
      <c r="Z57" s="179">
        <f>-Z$35/AVERAGE(Y$46,AA$46)/((Y$42-AA$42)/365)</f>
        <v>3.6336943652874195E-3</v>
      </c>
      <c r="AA57" s="179">
        <f>-AA$35/AVERAGE(AA$46,AB$46)/((AA$42-AB$42)/365)</f>
        <v>4.5179372209317257E-3</v>
      </c>
      <c r="AB57" s="179">
        <f>-AB$35/AVERAGE(AB$46,AC$46)/((AB$42-AC$42)/365)</f>
        <v>5.7436605699190697E-3</v>
      </c>
      <c r="AC57" s="184">
        <f>-AC$35/AVERAGE(AC$46,AG$46)/((AC$42-AG$42)/366)</f>
        <v>1.309943545903248E-2</v>
      </c>
      <c r="AD57" s="179">
        <f>-AD$35/AVERAGE(AC$46,AE$46)/((AC$42-AE$42)/366)</f>
        <v>2.3040019293206003E-2</v>
      </c>
      <c r="AE57" s="179">
        <f>-AE$35/AVERAGE(AE$46,AF$46)/((AE$42-AF$42)/366)</f>
        <v>-2.6053639935963431E-3</v>
      </c>
      <c r="AF57" s="179">
        <f>-AF$35/AVERAGE(AF$46,AG$46)/((AF$42-AG$42)/366)</f>
        <v>1.7733562190384199E-2</v>
      </c>
      <c r="AG57" s="184">
        <f>-AG$35/AVERAGE(AG$46,AK$46)/((AG$42-AK$42)/366)</f>
        <v>3.7555677158173116E-4</v>
      </c>
      <c r="AH57" s="179">
        <f>-AH$35/AVERAGE(AG$46,AI$46)/((AG$42-AI$42)/366)</f>
        <v>-3.7397170505117143E-4</v>
      </c>
      <c r="AI57" s="179">
        <f>-AI$35/AVERAGE(AI$46,AJ$46)/((AI$42-AJ$42)/366)</f>
        <v>7.4906008250750162E-3</v>
      </c>
      <c r="AJ57" s="179">
        <f>-AJ$35/AVERAGE(AJ$46,AK$46)/((AJ$42-AK$42)/366)</f>
        <v>-6.0994220570133855E-3</v>
      </c>
      <c r="AK57" s="184">
        <f>-AK$35/AVERAGE(AK$46,AO$46)/((AK$42-AO$42)/366)</f>
        <v>1.563474359506371E-2</v>
      </c>
      <c r="AL57" s="179">
        <f>-AL$35/AVERAGE(AK$46,AM$46)/((AK$42-AM$42)/366)</f>
        <v>3.8516453440570669E-2</v>
      </c>
      <c r="AM57" s="179">
        <f>-AM$35/AVERAGE(AM$46,AN$46)/((AM$42-AN$42)/366)</f>
        <v>4.0451370545907944E-3</v>
      </c>
      <c r="AN57" s="221">
        <f>-AN$35/AVERAGE(AN$46,AO$46)/((AN$42-AO$42)/366)</f>
        <v>3.3774375836896726E-3</v>
      </c>
      <c r="AO57" s="184">
        <f>-AO$35/AVERAGE(AO$46,AS$46)/((AO$42-AS$42)/366)</f>
        <v>1.0365854595473472E-3</v>
      </c>
      <c r="AP57" s="179">
        <f>-AP$35/AVERAGE(AO$46,AQ$46)/((AO$42-AQ$42)/366)</f>
        <v>5.4340635822403264E-5</v>
      </c>
      <c r="AQ57" s="179">
        <f>-AQ$35/AVERAGE(AQ$46,AR$46)/((AQ$42-AR$42)/366)</f>
        <v>-1.8747810526895409E-3</v>
      </c>
      <c r="AR57" s="179">
        <f>-AR$35/AVERAGE(AR$46,AS$46)/((AR$42-AS$42)/366)</f>
        <v>4.7148376853845654E-3</v>
      </c>
      <c r="AS57" s="184">
        <f>-AS$35/AVERAGE(AS$46,AT$46)/((AS$42-AT$42)/365)</f>
        <v>4.1138725289705004E-3</v>
      </c>
      <c r="AT57" s="184">
        <f>-AT$35/AVERAGE(AT$46,AU$46)/((AT$42-AU$42)/365)</f>
        <v>2.5572608038427454E-3</v>
      </c>
      <c r="AU57" s="184">
        <f>-AU$35/AVERAGE(AU$46,AV$46)/((AU$42-AV$42)/365)</f>
        <v>-8.8143415628891605E-3</v>
      </c>
      <c r="AV57" s="184">
        <f>-AV$35/AVERAGE(AV$46,AW$46)/((AV$42-AW$42)/365)</f>
        <v>-2.7277121920931072E-2</v>
      </c>
      <c r="AW57" s="184"/>
      <c r="AX57" s="184">
        <f>-AX$35/AVERAGE(AX$46,AY$46)/((AX$42-AY$42)/365)</f>
        <v>-5.7835103745137902E-3</v>
      </c>
      <c r="AY57" s="184">
        <f>-AY$35/AVERAGE(AY$46,AZ$46)/((AY$42-AZ$42)/365)</f>
        <v>1.3952224731629739E-2</v>
      </c>
      <c r="AZ57" s="184">
        <f>-AZ$35/AVERAGE(AZ$46,BA$46)/((AZ$42-BA$42)/365)</f>
        <v>1.4748570008565415E-2</v>
      </c>
      <c r="BA57" s="184">
        <f>-BA$35/AVERAGE(BA$46,BB$46)/((BA$42-BB$42)/365)</f>
        <v>9.8393041380431655E-3</v>
      </c>
      <c r="BB57" s="184">
        <f>-BB$35/AVERAGE(BB$46,BC$46)/((BB$42-BC$42)/366)</f>
        <v>1.8209566557822059E-2</v>
      </c>
      <c r="BC57" s="184">
        <f>-BC$35/AVERAGE(BC$46,BD$46)/((BC$42-BD$42)/366)</f>
        <v>1.3866716875779173E-2</v>
      </c>
      <c r="BD57" s="184">
        <f>-BD$35/AVERAGE(BD$46,BE$46)/((BD$42-BE$42)/366)</f>
        <v>2.8813713800982313E-2</v>
      </c>
      <c r="BE57" s="184">
        <f>-BE$35/AVERAGE(BE$46,BF$46)/((BE$42-BF$42)/366)</f>
        <v>1.6889709605565045E-2</v>
      </c>
      <c r="BF57" s="185"/>
      <c r="BG57" s="185"/>
      <c r="BH57" s="185"/>
      <c r="BI57" s="185"/>
      <c r="BJ57" s="185"/>
      <c r="BK57" s="185"/>
      <c r="BL57" s="185"/>
      <c r="BM57" s="185"/>
      <c r="BN57" s="185"/>
      <c r="BO57" s="185"/>
      <c r="BP57" s="185"/>
      <c r="BQ57" s="185"/>
      <c r="BR57" s="185"/>
      <c r="BS57" s="186"/>
      <c r="BT57" s="186"/>
      <c r="BU57" s="186"/>
      <c r="BV57" s="186"/>
      <c r="BW57" s="186"/>
      <c r="BX57" s="186"/>
      <c r="BY57" s="186"/>
      <c r="BZ57" s="186"/>
      <c r="CA57" s="186"/>
      <c r="CB57" s="186"/>
      <c r="CC57" s="186"/>
      <c r="CD57" s="186"/>
      <c r="CE57" s="186"/>
      <c r="CF57" s="186"/>
      <c r="CG57" s="186"/>
      <c r="CH57" s="186"/>
    </row>
    <row r="58" spans="1:86" ht="14.1" customHeight="1" x14ac:dyDescent="0.2">
      <c r="A58" s="112">
        <v>58</v>
      </c>
      <c r="B58" s="18"/>
      <c r="C58" s="115"/>
      <c r="D58" s="118"/>
      <c r="E58" s="118"/>
      <c r="F58" s="117"/>
      <c r="G58" s="82"/>
      <c r="H58" s="207"/>
      <c r="I58" s="126"/>
      <c r="J58" s="82"/>
      <c r="K58" s="82"/>
      <c r="L58" s="82"/>
      <c r="M58" s="17"/>
      <c r="N58" s="82"/>
      <c r="O58" s="82"/>
      <c r="P58" s="82"/>
      <c r="Q58" s="17"/>
      <c r="R58" s="82"/>
      <c r="S58" s="82"/>
      <c r="T58" s="82"/>
      <c r="U58" s="17"/>
      <c r="V58" s="82"/>
      <c r="W58" s="82"/>
      <c r="X58" s="207"/>
      <c r="Y58" s="126"/>
      <c r="Z58" s="82"/>
      <c r="AA58" s="82"/>
      <c r="AB58" s="82"/>
      <c r="AC58" s="17"/>
      <c r="AD58" s="82"/>
      <c r="AE58" s="82"/>
      <c r="AF58" s="82"/>
      <c r="AG58" s="17"/>
      <c r="AH58" s="82"/>
      <c r="AI58" s="82"/>
      <c r="AJ58" s="82"/>
      <c r="AK58" s="17"/>
      <c r="AL58" s="82"/>
      <c r="AM58" s="82"/>
      <c r="AN58" s="207"/>
      <c r="AO58" s="126"/>
      <c r="AP58" s="82"/>
      <c r="AQ58" s="82"/>
      <c r="AR58" s="82"/>
      <c r="AS58" s="17"/>
      <c r="AT58" s="17"/>
      <c r="AU58" s="17"/>
      <c r="AV58" s="126"/>
      <c r="AW58" s="17"/>
      <c r="AX58" s="17"/>
      <c r="AY58" s="17"/>
      <c r="AZ58" s="17"/>
      <c r="BA58" s="126"/>
      <c r="BB58" s="17"/>
      <c r="BC58" s="17"/>
      <c r="BD58" s="17"/>
      <c r="BE58" s="17"/>
      <c r="BF58" s="17"/>
      <c r="BG58" s="17"/>
      <c r="BH58" s="17"/>
      <c r="BI58" s="17"/>
      <c r="BJ58" s="17"/>
      <c r="BK58" s="17"/>
      <c r="BL58" s="17"/>
      <c r="BM58" s="17"/>
      <c r="BN58" s="17"/>
      <c r="BO58" s="17"/>
      <c r="BP58" s="17"/>
      <c r="BQ58" s="17"/>
      <c r="BR58" s="17"/>
      <c r="BS58" s="1"/>
      <c r="BT58" s="1"/>
      <c r="BU58" s="1"/>
      <c r="BV58" s="1"/>
      <c r="BW58" s="1"/>
      <c r="BX58" s="1"/>
      <c r="BY58" s="1"/>
      <c r="BZ58" s="1"/>
      <c r="CA58" s="1"/>
      <c r="CB58" s="1"/>
      <c r="CC58" s="1"/>
      <c r="CD58" s="1"/>
      <c r="CE58" s="1"/>
      <c r="CF58" s="1"/>
      <c r="CG58" s="1"/>
      <c r="CH58" s="1"/>
    </row>
    <row r="59" spans="1:86" ht="14.1" customHeight="1" x14ac:dyDescent="0.2">
      <c r="A59" s="112">
        <v>59</v>
      </c>
      <c r="B59" s="20" t="str">
        <f>IF($D$2=$E$2,E!B59,'R'!B59)</f>
        <v>Собственные средства</v>
      </c>
      <c r="C59" s="119">
        <f ca="1">HLOOKUP(OFFSET($F$42,0,1),$42:$71,$A59-$A$41,0)/IF(OFFSET($F$42,0,3)="",HLOOKUP(DATE(YEAR(OFFSET($F$42,0,1)),1,1),$42:$71,$A59-$A$41,0),IF(YEAR(OFFSET($F$42,0,1))-YEAR(OFFSET($F$42,0,3))=0,HLOOKUP(DATE(YEAR(OFFSET($F$42,0,1)),1,1),$42:$71,$A59-$A$41,0),HLOOKUP(DATE(YEAR(OFFSET($F$42,0,1))-1,1,1),$42:$71,$A59-$A$41,0)))-1</f>
        <v>1.0939586313567062E-2</v>
      </c>
      <c r="D59" s="120"/>
      <c r="E59" s="120">
        <f ca="1">IF(MONTH(OFFSET($F$42,0,1))=1,HLOOKUP(OFFSET($F$42,0,1),$42:$71,$A59-$A$41,0)/HLOOKUP(DATE(YEAR(OFFSET($F$42,0,1))-1,10,1),$42:$71,$A59-$A$41,0)-1,IF(ROUND(MONTH(OFFSET($F$42,0,1))/3,0)&lt;=1,HLOOKUP(OFFSET($F$42,0,1),$42:$71,$A59-$A$41,0)/HLOOKUP(DATE(YEAR(OFFSET($F$42,0,1)),1,1),$42:$71,$A59-$A$41,0)-1,IF(ROUND(MONTH(OFFSET($F$42,0,1))/3,0)&lt;=2,HLOOKUP(OFFSET($F$42,0,1),$42:$71,$A59-$A$41,0)/HLOOKUP(DATE(YEAR(OFFSET($F$42,0,1)),4,1),$42:$71,$A59-$A$41,0)-1,IF(ROUND(MONTH(OFFSET($F$42,0,1))/3,0)&lt;=3,HLOOKUP(OFFSET($F$42,0,1),$42:$71,$A59-$A$41,0)/HLOOKUP(DATE(YEAR(OFFSET($F$42,0,1)),7,1),$42:$71,$A59-$A$41,0)-1,HLOOKUP(OFFSET($F$42,0,1),$42:$71,$A59-$A$41,0)/HLOOKUP(DATE(YEAR(OFFSET($F$42,0,1)),10,1),$42:$71,$A59-$A$41,0)-1))))</f>
        <v>-3.0881367497092804E-2</v>
      </c>
      <c r="F59" s="121">
        <f ca="1">HLOOKUP(OFFSET($F$42,0,1),$42:$71,$A59-$A$41,0)/IF(OFFSET($F$42,0,3)="",HLOOKUP(DATE(YEAR(OFFSET($F$42,0,1)),MONTH(OFFSET($F$42,0,1))-1,1),$42:$71,$A59-$A$41,0),IF(YEAR(OFFSET($F$42,0,1))-YEAR(OFFSET($F$42,0,3))=0,HLOOKUP(DATE(YEAR(OFFSET($F$42,0,1)),MONTH(OFFSET($F$42,0,1))-1,1),$42:$71,$A59-$A$41,0),HLOOKUP(DATE(YEAR(OFFSET($F$42,0,1))-1,12,1),$42:$71,$A59-$A$41,0)))-1</f>
        <v>-4.3759760152692118E-2</v>
      </c>
      <c r="G59" s="81">
        <v>217017.23639152999</v>
      </c>
      <c r="H59" s="212">
        <v>226948.44595348052</v>
      </c>
      <c r="I59" s="43">
        <v>223932.58071104001</v>
      </c>
      <c r="J59" s="81"/>
      <c r="K59" s="81">
        <v>220214.00435127001</v>
      </c>
      <c r="L59" s="81">
        <v>217999.47525859001</v>
      </c>
      <c r="M59" s="43">
        <v>214668.848</v>
      </c>
      <c r="N59" s="81"/>
      <c r="O59" s="81">
        <v>214691.4276129099</v>
      </c>
      <c r="P59" s="81">
        <v>213743.11897586039</v>
      </c>
      <c r="Q59" s="15">
        <v>219565.5505418285</v>
      </c>
      <c r="R59" s="81"/>
      <c r="S59" s="81">
        <v>217623.17869629999</v>
      </c>
      <c r="T59" s="81">
        <v>215034.92389167027</v>
      </c>
      <c r="U59" s="15">
        <v>213169.65288846791</v>
      </c>
      <c r="V59" s="81"/>
      <c r="W59" s="81">
        <v>211434.5097700803</v>
      </c>
      <c r="X59" s="212">
        <v>206053.83729035099</v>
      </c>
      <c r="Y59" s="43">
        <v>214834.55392045132</v>
      </c>
      <c r="Z59" s="81"/>
      <c r="AA59" s="81">
        <v>209454.78893780994</v>
      </c>
      <c r="AB59" s="81">
        <v>204370.01389586984</v>
      </c>
      <c r="AC59" s="15">
        <v>199240.37400000001</v>
      </c>
      <c r="AD59" s="81"/>
      <c r="AE59" s="81">
        <v>196360.42658579082</v>
      </c>
      <c r="AF59" s="81">
        <v>190729.01684675942</v>
      </c>
      <c r="AG59" s="15">
        <v>201427.27272748936</v>
      </c>
      <c r="AH59" s="81"/>
      <c r="AI59" s="81">
        <v>194758.77725186027</v>
      </c>
      <c r="AJ59" s="81">
        <v>190846.62178704003</v>
      </c>
      <c r="AK59" s="15">
        <v>186279.58534613033</v>
      </c>
      <c r="AL59" s="81"/>
      <c r="AM59" s="81">
        <v>184418.62190024034</v>
      </c>
      <c r="AN59" s="212">
        <v>190251.53550378</v>
      </c>
      <c r="AO59" s="43">
        <v>186233.21</v>
      </c>
      <c r="AP59" s="81"/>
      <c r="AQ59" s="81">
        <v>181120.69899999999</v>
      </c>
      <c r="AR59" s="81">
        <v>177450.20535997982</v>
      </c>
      <c r="AS59" s="15">
        <v>171843.79</v>
      </c>
      <c r="AT59" s="15">
        <v>170159.0231637902</v>
      </c>
      <c r="AU59" s="15">
        <v>161066.57770050046</v>
      </c>
      <c r="AV59" s="43">
        <v>157779.76229197989</v>
      </c>
      <c r="AW59" s="15">
        <v>142990.72899999999</v>
      </c>
      <c r="AX59" s="15">
        <v>102177.999</v>
      </c>
      <c r="AY59" s="15">
        <v>96961.45647439023</v>
      </c>
      <c r="AZ59" s="15">
        <v>93518.395000000004</v>
      </c>
      <c r="BA59" s="43">
        <v>90400.480449430208</v>
      </c>
      <c r="BB59" s="15">
        <v>86989.073000000004</v>
      </c>
      <c r="BC59" s="15">
        <v>84193.702471720273</v>
      </c>
      <c r="BD59" s="15">
        <v>82397.198279900695</v>
      </c>
      <c r="BE59" s="15">
        <v>80388.477850079988</v>
      </c>
      <c r="BF59" s="15">
        <v>78014.207999999999</v>
      </c>
      <c r="BG59" s="15">
        <v>80155.392726159058</v>
      </c>
      <c r="BH59" s="15">
        <v>78644.565232169669</v>
      </c>
      <c r="BI59" s="15">
        <v>79122.996266310438</v>
      </c>
      <c r="BJ59" s="17"/>
      <c r="BK59" s="17"/>
      <c r="BL59" s="17"/>
      <c r="BM59" s="17"/>
      <c r="BN59" s="17"/>
      <c r="BO59" s="17"/>
      <c r="BP59" s="17"/>
      <c r="BQ59" s="17"/>
      <c r="BR59" s="17"/>
      <c r="BS59" s="1"/>
      <c r="BT59" s="1"/>
      <c r="BU59" s="1"/>
      <c r="BV59" s="1"/>
      <c r="BW59" s="1"/>
      <c r="BX59" s="1"/>
      <c r="BY59" s="1"/>
      <c r="BZ59" s="1"/>
      <c r="CA59" s="1"/>
      <c r="CB59" s="1"/>
      <c r="CC59" s="1"/>
      <c r="CD59" s="1"/>
      <c r="CE59" s="1"/>
      <c r="CF59" s="1"/>
      <c r="CG59" s="1"/>
      <c r="CH59" s="1"/>
    </row>
    <row r="60" spans="1:86" ht="14.1" customHeight="1" x14ac:dyDescent="0.2">
      <c r="A60" s="112">
        <v>60</v>
      </c>
      <c r="B60" s="148" t="str">
        <f>IF($D$2=$E$2,E!B60,'R'!B60)</f>
        <v>Накопительно с начала года</v>
      </c>
      <c r="C60" s="115"/>
      <c r="D60" s="118"/>
      <c r="E60" s="118"/>
      <c r="F60" s="117"/>
      <c r="G60" s="145"/>
      <c r="H60" s="209"/>
      <c r="I60" s="146"/>
      <c r="J60" s="145"/>
      <c r="K60" s="145"/>
      <c r="L60" s="145"/>
      <c r="M60" s="144"/>
      <c r="N60" s="145"/>
      <c r="O60" s="145"/>
      <c r="P60" s="145"/>
      <c r="Q60" s="144"/>
      <c r="R60" s="145"/>
      <c r="S60" s="145"/>
      <c r="T60" s="145"/>
      <c r="U60" s="144"/>
      <c r="V60" s="145"/>
      <c r="W60" s="145"/>
      <c r="X60" s="209"/>
      <c r="Y60" s="146"/>
      <c r="Z60" s="145"/>
      <c r="AA60" s="145"/>
      <c r="AB60" s="145"/>
      <c r="AC60" s="144"/>
      <c r="AD60" s="145"/>
      <c r="AE60" s="145"/>
      <c r="AF60" s="145"/>
      <c r="AG60" s="144"/>
      <c r="AH60" s="145"/>
      <c r="AI60" s="145"/>
      <c r="AJ60" s="145"/>
      <c r="AK60" s="144"/>
      <c r="AL60" s="145"/>
      <c r="AM60" s="145"/>
      <c r="AN60" s="209"/>
      <c r="AO60" s="146"/>
      <c r="AP60" s="145"/>
      <c r="AQ60" s="145"/>
      <c r="AR60" s="145"/>
      <c r="AS60" s="144"/>
      <c r="AT60" s="144"/>
      <c r="AU60" s="144"/>
      <c r="AV60" s="146"/>
      <c r="AW60" s="144"/>
      <c r="AX60" s="144"/>
      <c r="AY60" s="144"/>
      <c r="AZ60" s="144"/>
      <c r="BA60" s="146"/>
      <c r="BB60" s="144"/>
      <c r="BC60" s="144"/>
      <c r="BD60" s="144"/>
      <c r="BE60" s="144"/>
      <c r="BF60" s="144"/>
      <c r="BG60" s="144"/>
      <c r="BH60" s="144"/>
      <c r="BI60" s="144"/>
      <c r="BJ60" s="17"/>
      <c r="BK60" s="17"/>
      <c r="BL60" s="17"/>
      <c r="BM60" s="17"/>
      <c r="BN60" s="17"/>
      <c r="BO60" s="17"/>
      <c r="BP60" s="17"/>
      <c r="BQ60" s="17"/>
      <c r="BR60" s="17"/>
      <c r="BS60" s="1"/>
      <c r="BT60" s="1"/>
      <c r="BU60" s="1"/>
      <c r="BV60" s="1"/>
      <c r="BW60" s="1"/>
      <c r="BX60" s="1"/>
      <c r="BY60" s="1"/>
      <c r="BZ60" s="1"/>
      <c r="CA60" s="1"/>
      <c r="CB60" s="1"/>
      <c r="CC60" s="1"/>
      <c r="CD60" s="1"/>
      <c r="CE60" s="1"/>
      <c r="CF60" s="1"/>
      <c r="CG60" s="1"/>
      <c r="CH60" s="1"/>
    </row>
    <row r="61" spans="1:86" s="187" customFormat="1" ht="13.9" customHeight="1" x14ac:dyDescent="0.2">
      <c r="A61" s="112">
        <v>61</v>
      </c>
      <c r="B61" s="188" t="str">
        <f>IF($D$2=$E$2,E!B61,'R'!B61)</f>
        <v>ROAA</v>
      </c>
      <c r="C61" s="181"/>
      <c r="D61" s="182"/>
      <c r="E61" s="182"/>
      <c r="F61" s="183"/>
      <c r="G61" s="179">
        <f>G$19/AVERAGE(G$45,$M$45)/((G$42-$M$42)/365)</f>
        <v>2.7125510283388485E-2</v>
      </c>
      <c r="H61" s="179">
        <f>H$19/AVERAGE(H$45,$M$45)/((H$42-$M$42)/365)</f>
        <v>2.916499132641661E-2</v>
      </c>
      <c r="I61" s="184">
        <f>I$19/AVERAGE(I$45,$M$45)/((I$42-$M$42)/365)</f>
        <v>2.9008406599373558E-2</v>
      </c>
      <c r="J61" s="179"/>
      <c r="K61" s="179">
        <f>K$19/AVERAGE(K$45,M$45)/((K$42-M$42)/365)</f>
        <v>2.8380893757757465E-2</v>
      </c>
      <c r="L61" s="179">
        <f>L$19/AVERAGE(L$45,M$45)/((L$42-M$42)/365)</f>
        <v>3.2659276866247103E-2</v>
      </c>
      <c r="M61" s="184">
        <f>M$19/AVERAGE(M$45,$AC$45)/((M$42-$AC$42)/365)</f>
        <v>3.0560110298873136E-2</v>
      </c>
      <c r="N61" s="179"/>
      <c r="O61" s="179">
        <f>O$19/AVERAGE(O$45,$AC$45)/((O$42-$AC$42)/365)</f>
        <v>3.2872218127923104E-2</v>
      </c>
      <c r="P61" s="179">
        <f>P$19/AVERAGE(P$45,$AC$45)/((P$42-$AC$42)/365)</f>
        <v>3.4764436135294931E-2</v>
      </c>
      <c r="Q61" s="184">
        <f>Q$19/AVERAGE(Q$45,$AC$45)/((Q$42-$AC$42)/365)</f>
        <v>3.6071138503035526E-2</v>
      </c>
      <c r="R61" s="179"/>
      <c r="S61" s="179">
        <f>S$19/AVERAGE(S$45,$AC$45)/((S$42-$AC$42)/365)</f>
        <v>4.0286190926012648E-2</v>
      </c>
      <c r="T61" s="179">
        <f>T$19/AVERAGE(T$45,$AC$45)/((T$42-$AC$42)/365)</f>
        <v>4.0766364656513676E-2</v>
      </c>
      <c r="U61" s="184">
        <f>U$19/AVERAGE(U$45,$AC$45)/((U$42-$AC$42)/365)</f>
        <v>4.5767410668379784E-2</v>
      </c>
      <c r="V61" s="179"/>
      <c r="W61" s="179">
        <f>W$19/AVERAGE(W$45,$AC$45)/((W$42-$AC$42)/365)</f>
        <v>5.3243391990130937E-2</v>
      </c>
      <c r="X61" s="179">
        <f>X$19/AVERAGE(X$45,$AC$45)/((X$42-$AC$42)/365)</f>
        <v>5.3502239451481443E-2</v>
      </c>
      <c r="Y61" s="184">
        <f>Y$19/AVERAGE(Y$45,$AC$45)/((Y$42-$AC$42)/365)</f>
        <v>5.521129853112159E-2</v>
      </c>
      <c r="Z61" s="179"/>
      <c r="AA61" s="179">
        <f>AA$19/AVERAGE(AA$45,AC$45)/((AA$42-AC$42)/365)</f>
        <v>5.6388246876980561E-2</v>
      </c>
      <c r="AB61" s="179">
        <f>AB$19/AVERAGE(AB$45,AC$45)/((AB$42-AC$42)/365)</f>
        <v>5.3603787624076978E-2</v>
      </c>
      <c r="AC61" s="184">
        <f>AC$19/AVERAGE(AC$45,$AS$45)/((AC$42-$AS$42)/366)</f>
        <v>4.6203426671085825E-2</v>
      </c>
      <c r="AD61" s="179"/>
      <c r="AE61" s="179">
        <f>AE$19/AVERAGE(AE$45,$AS$45)/((AE$42-$AS$42)/366)</f>
        <v>4.7538542814157002E-2</v>
      </c>
      <c r="AF61" s="179">
        <f>AF$19/AVERAGE(AF$45,$AS$45)/((AF$42-$AS$42)/366)</f>
        <v>4.6936231724401381E-2</v>
      </c>
      <c r="AG61" s="184">
        <f>AG$19/AVERAGE(AG$45,$AS$45)/((AG$42-$AS$42)/366)</f>
        <v>5.1592548154980274E-2</v>
      </c>
      <c r="AH61" s="179"/>
      <c r="AI61" s="179">
        <f>AI$19/AVERAGE(AI$45,$AS$45)/((AI$42-$AS$42)/366)</f>
        <v>4.8027630192492926E-2</v>
      </c>
      <c r="AJ61" s="179">
        <f>AJ$19/AVERAGE(AJ$45,$AS$45)/((AJ$42-$AS$42)/366)</f>
        <v>4.8116002981770128E-2</v>
      </c>
      <c r="AK61" s="184">
        <f>AK$19/AVERAGE(AK$45,$AS$45)/((AK$42-$AS$42)/366)</f>
        <v>4.7029216062630767E-2</v>
      </c>
      <c r="AL61" s="179"/>
      <c r="AM61" s="179">
        <f>AM$19/AVERAGE(AM$45,$AS$45)/((AM$42-$AS$42)/366)</f>
        <v>5.1660700867767133E-2</v>
      </c>
      <c r="AN61" s="221">
        <f>AN$19/AVERAGE(AN$45,AS$45)/((AN$42-AS$42)/366)</f>
        <v>5.2622235526587985E-2</v>
      </c>
      <c r="AO61" s="184">
        <f>AO$19/AVERAGE(AO$45,$AS$45)/((AO$42-$AS$42)/366)</f>
        <v>5.5945919763596828E-2</v>
      </c>
      <c r="AP61" s="179"/>
      <c r="AQ61" s="179">
        <f>AQ$19/AVERAGE(AQ$45,AS$45)/((AQ$42-AS$42)/366)</f>
        <v>5.4414344247483967E-2</v>
      </c>
      <c r="AR61" s="179">
        <f>AR$19/AVERAGE(AR$45,AS$45)/((AR$42-AS$42)/366)</f>
        <v>6.1630527793178409E-2</v>
      </c>
      <c r="AS61" s="184">
        <f>AS$19/AVERAGE(AS$45,$AW$45)/((AS$42-$AW$42)/365)</f>
        <v>4.9929072708701422E-2</v>
      </c>
      <c r="AT61" s="184">
        <f>AT$19/AVERAGE(AT$45,$AW$45)/((AT$42-$AW$42)/365)</f>
        <v>5.6406341698802188E-2</v>
      </c>
      <c r="AU61" s="184">
        <f>AU$19/AVERAGE(AU$45,$AW$45)/((AU$42-$AW$42)/365)</f>
        <v>6.7171606089606942E-2</v>
      </c>
      <c r="AV61" s="184">
        <f>AV$19/AVERAGE(AV$45,$AW$45)/((AV$42-$AW$42)/365)</f>
        <v>7.1662442396146567E-2</v>
      </c>
      <c r="AW61" s="184">
        <f>AW$19/AVERAGE(AW$45,$AX$45)/((AW$42-$AX$42)/365)</f>
        <v>5.8402023934739616E-2</v>
      </c>
      <c r="AX61" s="184">
        <f>AX$19/AVERAGE(AX$45,$BB$45)/((AX$42-$BB$42)/365)</f>
        <v>2.3730538923112523E-2</v>
      </c>
      <c r="AY61" s="184">
        <f>AY$19/AVERAGE(AY$45,$BB$45)/((AY$42-$BB$42)/365)</f>
        <v>2.1594286922674549E-2</v>
      </c>
      <c r="AZ61" s="184">
        <f>AZ$19/AVERAGE(AZ$45,$BB$45)/((AZ$42-$BB$42)/365)</f>
        <v>2.3804685896341955E-2</v>
      </c>
      <c r="BA61" s="184">
        <f>BA$19/AVERAGE(BA$45,$BB$45)/((BA$42-$BB$42)/365)</f>
        <v>1.8908358143055991E-2</v>
      </c>
      <c r="BB61" s="184">
        <f>BB$19/AVERAGE(BB$45,$BF$45)/((BB$42-$BF$42)/366)</f>
        <v>1.5660077049944605E-2</v>
      </c>
      <c r="BC61" s="184">
        <f>BC$19/AVERAGE(BC$45,$BF$45)/((BC$42-$BF$42)/366)</f>
        <v>1.2544456632340238E-2</v>
      </c>
      <c r="BD61" s="184">
        <f>BD$19/AVERAGE(BD$45,$BF$45)/((BD$42-$BF$42)/366)</f>
        <v>1.2889869229875629E-2</v>
      </c>
      <c r="BE61" s="184">
        <f>BE$19/AVERAGE(BE$45,$BF$45)/((BE$42-$BF$42)/366)</f>
        <v>1.2850427735779837E-2</v>
      </c>
      <c r="BF61" s="184"/>
      <c r="BG61" s="185"/>
      <c r="BH61" s="185"/>
      <c r="BI61" s="185"/>
      <c r="BJ61" s="185"/>
      <c r="BK61" s="185"/>
      <c r="BL61" s="185"/>
      <c r="BM61" s="185"/>
      <c r="BN61" s="185"/>
      <c r="BO61" s="185"/>
      <c r="BP61" s="185"/>
      <c r="BQ61" s="185"/>
      <c r="BR61" s="185"/>
      <c r="BS61" s="186"/>
      <c r="BT61" s="186"/>
      <c r="BU61" s="186"/>
      <c r="BV61" s="186"/>
      <c r="BW61" s="186"/>
      <c r="BX61" s="186"/>
      <c r="BY61" s="186"/>
      <c r="BZ61" s="186"/>
      <c r="CA61" s="186"/>
      <c r="CB61" s="186"/>
      <c r="CC61" s="186"/>
      <c r="CD61" s="186"/>
      <c r="CE61" s="186"/>
      <c r="CF61" s="186"/>
      <c r="CG61" s="186"/>
      <c r="CH61" s="186"/>
    </row>
    <row r="62" spans="1:86" s="187" customFormat="1" ht="14.1" customHeight="1" x14ac:dyDescent="0.2">
      <c r="A62" s="112">
        <v>62</v>
      </c>
      <c r="B62" s="188" t="str">
        <f>IF($D$2=$E$2,E!B62,'R'!B62)</f>
        <v>ROAE</v>
      </c>
      <c r="C62" s="181"/>
      <c r="D62" s="182"/>
      <c r="E62" s="182"/>
      <c r="F62" s="183"/>
      <c r="G62" s="179">
        <f>G$19/AVERAGE(G$59,$M$59)/((G$42-$M$42)/365)</f>
        <v>0.16263663706036621</v>
      </c>
      <c r="H62" s="179">
        <f>H$19/AVERAGE(H$59,$M$59)/((H$42-$M$42)/365)</f>
        <v>0.1738196200551286</v>
      </c>
      <c r="I62" s="184">
        <f>I$19/AVERAGE(I$59,$M$59)/((I$42-$M$42)/365)</f>
        <v>0.17782562821674655</v>
      </c>
      <c r="J62" s="179"/>
      <c r="K62" s="179">
        <f>K$19/AVERAGE(K$59,M$59)/((K$42-M$42)/365)</f>
        <v>0.1726569783027285</v>
      </c>
      <c r="L62" s="179">
        <f>L$19/AVERAGE(L$59,M$59)/((L$42-M$42)/365)</f>
        <v>0.19716859588013938</v>
      </c>
      <c r="M62" s="184">
        <f>M$19/AVERAGE(M$59,$AC$59)/((M$42-$AC$42)/365)</f>
        <v>0.180591135479655</v>
      </c>
      <c r="N62" s="179"/>
      <c r="O62" s="179">
        <f>O$19/AVERAGE(O$59,$AC$59)/((O$42-$AC$42)/365)</f>
        <v>0.19558397594252949</v>
      </c>
      <c r="P62" s="179">
        <f>P$19/AVERAGE(P$59,$AC$59)/((P$42-$AC$42)/365)</f>
        <v>0.20847748091532403</v>
      </c>
      <c r="Q62" s="184">
        <f>Q$19/AVERAGE(Q$59,$AC$59)/((Q$42-$AC$42)/365)</f>
        <v>0.21492216957730073</v>
      </c>
      <c r="R62" s="179"/>
      <c r="S62" s="179">
        <f>S$19/AVERAGE(S$59,$AC$59)/((S$42-$AC$42)/365)</f>
        <v>0.22837185623049314</v>
      </c>
      <c r="T62" s="179">
        <f>T$19/AVERAGE(T$59,$AC$59)/((T$42-$AC$42)/365)</f>
        <v>0.24202222382947455</v>
      </c>
      <c r="U62" s="184">
        <f>U$19/AVERAGE(U$59,$AC$59)/((U$42-$AC$42)/365)</f>
        <v>0.26639904831019323</v>
      </c>
      <c r="V62" s="179"/>
      <c r="W62" s="179">
        <f>W$19/AVERAGE(W$59,$AC$59)/((W$42-$AC$42)/365)</f>
        <v>0.3003025034040287</v>
      </c>
      <c r="X62" s="179">
        <f>X$19/AVERAGE(X$59,$AC$59)/((X$42-$AC$42)/365)</f>
        <v>0.30219119240462011</v>
      </c>
      <c r="Y62" s="184">
        <f>Y$19/AVERAGE(Y$59,$AC$59)/((Y$42-$AC$42)/365)</f>
        <v>0.30540317667608369</v>
      </c>
      <c r="Z62" s="179"/>
      <c r="AA62" s="179">
        <f>AA$19/AVERAGE(AA$59,AC$59)/((AA$42-AC$42)/365)</f>
        <v>0.30909325820030098</v>
      </c>
      <c r="AB62" s="179">
        <f>AB$19/AVERAGE(AB$59,AC$59)/((AB$42-AC$42)/365)</f>
        <v>0.29924251860240553</v>
      </c>
      <c r="AC62" s="184">
        <f>AC$19/AVERAGE(AC$59,$AS$59)/((AC$42-$AS$42)/366)</f>
        <v>0.27399598424457888</v>
      </c>
      <c r="AD62" s="179"/>
      <c r="AE62" s="179">
        <f>AE$19/AVERAGE(AE$59,$AS$59)/((AE$42-$AS$42)/366)</f>
        <v>0.28257979608521983</v>
      </c>
      <c r="AF62" s="179">
        <f>AF$19/AVERAGE(AF$59,$AS$59)/((AF$42-$AS$42)/366)</f>
        <v>0.27784151893274794</v>
      </c>
      <c r="AG62" s="184">
        <f>AG$19/AVERAGE(AG$59,$AS$59)/((AG$42-$AS$42)/366)</f>
        <v>0.28993492189310499</v>
      </c>
      <c r="AH62" s="179"/>
      <c r="AI62" s="179">
        <f>AI$19/AVERAGE(AI$59,$AS$59)/((AI$42-$AS$42)/366)</f>
        <v>0.27660068139186028</v>
      </c>
      <c r="AJ62" s="179">
        <f>AJ$19/AVERAGE(AJ$59,$AS$59)/((AJ$42-$AS$42)/366)</f>
        <v>0.27899190910964317</v>
      </c>
      <c r="AK62" s="184">
        <f>AK$19/AVERAGE(AK$59,$AS$59)/((AK$42-$AS$42)/366)</f>
        <v>0.27996441564513624</v>
      </c>
      <c r="AL62" s="179"/>
      <c r="AM62" s="179">
        <f>AM$19/AVERAGE(AM$59,$AS$59)/((AM$42-$AS$42)/366)</f>
        <v>0.31147201106771211</v>
      </c>
      <c r="AN62" s="221">
        <f>AN$19/AVERAGE(AN$59,AS$59)/((AN$42-AS$42)/366)</f>
        <v>0.30672900341335996</v>
      </c>
      <c r="AO62" s="184">
        <f>AO$19/AVERAGE(AO$59,$AS$59)/((AO$42-$AS$42)/366)</f>
        <v>0.32324441372684065</v>
      </c>
      <c r="AP62" s="179"/>
      <c r="AQ62" s="179">
        <f>AQ$19/AVERAGE(AQ$59,AS$59)/((AQ$42-AS$42)/366)</f>
        <v>0.32116242586885813</v>
      </c>
      <c r="AR62" s="179">
        <f>AR$19/AVERAGE(AR$59,AS$59)/((AR$42-AS$42)/366)</f>
        <v>0.37906003794830351</v>
      </c>
      <c r="AS62" s="184">
        <f>AS$19/AVERAGE(AS$59,$AW$59)/((AS$42-$AW$42)/365)</f>
        <v>0.30024541832608104</v>
      </c>
      <c r="AT62" s="184">
        <f>AT$19/AVERAGE(AT$59,$AW$59)/((AT$42-$AW$42)/365)</f>
        <v>0.32457218342159372</v>
      </c>
      <c r="AU62" s="184">
        <f>AU$19/AVERAGE(AU$59,$AW$59)/((AU$42-$AW$42)/365)</f>
        <v>0.37444806902212618</v>
      </c>
      <c r="AV62" s="184">
        <f>AV$19/AVERAGE(AV$59,$AW$59)/((AV$42-$AW$42)/365)</f>
        <v>0.39815484658186306</v>
      </c>
      <c r="AW62" s="184">
        <f>AW$19/AVERAGE(AW$59,$AX$59)/((AW$42-$AX$42)/365)</f>
        <v>0.38869839028297309</v>
      </c>
      <c r="AX62" s="184">
        <f>AX$19/AVERAGE(AX$59,$BB$59)/((AX$42-$BB$42)/365)</f>
        <v>0.19140510176040221</v>
      </c>
      <c r="AY62" s="184">
        <f>AY$19/AVERAGE(AY$59,$BB$59)/((AY$42-$BB$42)/365)</f>
        <v>0.17622263531677779</v>
      </c>
      <c r="AZ62" s="184">
        <f>AZ$19/AVERAGE(AZ$59,$BB$59)/((AZ$42-$BB$42)/365)</f>
        <v>0.19363177428782549</v>
      </c>
      <c r="BA62" s="184">
        <f>BA$19/AVERAGE(BA$59,$BB$59)/((BA$42-$BB$42)/365)</f>
        <v>0.1560919828827681</v>
      </c>
      <c r="BB62" s="184">
        <f>BB$19/AVERAGE(BB$59,$BF$59)/((BB$42-$BF$42)/366)</f>
        <v>0.13265879376156164</v>
      </c>
      <c r="BC62" s="184">
        <f>BC$19/AVERAGE(BC$59,$BF$59)/((BC$42-$BF$42)/366)</f>
        <v>0.10701347150924385</v>
      </c>
      <c r="BD62" s="184">
        <f>BD$19/AVERAGE(BD$59,$BF$59)/((BD$42-$BF$42)/366)</f>
        <v>0.10727592712231275</v>
      </c>
      <c r="BE62" s="184">
        <f>BE$19/AVERAGE(BE$59,$BF$59)/((BE$42-$BF$42)/366)</f>
        <v>0.10807988899569571</v>
      </c>
      <c r="BF62" s="184"/>
      <c r="BG62" s="185"/>
      <c r="BH62" s="185"/>
      <c r="BI62" s="185"/>
      <c r="BJ62" s="185"/>
      <c r="BK62" s="185"/>
      <c r="BL62" s="185"/>
      <c r="BM62" s="185"/>
      <c r="BN62" s="185"/>
      <c r="BO62" s="185"/>
      <c r="BP62" s="185"/>
      <c r="BQ62" s="185"/>
      <c r="BR62" s="185"/>
      <c r="BS62" s="186"/>
      <c r="BT62" s="186"/>
      <c r="BU62" s="186"/>
      <c r="BV62" s="186"/>
      <c r="BW62" s="186"/>
      <c r="BX62" s="186"/>
      <c r="BY62" s="186"/>
      <c r="BZ62" s="186"/>
      <c r="CA62" s="186"/>
      <c r="CB62" s="186"/>
      <c r="CC62" s="186"/>
      <c r="CD62" s="186"/>
      <c r="CE62" s="186"/>
      <c r="CF62" s="186"/>
      <c r="CG62" s="186"/>
      <c r="CH62" s="186"/>
    </row>
    <row r="63" spans="1:86" s="187" customFormat="1" ht="14.1" customHeight="1" x14ac:dyDescent="0.2">
      <c r="A63" s="112">
        <v>63</v>
      </c>
      <c r="B63" s="180" t="str">
        <f>IF($D$2=$E$2,E!B63,'R'!B63)</f>
        <v>За квартал/за месяц</v>
      </c>
      <c r="C63" s="181"/>
      <c r="D63" s="182"/>
      <c r="E63" s="182"/>
      <c r="F63" s="183"/>
      <c r="G63" s="179"/>
      <c r="H63" s="190"/>
      <c r="I63" s="189"/>
      <c r="J63" s="190"/>
      <c r="K63" s="190"/>
      <c r="L63" s="190"/>
      <c r="M63" s="191"/>
      <c r="N63" s="190"/>
      <c r="O63" s="190"/>
      <c r="P63" s="190"/>
      <c r="Q63" s="191"/>
      <c r="R63" s="179"/>
      <c r="S63" s="190"/>
      <c r="T63" s="190"/>
      <c r="U63" s="191"/>
      <c r="V63" s="179"/>
      <c r="W63" s="179"/>
      <c r="X63" s="190"/>
      <c r="Y63" s="189"/>
      <c r="Z63" s="190"/>
      <c r="AA63" s="190"/>
      <c r="AB63" s="190"/>
      <c r="AC63" s="191"/>
      <c r="AD63" s="190"/>
      <c r="AE63" s="190"/>
      <c r="AF63" s="190"/>
      <c r="AG63" s="191"/>
      <c r="AH63" s="179"/>
      <c r="AI63" s="190"/>
      <c r="AJ63" s="190"/>
      <c r="AK63" s="191"/>
      <c r="AL63" s="179"/>
      <c r="AM63" s="179"/>
      <c r="AN63" s="221"/>
      <c r="AO63" s="189"/>
      <c r="AP63" s="190"/>
      <c r="AQ63" s="190"/>
      <c r="AR63" s="190"/>
      <c r="AS63" s="191"/>
      <c r="AT63" s="191"/>
      <c r="AU63" s="191"/>
      <c r="AV63" s="189"/>
      <c r="AW63" s="191"/>
      <c r="AX63" s="191"/>
      <c r="AY63" s="191"/>
      <c r="AZ63" s="191"/>
      <c r="BA63" s="189"/>
      <c r="BB63" s="191"/>
      <c r="BC63" s="191"/>
      <c r="BD63" s="191"/>
      <c r="BE63" s="191"/>
      <c r="BF63" s="191"/>
      <c r="BG63" s="191"/>
      <c r="BH63" s="191"/>
      <c r="BI63" s="191"/>
      <c r="BJ63" s="185"/>
      <c r="BK63" s="185"/>
      <c r="BL63" s="185"/>
      <c r="BM63" s="185"/>
      <c r="BN63" s="185"/>
      <c r="BO63" s="185"/>
      <c r="BP63" s="185"/>
      <c r="BQ63" s="185"/>
      <c r="BR63" s="185"/>
      <c r="BS63" s="186"/>
      <c r="BT63" s="186"/>
      <c r="BU63" s="186"/>
      <c r="BV63" s="186"/>
      <c r="BW63" s="186"/>
      <c r="BX63" s="186"/>
      <c r="BY63" s="186"/>
      <c r="BZ63" s="186"/>
      <c r="CA63" s="186"/>
      <c r="CB63" s="186"/>
      <c r="CC63" s="186"/>
      <c r="CD63" s="186"/>
      <c r="CE63" s="186"/>
      <c r="CF63" s="186"/>
      <c r="CG63" s="186"/>
      <c r="CH63" s="186"/>
    </row>
    <row r="64" spans="1:86" s="187" customFormat="1" ht="13.9" customHeight="1" x14ac:dyDescent="0.2">
      <c r="A64" s="112">
        <v>64</v>
      </c>
      <c r="B64" s="188" t="str">
        <f>IF($D$2=$E$2,E!B64,'R'!B64)</f>
        <v>ROAA</v>
      </c>
      <c r="C64" s="181"/>
      <c r="D64" s="182"/>
      <c r="E64" s="118"/>
      <c r="F64" s="117"/>
      <c r="G64" s="179">
        <f>G$38/AVERAGE(G$45,H$45)/((G$42-H$42)/365)</f>
        <v>1.7138051388602249E-2</v>
      </c>
      <c r="H64" s="179">
        <f>H$38/AVERAGE(H$45,I$45)/((H$42-I$42)/365)</f>
        <v>2.689374804364808E-2</v>
      </c>
      <c r="I64" s="184">
        <f>I$38/AVERAGE(I$45,M$45)/((I$42-M$42)/365)</f>
        <v>2.9008406599373558E-2</v>
      </c>
      <c r="J64" s="179">
        <f>J$38/AVERAGE(I$45,K$45)/((I$42-K$42)/365)</f>
        <v>3.0593060244344255E-2</v>
      </c>
      <c r="K64" s="179">
        <f>K$38/AVERAGE(K$45,L$45)/((K$42-L$42)/365)</f>
        <v>2.4028782549000115E-2</v>
      </c>
      <c r="L64" s="179">
        <f>L$38/AVERAGE(L$45,M$45)/((L$42-M$42)/365)</f>
        <v>3.2659276866247103E-2</v>
      </c>
      <c r="M64" s="184">
        <f>M$38/AVERAGE(M$45,Q$45)/((M$42-Q$42)/365)</f>
        <v>1.1102550753102907E-2</v>
      </c>
      <c r="N64" s="179">
        <f>N$38/AVERAGE(M$45,O$45)/((M$42-O$42)/366)</f>
        <v>2.9994884453672581E-3</v>
      </c>
      <c r="O64" s="179">
        <f>O$38/AVERAGE(O$45,P$45)/((O$42-P$42)/365)</f>
        <v>1.0892022734001973E-2</v>
      </c>
      <c r="P64" s="179">
        <f>P$38/AVERAGE(P$45,Q$45)/((P$42-Q$42)/365)</f>
        <v>1.9239401823383743E-2</v>
      </c>
      <c r="Q64" s="184">
        <f>Q$38/AVERAGE(Q$45,U$45)/((Q$42-U$42)/365)</f>
        <v>1.953587343332891E-2</v>
      </c>
      <c r="R64" s="179">
        <f>R$38/AVERAGE(Q$45,S$45)/((Q$42-S$42)/366)</f>
        <v>1.8715972349520472E-2</v>
      </c>
      <c r="S64" s="179">
        <f>S$38/AVERAGE(S$45,T$45)/((S$42-T$42)/365)</f>
        <v>2.3896862422453785E-2</v>
      </c>
      <c r="T64" s="179">
        <f>T$38/AVERAGE(T$45,U$45)/((T$42-U$42)/365)</f>
        <v>1.7185448507561315E-2</v>
      </c>
      <c r="U64" s="184">
        <f>U$38/AVERAGE(U$45,Y$45)/((U$42-Y$42)/365)</f>
        <v>3.8889925463263898E-2</v>
      </c>
      <c r="V64" s="179">
        <f>V$38/AVERAGE(U$45,W$45)/((U$42-W$42)/365)</f>
        <v>1.7338126944801746E-2</v>
      </c>
      <c r="W64" s="179">
        <f>W$38/AVERAGE(W$45,X$45)/((W$42-X$42)/365)</f>
        <v>5.463560108956899E-2</v>
      </c>
      <c r="X64" s="179">
        <f>X$38/AVERAGE(X$45,Y$45)/((X$42-Y$42)/365)</f>
        <v>4.8228919629938964E-2</v>
      </c>
      <c r="Y64" s="184">
        <f>Y$38/AVERAGE(Y$45,AC$45)/((Y$42-AC$42)/365)</f>
        <v>5.521129853112159E-2</v>
      </c>
      <c r="Z64" s="179">
        <f>Z$38/AVERAGE(Y$45,AA$45)/((Y$42-AA$42)/365)</f>
        <v>5.6499654119590216E-2</v>
      </c>
      <c r="AA64" s="179">
        <f>AA$38/AVERAGE(AA$45,AB$45)/((AA$42-AB$42)/365)</f>
        <v>6.0063008472301088E-2</v>
      </c>
      <c r="AB64" s="179">
        <f>AB$38/AVERAGE(AB$45,AC$45)/((AB$42-AC$42)/365)</f>
        <v>5.3603787624076978E-2</v>
      </c>
      <c r="AC64" s="184">
        <f>AC$38/AVERAGE(AC$45,AG$45)/((AC$42-AG$42)/366)</f>
        <v>3.7606789510876371E-2</v>
      </c>
      <c r="AD64" s="179">
        <f>AD$38/AVERAGE(AC$45,AE$45)/((AC$42-AE$42)/366)</f>
        <v>3.3412466809865343E-2</v>
      </c>
      <c r="AE64" s="179">
        <f>AE$38/AVERAGE(AE$45,AF$45)/((AE$42-AF$42)/366)</f>
        <v>6.1975747424588654E-2</v>
      </c>
      <c r="AF64" s="179">
        <f>AF$38/AVERAGE(AF$45,AG$45)/((AF$42-AG$42)/366)</f>
        <v>1.6223162117342583E-2</v>
      </c>
      <c r="AG64" s="184">
        <f>AG$38/AVERAGE(AG$45,AK$45)/((AG$42-AK$42)/366)</f>
        <v>5.8581027499871575E-2</v>
      </c>
      <c r="AH64" s="179">
        <f>AH$38/AVERAGE(AG$45,AI$45)/((AG$42-AI$42)/366)</f>
        <v>7.8114277589163589E-2</v>
      </c>
      <c r="AI64" s="179">
        <f>AI$38/AVERAGE(AI$45,AJ$45)/((AI$42-AJ$42)/366)</f>
        <v>4.8964759263582992E-2</v>
      </c>
      <c r="AJ64" s="179">
        <f>AJ$38/AVERAGE(AJ$45,AK$45)/((AJ$42-AK$42)/366)</f>
        <v>5.0255207052132871E-2</v>
      </c>
      <c r="AK64" s="184">
        <f>AK$38/AVERAGE(AK$45,AO$45)/((AK$42-AO$42)/366)</f>
        <v>4.061095922646922E-2</v>
      </c>
      <c r="AL64" s="179">
        <f>AL$38/AVERAGE(AK$45,AM$45)/((AK$42-AM$42)/366)</f>
        <v>2.1244316713107121E-2</v>
      </c>
      <c r="AM64" s="179">
        <f>AM$38/AVERAGE(AM$45,AN$45)/((AM$42-AN$42)/366)</f>
        <v>5.1543599012977233E-2</v>
      </c>
      <c r="AN64" s="221">
        <f>AN$38/AVERAGE(AN$45,AO$45)/((AN$42-AO$42)/366)</f>
        <v>4.6879711807618095E-2</v>
      </c>
      <c r="AO64" s="184">
        <f>AO$38/AVERAGE(AO$45,AS$45)/((AO$42-AS$42)/366)</f>
        <v>5.5945919763596828E-2</v>
      </c>
      <c r="AP64" s="179">
        <f>AP$38/AVERAGE(AO$45,AQ$45)/((AO$42-AQ$42)/366)</f>
        <v>5.9035539394963879E-2</v>
      </c>
      <c r="AQ64" s="179">
        <f>AQ$38/AVERAGE(AQ$45,AR$45)/((AQ$42-AR$42)/366)</f>
        <v>4.3902831119638955E-2</v>
      </c>
      <c r="AR64" s="179">
        <f>AR$38/AVERAGE(AR$45,AS$45)/((AR$42-AS$42)/366)</f>
        <v>6.1630527793178409E-2</v>
      </c>
      <c r="AS64" s="184">
        <f>AS$38/AVERAGE(AS$45,AT$45)/((AS$42-AT$42)/365)</f>
        <v>3.6313317885147703E-2</v>
      </c>
      <c r="AT64" s="184">
        <f>AT$38/AVERAGE(AT$45,AU$45)/((AT$42-AU$42)/365)</f>
        <v>4.2557108631348935E-2</v>
      </c>
      <c r="AU64" s="184">
        <f>AU$38/AVERAGE(AU$45,AV$45)/((AU$42-AV$42)/365)</f>
        <v>6.380998243770547E-2</v>
      </c>
      <c r="AV64" s="184">
        <f>AV$38/AVERAGE(AV$45,AW$45)/((AV$42-AW$42)/365)</f>
        <v>7.1662442396146567E-2</v>
      </c>
      <c r="AW64" s="184"/>
      <c r="AX64" s="184">
        <f>AX$38/AVERAGE(AX$45,AY$45)/((AX$42-AY$42)/365)</f>
        <v>3.0312385722212551E-2</v>
      </c>
      <c r="AY64" s="184">
        <f>AY$38/AVERAGE(AY$45,AZ$45)/((AY$42-AZ$42)/365)</f>
        <v>1.8186439819929377E-2</v>
      </c>
      <c r="AZ64" s="184">
        <f>AZ$38/AVERAGE(AZ$45,BA$45)/((AZ$42-BA$42)/365)</f>
        <v>2.8636785267369839E-2</v>
      </c>
      <c r="BA64" s="184">
        <f>BA$38/AVERAGE(BA$45,BB$45)/((BA$42-BB$42)/365)</f>
        <v>1.8908358143055991E-2</v>
      </c>
      <c r="BB64" s="184">
        <f>BB$38/AVERAGE(BB$45,BC$45)/((BB$42-BC$42)/366)</f>
        <v>2.4447595006333318E-2</v>
      </c>
      <c r="BC64" s="184">
        <f>BC$38/AVERAGE(BC$45,BD$45)/((BC$42-BD$42)/366)</f>
        <v>1.2751801117442769E-2</v>
      </c>
      <c r="BD64" s="184">
        <f>BD$38/AVERAGE(BD$45,BE$45)/((BD$42-BE$42)/366)</f>
        <v>1.2975010713646382E-2</v>
      </c>
      <c r="BE64" s="184">
        <f>BE$38/AVERAGE(BE$45,BF$45)/((BE$42-BF$42)/366)</f>
        <v>1.2850427735779837E-2</v>
      </c>
      <c r="BF64" s="184">
        <f>BF$38/AVERAGE(BF$45,BG$45)/((BF$42-BG$42)/365)</f>
        <v>1.316127213914791E-2</v>
      </c>
      <c r="BG64" s="184">
        <f t="shared" ref="BG64:BH64" si="328">BG$38/AVERAGE(BG$45,BH$45)/((BG$42-BH$42)/365)</f>
        <v>8.8171695910864104E-3</v>
      </c>
      <c r="BH64" s="184">
        <f t="shared" si="328"/>
        <v>5.9031432631074E-3</v>
      </c>
      <c r="BI64" s="184"/>
      <c r="BJ64" s="185"/>
      <c r="BK64" s="185"/>
      <c r="BL64" s="185"/>
      <c r="BM64" s="185"/>
      <c r="BN64" s="185"/>
      <c r="BO64" s="185"/>
      <c r="BP64" s="185"/>
      <c r="BQ64" s="185"/>
      <c r="BR64" s="185"/>
      <c r="BS64" s="186"/>
      <c r="BT64" s="186"/>
      <c r="BU64" s="186"/>
      <c r="BV64" s="186"/>
      <c r="BW64" s="186"/>
      <c r="BX64" s="186"/>
      <c r="BY64" s="186"/>
      <c r="BZ64" s="186"/>
      <c r="CA64" s="186"/>
      <c r="CB64" s="186"/>
      <c r="CC64" s="186"/>
      <c r="CD64" s="186"/>
      <c r="CE64" s="186"/>
      <c r="CF64" s="186"/>
      <c r="CG64" s="186"/>
      <c r="CH64" s="186"/>
    </row>
    <row r="65" spans="1:86" s="187" customFormat="1" ht="14.1" customHeight="1" x14ac:dyDescent="0.2">
      <c r="A65" s="112">
        <v>65</v>
      </c>
      <c r="B65" s="188" t="str">
        <f>IF($D$2=$E$2,E!B65,'R'!B65)</f>
        <v>ROAE</v>
      </c>
      <c r="C65" s="181"/>
      <c r="D65" s="182"/>
      <c r="E65" s="118"/>
      <c r="F65" s="117"/>
      <c r="G65" s="179">
        <f>G$38/AVERAGE(G$59,H$59)/((G$42-H$42)/365)</f>
        <v>0.1009954476949457</v>
      </c>
      <c r="H65" s="179">
        <f>H$38/AVERAGE(H$59,I$59)/((H$42-I$42)/365)</f>
        <v>0.1620455793575126</v>
      </c>
      <c r="I65" s="184">
        <f>I$38/AVERAGE(I$59,M$59)/((I$42-M$42)/365)</f>
        <v>0.17782562821674655</v>
      </c>
      <c r="J65" s="179">
        <f>J$38/AVERAGE(I$59,K$59)/((I$42-K$42)/365)</f>
        <v>0.1880709895722131</v>
      </c>
      <c r="K65" s="179">
        <f>K$38/AVERAGE(K$59,L$59)/((K$42-L$42)/365)</f>
        <v>0.14551625902626411</v>
      </c>
      <c r="L65" s="179">
        <f>L$38/AVERAGE(L$59,M$59)/((L$42-M$42)/365)</f>
        <v>0.19716859588013938</v>
      </c>
      <c r="M65" s="184">
        <f>M$38/AVERAGE(M$59,Q$59)/((M$42-Q$42)/365)</f>
        <v>6.7841232505415322E-2</v>
      </c>
      <c r="N65" s="179">
        <f>N$38/AVERAGE(M$59,O$59)/((M$42-O$42)/366)</f>
        <v>1.8308845289112953E-2</v>
      </c>
      <c r="O65" s="179">
        <f>O$38/AVERAGE(O$59,P$59)/((O$42-P$42)/365)</f>
        <v>6.7407906742755139E-2</v>
      </c>
      <c r="P65" s="179">
        <f>P$38/AVERAGE(P$59,Q$59)/((P$42-Q$42)/365)</f>
        <v>0.11917329207679621</v>
      </c>
      <c r="Q65" s="184">
        <f>Q$38/AVERAGE(Q$59,U$59)/((Q$42-U$42)/365)</f>
        <v>0.11773528110932073</v>
      </c>
      <c r="R65" s="179">
        <f>R$38/AVERAGE(Q$59,S$59)/((Q$42-S$42)/366)</f>
        <v>0.11004263263130866</v>
      </c>
      <c r="S65" s="179">
        <f>S$38/AVERAGE(S$59,T$59)/((S$42-T$42)/365)</f>
        <v>0.13999318700443486</v>
      </c>
      <c r="T65" s="179">
        <f>T$38/AVERAGE(T$59,U$59)/((T$42-U$42)/365)</f>
        <v>0.10322554090012666</v>
      </c>
      <c r="U65" s="184">
        <f>U$38/AVERAGE(U$59,Y$59)/((U$42-Y$42)/365)</f>
        <v>0.21834792953202106</v>
      </c>
      <c r="V65" s="179">
        <f>V$38/AVERAGE(U$59,W$59)/((U$42-W$42)/365)</f>
        <v>9.9178612592067603E-2</v>
      </c>
      <c r="W65" s="179">
        <f>W$38/AVERAGE(W$59,X$59)/((W$42-X$42)/365)</f>
        <v>0.30328604899593181</v>
      </c>
      <c r="X65" s="179">
        <f>X$38/AVERAGE(X$59,Y$59)/((X$42-Y$42)/365)</f>
        <v>0.2626016092143752</v>
      </c>
      <c r="Y65" s="184">
        <f>Y$38/AVERAGE(Y$59,AC$59)/((Y$42-AC$42)/365)</f>
        <v>0.30540317667608369</v>
      </c>
      <c r="Z65" s="179">
        <f>Z$38/AVERAGE(Y$59,AA$59)/((Y$42-AA$42)/365)</f>
        <v>0.29865587105022245</v>
      </c>
      <c r="AA65" s="179">
        <f>AA$38/AVERAGE(AA$59,AB$59)/((AA$42-AB$42)/365)</f>
        <v>0.32010364627893401</v>
      </c>
      <c r="AB65" s="179">
        <f>AB$38/AVERAGE(AB$59,AC$59)/((AB$42-AC$42)/365)</f>
        <v>0.29924251860240553</v>
      </c>
      <c r="AC65" s="184">
        <f>AC$38/AVERAGE(AC$59,AG$59)/((AC$42-AG$42)/366)</f>
        <v>0.20508693044671625</v>
      </c>
      <c r="AD65" s="179">
        <f>AD$38/AVERAGE(AC$59,AE$59)/((AC$42-AE$42)/366)</f>
        <v>0.19223432409969254</v>
      </c>
      <c r="AE65" s="179">
        <f>AE$38/AVERAGE(AE$59,AF$59)/((AE$42-AF$42)/366)</f>
        <v>0.35570991212900588</v>
      </c>
      <c r="AF65" s="179">
        <f>AF$38/AVERAGE(AF$59,AG$59)/((AF$42-AG$42)/366)</f>
        <v>8.8144581437186648E-2</v>
      </c>
      <c r="AG65" s="184">
        <f>AG$38/AVERAGE(AG$59,AK$59)/((AG$42-AK$42)/366)</f>
        <v>0.31976800384976706</v>
      </c>
      <c r="AH65" s="179">
        <f>AH$38/AVERAGE(AG$59,AI$59)/((AG$42-AI$42)/366)</f>
        <v>0.41321056461704531</v>
      </c>
      <c r="AI65" s="179">
        <f>AI$38/AVERAGE(AI$59,AJ$59)/((AI$42-AJ$42)/366)</f>
        <v>0.26679762973775656</v>
      </c>
      <c r="AJ65" s="179">
        <f>AJ$38/AVERAGE(AJ$59,AK$59)/((AJ$42-AK$42)/366)</f>
        <v>0.2827264512634774</v>
      </c>
      <c r="AK65" s="184">
        <f>AK$38/AVERAGE(AK$59,AO$59)/((AK$42-AO$42)/366)</f>
        <v>0.22758201635046488</v>
      </c>
      <c r="AL65" s="179">
        <f>AL$38/AVERAGE(AK$59,AM$59)/((AK$42-AM$42)/366)</f>
        <v>0.12416666911549612</v>
      </c>
      <c r="AM65" s="179">
        <f>AM$38/AVERAGE(AM$59,AN$59)/((AM$42-AN$42)/366)</f>
        <v>0.29513402734876221</v>
      </c>
      <c r="AN65" s="221">
        <f>AN$38/AVERAGE(AN$59,AO$59)/((AN$42-AO$42)/366)</f>
        <v>0.2572888887643312</v>
      </c>
      <c r="AO65" s="184">
        <f>AO$38/AVERAGE(AO$59,AS$59)/((AO$42-AS$42)/366)</f>
        <v>0.32324441372684065</v>
      </c>
      <c r="AP65" s="179">
        <f>AP$38/AVERAGE(AO$59,AQ$59)/((AO$42-AQ$42)/366)</f>
        <v>0.32766025953005157</v>
      </c>
      <c r="AQ65" s="179">
        <f>AQ$38/AVERAGE(AQ$59,AR$59)/((AQ$42-AR$42)/366)</f>
        <v>0.25936587580171061</v>
      </c>
      <c r="AR65" s="179">
        <f>AR$38/AVERAGE(AR$59,AS$59)/((AR$42-AS$42)/366)</f>
        <v>0.37906003794830351</v>
      </c>
      <c r="AS65" s="184">
        <f>AS$38/AVERAGE(AS$59,AT$59)/((AS$42-AT$42)/365)</f>
        <v>0.21468626507033398</v>
      </c>
      <c r="AT65" s="184">
        <f>AT$38/AVERAGE(AT$59,AU$59)/((AT$42-AU$42)/365)</f>
        <v>0.23431170529309006</v>
      </c>
      <c r="AU65" s="184">
        <f>AU$38/AVERAGE(AU$59,AV$59)/((AU$42-AV$42)/365)</f>
        <v>0.33878056815591673</v>
      </c>
      <c r="AV65" s="184">
        <f>AV$38/AVERAGE(AV$59,AW$59)/((AV$42-AW$42)/365)</f>
        <v>0.39815484658186306</v>
      </c>
      <c r="AW65" s="184"/>
      <c r="AX65" s="184">
        <f>AX$38/AVERAGE(AX$59,AY$59)/((AX$42-AY$42)/365)</f>
        <v>0.23831440198840895</v>
      </c>
      <c r="AY65" s="184">
        <f>AY$38/AVERAGE(AY$59,AZ$59)/((AY$42-AZ$42)/365)</f>
        <v>0.14399142684661276</v>
      </c>
      <c r="AZ65" s="184">
        <f>AZ$38/AVERAGE(AZ$59,BA$59)/((AZ$42-BA$42)/365)</f>
        <v>0.22909591707089216</v>
      </c>
      <c r="BA65" s="184">
        <f>BA$38/AVERAGE(BA$59,BB$59)/((BA$42-BB$42)/365)</f>
        <v>0.1560919828827681</v>
      </c>
      <c r="BB65" s="184">
        <f>BB$38/AVERAGE(BB$59,BC$59)/((BB$42-BC$42)/366)</f>
        <v>0.20669577533697556</v>
      </c>
      <c r="BC65" s="184">
        <f>BC$38/AVERAGE(BC$59,BD$59)/((BC$42-BD$42)/366)</f>
        <v>0.10598097473403853</v>
      </c>
      <c r="BD65" s="184">
        <f>BD$38/AVERAGE(BD$59,BE$59)/((BD$42-BE$42)/366)</f>
        <v>0.10625271441102198</v>
      </c>
      <c r="BE65" s="184">
        <f>BE$38/AVERAGE(BE$59,BF$59)/((BE$42-BF$42)/366)</f>
        <v>0.10807988899569571</v>
      </c>
      <c r="BF65" s="184">
        <f>BF$38/AVERAGE(BF$59,BG$59)/((BF$42-BG$42)/365)</f>
        <v>0.10967246644596106</v>
      </c>
      <c r="BG65" s="184">
        <f t="shared" ref="BG65:BH65" si="329">BG$38/AVERAGE(BG$59,BH$59)/((BG$42-BH$42)/365)</f>
        <v>7.2363887436444979E-2</v>
      </c>
      <c r="BH65" s="184">
        <f t="shared" si="329"/>
        <v>4.8598623132107735E-2</v>
      </c>
      <c r="BI65" s="184"/>
      <c r="BJ65" s="185"/>
      <c r="BK65" s="185"/>
      <c r="BL65" s="185"/>
      <c r="BM65" s="185"/>
      <c r="BN65" s="185"/>
      <c r="BO65" s="185"/>
      <c r="BP65" s="185"/>
      <c r="BQ65" s="185"/>
      <c r="BR65" s="185"/>
      <c r="BS65" s="186"/>
      <c r="BT65" s="186"/>
      <c r="BU65" s="186"/>
      <c r="BV65" s="186"/>
      <c r="BW65" s="186"/>
      <c r="BX65" s="186"/>
      <c r="BY65" s="186"/>
      <c r="BZ65" s="186"/>
      <c r="CA65" s="186"/>
      <c r="CB65" s="186"/>
      <c r="CC65" s="186"/>
      <c r="CD65" s="186"/>
      <c r="CE65" s="186"/>
      <c r="CF65" s="186"/>
      <c r="CG65" s="186"/>
      <c r="CH65" s="186"/>
    </row>
    <row r="66" spans="1:86" ht="14.1" customHeight="1" x14ac:dyDescent="0.2">
      <c r="A66" s="112">
        <v>66</v>
      </c>
      <c r="B66" s="18"/>
      <c r="C66" s="115"/>
      <c r="D66" s="118"/>
      <c r="E66" s="118"/>
      <c r="F66" s="117"/>
      <c r="G66" s="83"/>
      <c r="H66" s="208"/>
      <c r="I66" s="149"/>
      <c r="J66" s="83"/>
      <c r="K66" s="83"/>
      <c r="L66" s="83"/>
      <c r="M66" s="149"/>
      <c r="N66" s="83"/>
      <c r="O66" s="83"/>
      <c r="P66" s="83"/>
      <c r="Q66" s="149"/>
      <c r="R66" s="83"/>
      <c r="S66" s="83"/>
      <c r="T66" s="83"/>
      <c r="U66" s="149"/>
      <c r="V66" s="83"/>
      <c r="W66" s="83"/>
      <c r="X66" s="208"/>
      <c r="Y66" s="149"/>
      <c r="Z66" s="83"/>
      <c r="AA66" s="83"/>
      <c r="AB66" s="83"/>
      <c r="AC66" s="149"/>
      <c r="AD66" s="83"/>
      <c r="AE66" s="83"/>
      <c r="AF66" s="83"/>
      <c r="AG66" s="149"/>
      <c r="AH66" s="83"/>
      <c r="AI66" s="83"/>
      <c r="AJ66" s="83"/>
      <c r="AK66" s="149"/>
      <c r="AL66" s="83"/>
      <c r="AM66" s="83"/>
      <c r="AN66" s="208"/>
      <c r="AO66" s="149"/>
      <c r="AP66" s="83"/>
      <c r="AQ66" s="83"/>
      <c r="AR66" s="83"/>
      <c r="AS66" s="149"/>
      <c r="AT66" s="149"/>
      <c r="AU66" s="149"/>
      <c r="AV66" s="149"/>
      <c r="AW66" s="149"/>
      <c r="AX66" s="149"/>
      <c r="AY66" s="149"/>
      <c r="AZ66" s="149"/>
      <c r="BA66" s="149"/>
      <c r="BB66" s="149"/>
      <c r="BC66" s="149"/>
      <c r="BD66" s="149"/>
      <c r="BE66" s="149"/>
      <c r="BF66" s="149"/>
      <c r="BG66" s="149"/>
      <c r="BH66" s="149"/>
      <c r="BI66" s="149"/>
      <c r="BJ66" s="17"/>
      <c r="BK66" s="17"/>
      <c r="BL66" s="17"/>
      <c r="BM66" s="17"/>
      <c r="BN66" s="17"/>
      <c r="BO66" s="17"/>
      <c r="BP66" s="17"/>
      <c r="BQ66" s="17"/>
      <c r="BR66" s="17"/>
      <c r="BS66" s="1"/>
      <c r="BT66" s="1"/>
      <c r="BU66" s="1"/>
      <c r="BV66" s="1"/>
      <c r="BW66" s="1"/>
      <c r="BX66" s="1"/>
      <c r="BY66" s="1"/>
      <c r="BZ66" s="1"/>
      <c r="CA66" s="1"/>
      <c r="CB66" s="1"/>
      <c r="CC66" s="1"/>
      <c r="CD66" s="1"/>
      <c r="CE66" s="1"/>
      <c r="CF66" s="1"/>
      <c r="CG66" s="1"/>
      <c r="CH66" s="1"/>
    </row>
    <row r="67" spans="1:86" ht="13.9" customHeight="1" x14ac:dyDescent="0.2">
      <c r="A67" s="112">
        <v>67</v>
      </c>
      <c r="B67" s="20" t="str">
        <f>IF($D$2=$E$2,E!B67,'R'!B67)</f>
        <v>Базовый капитал</v>
      </c>
      <c r="C67" s="119">
        <f ca="1">HLOOKUP(OFFSET($F$42,0,1),$42:$71,$A67-$A$41,0)/IF(OFFSET($F$42,0,3)="",HLOOKUP(DATE(YEAR(OFFSET($F$42,0,1)),1,1),$42:$71,$A67-$A$41,0),IF(YEAR(OFFSET($F$42,0,1))-YEAR(OFFSET($F$42,0,3))=0,HLOOKUP(DATE(YEAR(OFFSET($F$42,0,1)),1,1),$42:$71,$A67-$A$41,0),HLOOKUP(DATE(YEAR(OFFSET($F$42,0,1))-1,1,1),$42:$71,$A67-$A$41,0)))-1</f>
        <v>-8.04894262319098E-2</v>
      </c>
      <c r="D67" s="120"/>
      <c r="E67" s="120">
        <f ca="1">IF(MONTH(OFFSET($F$42,0,1))=1,HLOOKUP(OFFSET($F$42,0,1),$42:$71,$A67-$A$41,0)/HLOOKUP(DATE(YEAR(OFFSET($F$42,0,1))-1,10,1),$42:$71,$A67-$A$41,0)-1,IF(ROUND(MONTH(OFFSET($F$42,0,1))/3,0)&lt;=1,HLOOKUP(OFFSET($F$42,0,1),$42:$71,$A67-$A$41,0)/HLOOKUP(DATE(YEAR(OFFSET($F$42,0,1)),1,1),$42:$71,$A67-$A$41,0)-1,IF(ROUND(MONTH(OFFSET($F$42,0,1))/3,0)&lt;=2,HLOOKUP(OFFSET($F$42,0,1),$42:$71,$A67-$A$41,0)/HLOOKUP(DATE(YEAR(OFFSET($F$42,0,1)),4,1),$42:$71,$A67-$A$41,0)-1,IF(ROUND(MONTH(OFFSET($F$42,0,1))/3,0)&lt;=3,HLOOKUP(OFFSET($F$42,0,1),$42:$71,$A67-$A$41,0)/HLOOKUP(DATE(YEAR(OFFSET($F$42,0,1)),7,1),$42:$71,$A67-$A$41,0)-1,HLOOKUP(OFFSET($F$42,0,1),$42:$71,$A67-$A$41,0)/HLOOKUP(DATE(YEAR(OFFSET($F$42,0,1)),10,1),$42:$71,$A67-$A$41,0)-1))))</f>
        <v>-7.8238850311647123E-2</v>
      </c>
      <c r="F67" s="121">
        <f ca="1">HLOOKUP(OFFSET($F$42,0,1),$42:$71,$A67-$A$41,0)/IF(OFFSET($F$42,0,3)="",HLOOKUP(DATE(YEAR(OFFSET($F$42,0,1)),MONTH(OFFSET($F$42,0,1))-1,1),$42:$71,$A67-$A$41,0),IF(YEAR(OFFSET($F$42,0,1))-YEAR(OFFSET($F$42,0,3))=0,HLOOKUP(DATE(YEAR(OFFSET($F$42,0,1)),MONTH(OFFSET($F$42,0,1))-1,1),$42:$71,$A67-$A$41,0),HLOOKUP(DATE(YEAR(OFFSET($F$42,0,1))-1,12,1),$42:$71,$A67-$A$41,0)))-1</f>
        <v>-7.7801443225910871E-2</v>
      </c>
      <c r="G67" s="81">
        <v>175053.55600000001</v>
      </c>
      <c r="H67" s="212">
        <v>189821.98</v>
      </c>
      <c r="I67" s="43">
        <v>189912.057</v>
      </c>
      <c r="J67" s="81"/>
      <c r="K67" s="81">
        <v>159685.321</v>
      </c>
      <c r="L67" s="81">
        <v>159893.08600000001</v>
      </c>
      <c r="M67" s="43">
        <v>190376.88200000001</v>
      </c>
      <c r="N67" s="81"/>
      <c r="O67" s="81">
        <v>161233.245</v>
      </c>
      <c r="P67" s="81">
        <v>161427.37400000001</v>
      </c>
      <c r="Q67" s="43">
        <v>169453.62299999999</v>
      </c>
      <c r="R67" s="81"/>
      <c r="S67" s="81">
        <v>169380.99299999999</v>
      </c>
      <c r="T67" s="81">
        <v>169537.78899999999</v>
      </c>
      <c r="U67" s="231">
        <v>169396.04699999999</v>
      </c>
      <c r="V67" s="81"/>
      <c r="W67" s="81">
        <v>169489.38800000001</v>
      </c>
      <c r="X67" s="212">
        <v>169516.79500000001</v>
      </c>
      <c r="Y67" s="43">
        <v>184739.02900000001</v>
      </c>
      <c r="Z67" s="81"/>
      <c r="AA67" s="81">
        <v>133731.22899999999</v>
      </c>
      <c r="AB67" s="81">
        <v>133673.21</v>
      </c>
      <c r="AC67" s="43">
        <v>184724.97</v>
      </c>
      <c r="AD67" s="81"/>
      <c r="AE67" s="81">
        <v>134322.402</v>
      </c>
      <c r="AF67" s="81">
        <v>134179.932</v>
      </c>
      <c r="AG67" s="231">
        <v>146295.747</v>
      </c>
      <c r="AH67" s="81"/>
      <c r="AI67" s="81">
        <v>146362.90599999999</v>
      </c>
      <c r="AJ67" s="81">
        <v>146324.033</v>
      </c>
      <c r="AK67" s="43">
        <v>146067.005</v>
      </c>
      <c r="AL67" s="81"/>
      <c r="AM67" s="81">
        <v>145988.25099999999</v>
      </c>
      <c r="AN67" s="212">
        <v>156480.95300000001</v>
      </c>
      <c r="AO67" s="43">
        <v>156576.47200000001</v>
      </c>
      <c r="AP67" s="81"/>
      <c r="AQ67" s="81">
        <v>107185.283</v>
      </c>
      <c r="AR67" s="81">
        <v>107133.401</v>
      </c>
      <c r="AS67" s="43">
        <v>156340</v>
      </c>
      <c r="AT67" s="43">
        <v>116062.99800000001</v>
      </c>
      <c r="AU67" s="43">
        <v>116143.59699999999</v>
      </c>
      <c r="AV67" s="43">
        <v>126173.716</v>
      </c>
      <c r="AW67" s="43">
        <v>126058</v>
      </c>
      <c r="AX67" s="43">
        <v>80186.444000000003</v>
      </c>
      <c r="AY67" s="43">
        <v>72482.517999999996</v>
      </c>
      <c r="AZ67" s="43">
        <v>66626.884999999995</v>
      </c>
      <c r="BA67" s="43">
        <v>68848.664999999994</v>
      </c>
      <c r="BB67" s="43">
        <v>67805.733999999997</v>
      </c>
      <c r="BC67" s="43">
        <v>63291.339</v>
      </c>
      <c r="BD67" s="15">
        <v>63281.097000000002</v>
      </c>
      <c r="BE67" s="15">
        <v>63515.349000000002</v>
      </c>
      <c r="BF67" s="15">
        <v>63293.512000000002</v>
      </c>
      <c r="BG67" s="15">
        <v>53646.402999999998</v>
      </c>
      <c r="BH67" s="15">
        <v>53630.38</v>
      </c>
      <c r="BI67" s="15">
        <v>54839.673000000003</v>
      </c>
      <c r="BJ67" s="15">
        <v>54184.080999999998</v>
      </c>
      <c r="BK67" s="15">
        <v>50163.603000000003</v>
      </c>
      <c r="BL67" s="15">
        <v>50147.777999999998</v>
      </c>
      <c r="BM67" s="15">
        <v>51050.99</v>
      </c>
      <c r="BN67" s="15">
        <v>50412.294999999998</v>
      </c>
      <c r="BO67" s="15">
        <v>49731.58</v>
      </c>
      <c r="BP67" s="15">
        <v>43761.250999999997</v>
      </c>
      <c r="BQ67" s="15">
        <v>44211.436000000002</v>
      </c>
      <c r="BR67" s="15">
        <v>43601.178</v>
      </c>
      <c r="BS67" s="1"/>
      <c r="BT67" s="1"/>
      <c r="BU67" s="1"/>
      <c r="BV67" s="1"/>
      <c r="BW67" s="1"/>
      <c r="BX67" s="1"/>
      <c r="BY67" s="1"/>
      <c r="BZ67" s="1"/>
      <c r="CA67" s="1"/>
      <c r="CB67" s="1"/>
      <c r="CC67" s="1"/>
      <c r="CD67" s="1"/>
      <c r="CE67" s="1"/>
      <c r="CF67" s="1"/>
      <c r="CG67" s="1"/>
      <c r="CH67" s="1"/>
    </row>
    <row r="68" spans="1:86" ht="14.1" customHeight="1" x14ac:dyDescent="0.2">
      <c r="A68" s="112">
        <v>68</v>
      </c>
      <c r="B68" s="20" t="str">
        <f>IF($D$2=$E$2,E!B68,'R'!B68)</f>
        <v>Собственные средства (капитал Банка)</v>
      </c>
      <c r="C68" s="119">
        <f ca="1">HLOOKUP(OFFSET($F$42,0,1),$42:$71,$A68-$A$41,0)/IF(OFFSET($F$42,0,3)="",HLOOKUP(DATE(YEAR(OFFSET($F$42,0,1)),1,1),$42:$71,$A68-$A$41,0),IF(YEAR(OFFSET($F$42,0,1))-YEAR(OFFSET($F$42,0,3))=0,HLOOKUP(DATE(YEAR(OFFSET($F$42,0,1)),1,1),$42:$71,$A68-$A$41,0),HLOOKUP(DATE(YEAR(OFFSET($F$42,0,1))-1,1,1),$42:$71,$A68-$A$41,0)))-1</f>
        <v>-4.016771998685853E-2</v>
      </c>
      <c r="D68" s="120"/>
      <c r="E68" s="120">
        <f ca="1">IF(MONTH(OFFSET($F$42,0,1))=1,HLOOKUP(OFFSET($F$42,0,1),$42:$71,$A68-$A$41,0)/HLOOKUP(DATE(YEAR(OFFSET($F$42,0,1))-1,10,1),$42:$71,$A68-$A$41,0)-1,IF(ROUND(MONTH(OFFSET($F$42,0,1))/3,0)&lt;=1,HLOOKUP(OFFSET($F$42,0,1),$42:$71,$A68-$A$41,0)/HLOOKUP(DATE(YEAR(OFFSET($F$42,0,1)),1,1),$42:$71,$A68-$A$41,0)-1,IF(ROUND(MONTH(OFFSET($F$42,0,1))/3,0)&lt;=2,HLOOKUP(OFFSET($F$42,0,1),$42:$71,$A68-$A$41,0)/HLOOKUP(DATE(YEAR(OFFSET($F$42,0,1)),4,1),$42:$71,$A68-$A$41,0)-1,IF(ROUND(MONTH(OFFSET($F$42,0,1))/3,0)&lt;=3,HLOOKUP(OFFSET($F$42,0,1),$42:$71,$A68-$A$41,0)/HLOOKUP(DATE(YEAR(OFFSET($F$42,0,1)),7,1),$42:$71,$A68-$A$41,0)-1,HLOOKUP(OFFSET($F$42,0,1),$42:$71,$A68-$A$41,0)/HLOOKUP(DATE(YEAR(OFFSET($F$42,0,1)),10,1),$42:$71,$A68-$A$41,0)-1))))</f>
        <v>-8.7228233078800232E-2</v>
      </c>
      <c r="F68" s="121">
        <f ca="1">HLOOKUP(OFFSET($F$42,0,1),$42:$71,$A68-$A$41,0)/IF(OFFSET($F$42,0,3)="",HLOOKUP(DATE(YEAR(OFFSET($F$42,0,1)),MONTH(OFFSET($F$42,0,1))-1,1),$42:$71,$A68-$A$41,0),IF(YEAR(OFFSET($F$42,0,1))-YEAR(OFFSET($F$42,0,3))=0,HLOOKUP(DATE(YEAR(OFFSET($F$42,0,1)),MONTH(OFFSET($F$42,0,1))-1,1),$42:$71,$A68-$A$41,0),HLOOKUP(DATE(YEAR(OFFSET($F$42,0,1))-1,12,1),$42:$71,$A68-$A$41,0)))-1</f>
        <v>-7.8116213993619121E-2</v>
      </c>
      <c r="G68" s="81">
        <v>194290.85399999999</v>
      </c>
      <c r="H68" s="212">
        <v>210754.17199999999</v>
      </c>
      <c r="I68" s="43">
        <v>212858.08900000001</v>
      </c>
      <c r="J68" s="81"/>
      <c r="K68" s="81">
        <v>207884.66099999999</v>
      </c>
      <c r="L68" s="81">
        <v>205275.94200000001</v>
      </c>
      <c r="M68" s="43">
        <v>202421.671</v>
      </c>
      <c r="N68" s="81"/>
      <c r="O68" s="81">
        <v>203035</v>
      </c>
      <c r="P68" s="81">
        <v>203737.52499999999</v>
      </c>
      <c r="Q68" s="43">
        <v>210877.30600000001</v>
      </c>
      <c r="R68" s="81"/>
      <c r="S68" s="81">
        <v>204162.76300000001</v>
      </c>
      <c r="T68" s="81">
        <v>205401.753</v>
      </c>
      <c r="U68" s="231">
        <v>202094.003</v>
      </c>
      <c r="V68" s="81"/>
      <c r="W68" s="81">
        <v>200739.283</v>
      </c>
      <c r="X68" s="212">
        <v>196444.228</v>
      </c>
      <c r="Y68" s="43">
        <v>211066.372</v>
      </c>
      <c r="Z68" s="81"/>
      <c r="AA68" s="81">
        <v>206063.228</v>
      </c>
      <c r="AB68" s="81">
        <v>198979.136</v>
      </c>
      <c r="AC68" s="43">
        <v>198083.27600000001</v>
      </c>
      <c r="AD68" s="81"/>
      <c r="AE68" s="81">
        <v>191174.55900000001</v>
      </c>
      <c r="AF68" s="81">
        <v>184734.95699999999</v>
      </c>
      <c r="AG68" s="231">
        <v>194037.78</v>
      </c>
      <c r="AH68" s="81"/>
      <c r="AI68" s="81">
        <v>189702.745</v>
      </c>
      <c r="AJ68" s="81">
        <v>185379.96799999999</v>
      </c>
      <c r="AK68" s="43">
        <v>180151.47</v>
      </c>
      <c r="AL68" s="81"/>
      <c r="AM68" s="81">
        <v>160752.54199999999</v>
      </c>
      <c r="AN68" s="212">
        <v>181381.095</v>
      </c>
      <c r="AO68" s="43">
        <v>181883.33799999999</v>
      </c>
      <c r="AP68" s="81"/>
      <c r="AQ68" s="81">
        <v>176608.144</v>
      </c>
      <c r="AR68" s="81">
        <v>174755.82199999999</v>
      </c>
      <c r="AS68" s="43">
        <v>171230</v>
      </c>
      <c r="AT68" s="43">
        <v>168542.18400000001</v>
      </c>
      <c r="AU68" s="43">
        <v>157888.11199999999</v>
      </c>
      <c r="AV68" s="43">
        <v>159075.247</v>
      </c>
      <c r="AW68" s="43">
        <v>141844</v>
      </c>
      <c r="AX68" s="43">
        <v>97252.290999999997</v>
      </c>
      <c r="AY68" s="43">
        <v>93567.164999999994</v>
      </c>
      <c r="AZ68" s="43">
        <v>89820.1</v>
      </c>
      <c r="BA68" s="43">
        <v>89517.619000000006</v>
      </c>
      <c r="BB68" s="43">
        <v>85741.437000000005</v>
      </c>
      <c r="BC68" s="43">
        <v>85227.342999999993</v>
      </c>
      <c r="BD68" s="15">
        <v>87207.876999999993</v>
      </c>
      <c r="BE68" s="15">
        <v>83216.629000000001</v>
      </c>
      <c r="BF68" s="15">
        <v>81784.396999999997</v>
      </c>
      <c r="BG68" s="15">
        <v>79230.218999999997</v>
      </c>
      <c r="BH68" s="15">
        <v>76924.777000000002</v>
      </c>
      <c r="BI68" s="15">
        <v>77060.917000000001</v>
      </c>
      <c r="BJ68" s="15">
        <v>73993.804999999993</v>
      </c>
      <c r="BK68" s="15">
        <v>73303.612999999998</v>
      </c>
      <c r="BL68" s="15">
        <v>72822.759000000005</v>
      </c>
      <c r="BM68" s="15">
        <v>72921.816999999995</v>
      </c>
      <c r="BN68" s="15">
        <v>71715.64</v>
      </c>
      <c r="BO68" s="15">
        <v>70868.403999999995</v>
      </c>
      <c r="BP68" s="15">
        <v>68469.982000000004</v>
      </c>
      <c r="BQ68" s="15">
        <v>66893.357999999993</v>
      </c>
      <c r="BR68" s="15">
        <v>68177.517000000007</v>
      </c>
      <c r="BS68" s="1"/>
      <c r="BT68" s="1"/>
      <c r="BU68" s="1"/>
      <c r="BV68" s="1"/>
      <c r="BW68" s="1"/>
      <c r="BX68" s="1"/>
      <c r="BY68" s="1"/>
      <c r="BZ68" s="1"/>
      <c r="CA68" s="1"/>
      <c r="CB68" s="1"/>
      <c r="CC68" s="1"/>
      <c r="CD68" s="1"/>
      <c r="CE68" s="1"/>
      <c r="CF68" s="1"/>
      <c r="CG68" s="1"/>
      <c r="CH68" s="1"/>
    </row>
    <row r="69" spans="1:86" ht="14.1" customHeight="1" x14ac:dyDescent="0.2">
      <c r="A69" s="112">
        <v>69</v>
      </c>
      <c r="B69" s="2" t="str">
        <f>IF($D$2=$E$2,E!B69,'R'!B69)</f>
        <v>Достаточность базового капитала (Н1.1)</v>
      </c>
      <c r="C69" s="115">
        <f ca="1">HLOOKUP(OFFSET($F$42,0,1),$42:$71,$A69-$A$41,0)-IF(OFFSET($F$42,0,3)="",HLOOKUP(DATE(YEAR(OFFSET($F$42,0,1)),1,1),$42:$71,$A69-$A$41,0),IF(YEAR(OFFSET($F$42,0,1))-YEAR(OFFSET($F$42,0,3))=0,HLOOKUP(DATE(YEAR(OFFSET($F$42,0,1)),1,1),$42:$71,$A69-$A$41,0),HLOOKUP(DATE(YEAR(OFFSET($F$42,0,1))-1,1,1),$42:$71,$A69-$A$41,0)))</f>
        <v>-1.1529999999999985E-2</v>
      </c>
      <c r="D69" s="118"/>
      <c r="E69" s="118">
        <f ca="1">IF(MONTH(OFFSET($F$42,0,1))=1,HLOOKUP(OFFSET($F$42,0,1),$42:$71,$A69-$A$41,0)-HLOOKUP(DATE(YEAR(OFFSET($F$42,0,1))-1,10,1),$42:$71,$A69-$A$41,0),IF(ROUND(MONTH(OFFSET($F$42,0,1))/3,0)&lt;=1,HLOOKUP(OFFSET($F$42,0,1),$42:$71,$A69-$A$41,0)-HLOOKUP(DATE(YEAR(OFFSET($F$42,0,1)),1,1),$42:$71,$A69-$A$41,0),IF(ROUND(MONTH(OFFSET($F$42,0,1))/3,0)&lt;=2,HLOOKUP(OFFSET($F$42,0,1),$42:$71,$A69-$A$41,0)-HLOOKUP(DATE(YEAR(OFFSET($F$42,0,1)),4,1),$42:$71,$A69-$A$41,0),IF(ROUND(MONTH(OFFSET($F$42,0,1))/3,0)&lt;=3,HLOOKUP(OFFSET($F$42,0,1),$42:$71,$A69-$A$41,0)-HLOOKUP(DATE(YEAR(OFFSET($F$42,0,1)),7,1),$42:$71,$A69-$A$41,0),HLOOKUP(OFFSET($F$42,0,1),$42:$71,$A69-$A$41,0)-HLOOKUP(DATE(YEAR(OFFSET($F$42,0,1)),10,1),$42:$71,$A69-$A$41,0)))))</f>
        <v>-1.0929999999999995E-2</v>
      </c>
      <c r="F69" s="117">
        <f ca="1">HLOOKUP(OFFSET($F$42,0,1),$42:$71,$A69-$A$41,0)-IF(OFFSET($F$42,0,3)="",HLOOKUP(DATE(YEAR(OFFSET($F$42,0,1)),MONTH(OFFSET($F$42,0,1))-1,1),$42:$71,$A69-$A$41,0),IF(YEAR(OFFSET($F$42,0,1))-YEAR(OFFSET($F$42,0,3))=0,HLOOKUP(DATE(YEAR(OFFSET($F$42,0,1)),MONTH(OFFSET($F$42,0,1))-1,1),$42:$71,$A69-$A$41,0),HLOOKUP(DATE(YEAR(OFFSET($F$42,0,1))-1,12,1),$42:$71,$A69-$A$41,0)))</f>
        <v>-1.591999999999999E-2</v>
      </c>
      <c r="G69" s="83">
        <v>0.1857</v>
      </c>
      <c r="H69" s="83">
        <v>0.20161999999999999</v>
      </c>
      <c r="I69" s="71">
        <v>0.19663</v>
      </c>
      <c r="J69" s="83"/>
      <c r="K69" s="83">
        <v>0.17238000000000001</v>
      </c>
      <c r="L69" s="83">
        <v>0.16300999999999999</v>
      </c>
      <c r="M69" s="71">
        <v>0.19722999999999999</v>
      </c>
      <c r="N69" s="83"/>
      <c r="O69" s="83">
        <v>0.16943</v>
      </c>
      <c r="P69" s="83">
        <v>0.16861999999999999</v>
      </c>
      <c r="Q69" s="71">
        <v>0.17288000000000001</v>
      </c>
      <c r="R69" s="83"/>
      <c r="S69" s="83">
        <v>0.17927000000000001</v>
      </c>
      <c r="T69" s="83">
        <v>0.16464000000000001</v>
      </c>
      <c r="U69" s="71">
        <v>0.16653000000000001</v>
      </c>
      <c r="V69" s="83"/>
      <c r="W69" s="83">
        <v>0.17274</v>
      </c>
      <c r="X69" s="215">
        <v>0.17832000000000001</v>
      </c>
      <c r="Y69" s="242">
        <v>0.19528999999999999</v>
      </c>
      <c r="Z69" s="83"/>
      <c r="AA69" s="83">
        <v>0.14510999999999999</v>
      </c>
      <c r="AB69" s="83">
        <v>0.14939</v>
      </c>
      <c r="AC69" s="71">
        <v>0.20444999999999999</v>
      </c>
      <c r="AD69" s="83"/>
      <c r="AE69" s="83">
        <v>0.14910999999999999</v>
      </c>
      <c r="AF69" s="83">
        <v>0.15089</v>
      </c>
      <c r="AG69" s="71">
        <v>0.17016000000000001</v>
      </c>
      <c r="AH69" s="83"/>
      <c r="AI69" s="83">
        <v>0.16919000000000001</v>
      </c>
      <c r="AJ69" s="83">
        <v>0.16947000000000001</v>
      </c>
      <c r="AK69" s="71">
        <v>0.17011999999999999</v>
      </c>
      <c r="AL69" s="83"/>
      <c r="AM69" s="83">
        <v>0.16813</v>
      </c>
      <c r="AN69" s="215">
        <v>0.17801</v>
      </c>
      <c r="AO69" s="71">
        <v>0.18346999999999999</v>
      </c>
      <c r="AP69" s="83"/>
      <c r="AQ69" s="83">
        <v>0.12231</v>
      </c>
      <c r="AR69" s="83">
        <v>0.12227</v>
      </c>
      <c r="AS69" s="71">
        <v>0.1862</v>
      </c>
      <c r="AT69" s="71">
        <v>0.15347</v>
      </c>
      <c r="AU69" s="71">
        <v>0.16683000000000001</v>
      </c>
      <c r="AV69" s="71">
        <v>0.17341999999999999</v>
      </c>
      <c r="AW69" s="71">
        <v>0.18129999999999999</v>
      </c>
      <c r="AX69" s="71">
        <v>0.1115</v>
      </c>
      <c r="AY69" s="71">
        <v>0.10237</v>
      </c>
      <c r="AZ69" s="71">
        <v>9.8030000000000006E-2</v>
      </c>
      <c r="BA69" s="71">
        <v>0.10204000000000001</v>
      </c>
      <c r="BB69" s="71">
        <v>0.10600999999999999</v>
      </c>
      <c r="BC69" s="71">
        <v>9.783E-2</v>
      </c>
      <c r="BD69" s="23">
        <v>0.10780000000000001</v>
      </c>
      <c r="BE69" s="23">
        <v>0.10403999999999999</v>
      </c>
      <c r="BF69" s="23">
        <v>0.11508</v>
      </c>
      <c r="BG69" s="23">
        <v>9.9709999999999993E-2</v>
      </c>
      <c r="BH69" s="23">
        <v>0.10373</v>
      </c>
      <c r="BI69" s="23">
        <v>0.10425</v>
      </c>
      <c r="BJ69" s="23">
        <v>0.10088</v>
      </c>
      <c r="BK69" s="23">
        <v>9.2999999999999999E-2</v>
      </c>
      <c r="BL69" s="23">
        <v>0.10199999999999999</v>
      </c>
      <c r="BM69" s="23">
        <v>0.108</v>
      </c>
      <c r="BN69" s="23">
        <v>0.100879</v>
      </c>
      <c r="BO69" s="23">
        <v>0.10299999999999999</v>
      </c>
      <c r="BP69" s="23">
        <v>0.09</v>
      </c>
      <c r="BQ69" s="23">
        <v>0.09</v>
      </c>
      <c r="BR69" s="23">
        <v>9.1798000000000005E-2</v>
      </c>
      <c r="BS69" s="1"/>
      <c r="BT69" s="1"/>
      <c r="BU69" s="1"/>
      <c r="BV69" s="1"/>
      <c r="BW69" s="1"/>
      <c r="BX69" s="1"/>
      <c r="BY69" s="1"/>
      <c r="BZ69" s="1"/>
      <c r="CA69" s="1"/>
      <c r="CB69" s="1"/>
      <c r="CC69" s="1"/>
      <c r="CD69" s="1"/>
      <c r="CE69" s="1"/>
      <c r="CF69" s="1"/>
      <c r="CG69" s="1"/>
      <c r="CH69" s="1"/>
    </row>
    <row r="70" spans="1:86" ht="14.1" customHeight="1" x14ac:dyDescent="0.2">
      <c r="A70" s="112">
        <v>70</v>
      </c>
      <c r="B70" s="2" t="str">
        <f>IF($D$2=$E$2,E!B70,'R'!B70)</f>
        <v>Достаточность основного капитала (Н1.2)</v>
      </c>
      <c r="C70" s="115">
        <f ca="1">HLOOKUP(OFFSET($F$42,0,1),$42:$71,$A70-$A$41,0)-IF(OFFSET($F$42,0,3)="",HLOOKUP(DATE(YEAR(OFFSET($F$42,0,1)),1,1),$42:$71,$A70-$A$41,0),IF(YEAR(OFFSET($F$42,0,1))-YEAR(OFFSET($F$42,0,3))=0,HLOOKUP(DATE(YEAR(OFFSET($F$42,0,1)),1,1),$42:$71,$A70-$A$41,0),HLOOKUP(DATE(YEAR(OFFSET($F$42,0,1))-1,1,1),$42:$71,$A70-$A$41,0)))</f>
        <v>-1.1529999999999985E-2</v>
      </c>
      <c r="D70" s="118"/>
      <c r="E70" s="118">
        <f ca="1">IF(MONTH(OFFSET($F$42,0,1))=1,HLOOKUP(OFFSET($F$42,0,1),$42:$71,$A70-$A$41,0)-HLOOKUP(DATE(YEAR(OFFSET($F$42,0,1))-1,10,1),$42:$71,$A70-$A$41,0),IF(ROUND(MONTH(OFFSET($F$42,0,1))/3,0)&lt;=1,HLOOKUP(OFFSET($F$42,0,1),$42:$71,$A70-$A$41,0)-HLOOKUP(DATE(YEAR(OFFSET($F$42,0,1)),1,1),$42:$71,$A70-$A$41,0),IF(ROUND(MONTH(OFFSET($F$42,0,1))/3,0)&lt;=2,HLOOKUP(OFFSET($F$42,0,1),$42:$71,$A70-$A$41,0)-HLOOKUP(DATE(YEAR(OFFSET($F$42,0,1)),4,1),$42:$71,$A70-$A$41,0),IF(ROUND(MONTH(OFFSET($F$42,0,1))/3,0)&lt;=3,HLOOKUP(OFFSET($F$42,0,1),$42:$71,$A70-$A$41,0)-HLOOKUP(DATE(YEAR(OFFSET($F$42,0,1)),7,1),$42:$71,$A70-$A$41,0),HLOOKUP(OFFSET($F$42,0,1),$42:$71,$A70-$A$41,0)-HLOOKUP(DATE(YEAR(OFFSET($F$42,0,1)),10,1),$42:$71,$A70-$A$41,0)))))</f>
        <v>-1.0929999999999995E-2</v>
      </c>
      <c r="F70" s="117">
        <f ca="1">HLOOKUP(OFFSET($F$42,0,1),$42:$71,$A70-$A$41,0)-IF(OFFSET($F$42,0,3)="",HLOOKUP(DATE(YEAR(OFFSET($F$42,0,1)),MONTH(OFFSET($F$42,0,1))-1,1),$42:$71,$A70-$A$41,0),IF(YEAR(OFFSET($F$42,0,1))-YEAR(OFFSET($F$42,0,3))=0,HLOOKUP(DATE(YEAR(OFFSET($F$42,0,1)),MONTH(OFFSET($F$42,0,1))-1,1),$42:$71,$A70-$A$41,0),HLOOKUP(DATE(YEAR(OFFSET($F$42,0,1))-1,12,1),$42:$71,$A70-$A$41,0)))</f>
        <v>-1.591999999999999E-2</v>
      </c>
      <c r="G70" s="83">
        <v>0.1857</v>
      </c>
      <c r="H70" s="83">
        <v>0.20161999999999999</v>
      </c>
      <c r="I70" s="71">
        <v>0.19663</v>
      </c>
      <c r="J70" s="83"/>
      <c r="K70" s="83">
        <v>0.17238000000000001</v>
      </c>
      <c r="L70" s="83">
        <v>0.16300999999999999</v>
      </c>
      <c r="M70" s="71">
        <v>0.19722999999999999</v>
      </c>
      <c r="N70" s="83"/>
      <c r="O70" s="83">
        <v>0.16943</v>
      </c>
      <c r="P70" s="83">
        <v>0.16861999999999999</v>
      </c>
      <c r="Q70" s="71">
        <v>0.17288000000000001</v>
      </c>
      <c r="R70" s="83"/>
      <c r="S70" s="83">
        <v>0.17927000000000001</v>
      </c>
      <c r="T70" s="83">
        <v>0.16464000000000001</v>
      </c>
      <c r="U70" s="71">
        <v>0.16653000000000001</v>
      </c>
      <c r="V70" s="83"/>
      <c r="W70" s="83">
        <v>0.17274</v>
      </c>
      <c r="X70" s="215">
        <v>0.17832000000000001</v>
      </c>
      <c r="Y70" s="242">
        <v>0.19528999999999999</v>
      </c>
      <c r="Z70" s="83"/>
      <c r="AA70" s="83">
        <v>0.14510999999999999</v>
      </c>
      <c r="AB70" s="83">
        <v>0.14939</v>
      </c>
      <c r="AC70" s="71">
        <v>0.20444999999999999</v>
      </c>
      <c r="AD70" s="83"/>
      <c r="AE70" s="83">
        <v>0.14910999999999999</v>
      </c>
      <c r="AF70" s="83">
        <v>0.15089</v>
      </c>
      <c r="AG70" s="71">
        <v>0.17016000000000001</v>
      </c>
      <c r="AH70" s="83"/>
      <c r="AI70" s="83">
        <v>0.16919000000000001</v>
      </c>
      <c r="AJ70" s="83">
        <v>0.16947000000000001</v>
      </c>
      <c r="AK70" s="71">
        <v>0.17011999999999999</v>
      </c>
      <c r="AL70" s="83"/>
      <c r="AM70" s="83">
        <v>0.16813</v>
      </c>
      <c r="AN70" s="215">
        <v>0.17801</v>
      </c>
      <c r="AO70" s="71">
        <v>0.18346999999999999</v>
      </c>
      <c r="AP70" s="83"/>
      <c r="AQ70" s="83">
        <v>0.12231</v>
      </c>
      <c r="AR70" s="83">
        <v>0.12227</v>
      </c>
      <c r="AS70" s="71">
        <v>0.1862</v>
      </c>
      <c r="AT70" s="71">
        <v>0.15347</v>
      </c>
      <c r="AU70" s="71">
        <v>0.16683000000000001</v>
      </c>
      <c r="AV70" s="71">
        <v>0.17341999999999999</v>
      </c>
      <c r="AW70" s="71">
        <v>0.18129999999999999</v>
      </c>
      <c r="AX70" s="71">
        <v>0.1115</v>
      </c>
      <c r="AY70" s="71">
        <v>0.10237</v>
      </c>
      <c r="AZ70" s="71">
        <v>9.8030000000000006E-2</v>
      </c>
      <c r="BA70" s="71">
        <v>0.10204000000000001</v>
      </c>
      <c r="BB70" s="71">
        <v>0.10600999999999999</v>
      </c>
      <c r="BC70" s="71">
        <v>9.783E-2</v>
      </c>
      <c r="BD70" s="23">
        <v>0.10780000000000001</v>
      </c>
      <c r="BE70" s="23">
        <v>0.10403999999999999</v>
      </c>
      <c r="BF70" s="23">
        <v>0.11508</v>
      </c>
      <c r="BG70" s="23">
        <v>9.9709999999999993E-2</v>
      </c>
      <c r="BH70" s="23">
        <v>0.10373</v>
      </c>
      <c r="BI70" s="23">
        <v>0.10425</v>
      </c>
      <c r="BJ70" s="23">
        <v>0.10088</v>
      </c>
      <c r="BK70" s="23">
        <v>9.2999999999999999E-2</v>
      </c>
      <c r="BL70" s="23">
        <v>0.10199999999999999</v>
      </c>
      <c r="BM70" s="23">
        <v>0.108</v>
      </c>
      <c r="BN70" s="23">
        <v>0.100879</v>
      </c>
      <c r="BO70" s="23">
        <v>0.10299999999999999</v>
      </c>
      <c r="BP70" s="23">
        <v>0.09</v>
      </c>
      <c r="BQ70" s="23">
        <v>0.09</v>
      </c>
      <c r="BR70" s="23">
        <v>9.1798000000000005E-2</v>
      </c>
      <c r="BS70" s="1"/>
      <c r="BT70" s="1"/>
      <c r="BU70" s="1"/>
      <c r="BV70" s="1"/>
      <c r="BW70" s="1"/>
      <c r="BX70" s="1"/>
      <c r="BY70" s="1"/>
      <c r="BZ70" s="1"/>
      <c r="CA70" s="1"/>
      <c r="CB70" s="1"/>
      <c r="CC70" s="1"/>
      <c r="CD70" s="1"/>
      <c r="CE70" s="1"/>
      <c r="CF70" s="1"/>
      <c r="CG70" s="1"/>
      <c r="CH70" s="1"/>
    </row>
    <row r="71" spans="1:86" ht="14.1" customHeight="1" x14ac:dyDescent="0.2">
      <c r="A71" s="112">
        <v>71</v>
      </c>
      <c r="B71" s="2" t="str">
        <f>IF($D$2=$E$2,E!B71,'R'!B71)</f>
        <v>Достаточность капитала банка (Н1.0)</v>
      </c>
      <c r="C71" s="115">
        <f ca="1">HLOOKUP(OFFSET($F$42,0,1),$42:$71,$A71-$A$41,0)-IF(OFFSET($F$42,0,3)="",HLOOKUP(DATE(YEAR(OFFSET($F$42,0,1)),1,1),$42:$71,$A71-$A$41,0),IF(YEAR(OFFSET($F$42,0,1))-YEAR(OFFSET($F$42,0,3))=0,HLOOKUP(DATE(YEAR(OFFSET($F$42,0,1)),1,1),$42:$71,$A71-$A$41,0),HLOOKUP(DATE(YEAR(OFFSET($F$42,0,1))-1,1,1),$42:$71,$A71-$A$41,0)))</f>
        <v>-3.5900000000000098E-3</v>
      </c>
      <c r="D71" s="118"/>
      <c r="E71" s="118">
        <f ca="1">IF(MONTH(OFFSET($F$42,0,1))=1,HLOOKUP(OFFSET($F$42,0,1),$42:$71,$A71-$A$41,0)-HLOOKUP(DATE(YEAR(OFFSET($F$42,0,1))-1,10,1),$42:$71,$A71-$A$41,0),IF(ROUND(MONTH(OFFSET($F$42,0,1))/3,0)&lt;=1,HLOOKUP(OFFSET($F$42,0,1),$42:$71,$A71-$A$41,0)-HLOOKUP(DATE(YEAR(OFFSET($F$42,0,1)),1,1),$42:$71,$A71-$A$41,0),IF(ROUND(MONTH(OFFSET($F$42,0,1))/3,0)&lt;=2,HLOOKUP(OFFSET($F$42,0,1),$42:$71,$A71-$A$41,0)-HLOOKUP(DATE(YEAR(OFFSET($F$42,0,1)),4,1),$42:$71,$A71-$A$41,0),IF(ROUND(MONTH(OFFSET($F$42,0,1))/3,0)&lt;=3,HLOOKUP(OFFSET($F$42,0,1),$42:$71,$A71-$A$41,0)-HLOOKUP(DATE(YEAR(OFFSET($F$42,0,1)),7,1),$42:$71,$A71-$A$41,0),HLOOKUP(OFFSET($F$42,0,1),$42:$71,$A71-$A$41,0)-HLOOKUP(DATE(YEAR(OFFSET($F$42,0,1)),10,1),$42:$71,$A71-$A$41,0)))))</f>
        <v>-1.4240000000000003E-2</v>
      </c>
      <c r="F71" s="117">
        <f ca="1">HLOOKUP(OFFSET($F$42,0,1),$42:$71,$A71-$A$41,0)-IF(OFFSET($F$42,0,3)="",HLOOKUP(DATE(YEAR(OFFSET($F$42,0,1)),MONTH(OFFSET($F$42,0,1))-1,1),$42:$71,$A71-$A$41,0),IF(YEAR(OFFSET($F$42,0,1))-YEAR(OFFSET($F$42,0,3))=0,HLOOKUP(DATE(YEAR(OFFSET($F$42,0,1)),MONTH(OFFSET($F$42,0,1))-1,1),$42:$71,$A71-$A$41,0),HLOOKUP(DATE(YEAR(OFFSET($F$42,0,1))-1,12,1),$42:$71,$A71-$A$41,0)))</f>
        <v>-1.7680000000000001E-2</v>
      </c>
      <c r="G71" s="83">
        <v>0.2054</v>
      </c>
      <c r="H71" s="83">
        <v>0.22308</v>
      </c>
      <c r="I71" s="71">
        <v>0.21964</v>
      </c>
      <c r="J71" s="83"/>
      <c r="K71" s="83">
        <v>0.22375</v>
      </c>
      <c r="L71" s="83">
        <v>0.20868999999999999</v>
      </c>
      <c r="M71" s="71">
        <v>0.20899000000000001</v>
      </c>
      <c r="N71" s="83"/>
      <c r="O71" s="83">
        <v>0.21276</v>
      </c>
      <c r="P71" s="83">
        <v>0.21221999999999999</v>
      </c>
      <c r="Q71" s="71">
        <v>0.21456</v>
      </c>
      <c r="R71" s="83"/>
      <c r="S71" s="83">
        <v>0.21546000000000001</v>
      </c>
      <c r="T71" s="83">
        <v>0.19894999999999999</v>
      </c>
      <c r="U71" s="71">
        <v>0.19813</v>
      </c>
      <c r="V71" s="83"/>
      <c r="W71" s="83">
        <v>0.20399999999999999</v>
      </c>
      <c r="X71" s="215">
        <v>0.20602999999999999</v>
      </c>
      <c r="Y71" s="242">
        <v>0.22236</v>
      </c>
      <c r="Z71" s="83"/>
      <c r="AA71" s="83">
        <v>0.22289</v>
      </c>
      <c r="AB71" s="83">
        <v>0.22166</v>
      </c>
      <c r="AC71" s="71">
        <v>0.21844</v>
      </c>
      <c r="AD71" s="83"/>
      <c r="AE71" s="83">
        <v>0.21148</v>
      </c>
      <c r="AF71" s="83">
        <v>0.20701</v>
      </c>
      <c r="AG71" s="71">
        <v>0.22486</v>
      </c>
      <c r="AH71" s="83"/>
      <c r="AI71" s="83">
        <v>0.21848000000000001</v>
      </c>
      <c r="AJ71" s="83">
        <v>0.21390000000000001</v>
      </c>
      <c r="AK71" s="71">
        <v>0.20901</v>
      </c>
      <c r="AL71" s="83"/>
      <c r="AM71" s="83">
        <v>0.18442</v>
      </c>
      <c r="AN71" s="215">
        <v>0.20554</v>
      </c>
      <c r="AO71" s="71">
        <v>0.21228</v>
      </c>
      <c r="AP71" s="83"/>
      <c r="AQ71" s="83">
        <v>0.20088</v>
      </c>
      <c r="AR71" s="83">
        <v>0.1988</v>
      </c>
      <c r="AS71" s="71">
        <v>0.2031</v>
      </c>
      <c r="AT71" s="71">
        <v>0.22208</v>
      </c>
      <c r="AU71" s="71">
        <v>0.22583</v>
      </c>
      <c r="AV71" s="71">
        <v>0.21770999999999999</v>
      </c>
      <c r="AW71" s="71">
        <v>0.20300000000000001</v>
      </c>
      <c r="AX71" s="71">
        <v>0.1346</v>
      </c>
      <c r="AY71" s="71">
        <v>0.13153000000000001</v>
      </c>
      <c r="AZ71" s="71">
        <v>0.13149</v>
      </c>
      <c r="BA71" s="71">
        <v>0.13195999999999999</v>
      </c>
      <c r="BB71" s="71">
        <v>0.13325999999999999</v>
      </c>
      <c r="BC71" s="71">
        <v>0.13095000000000001</v>
      </c>
      <c r="BD71" s="23">
        <v>0.14757999999999999</v>
      </c>
      <c r="BE71" s="23">
        <v>0.13546</v>
      </c>
      <c r="BF71" s="23">
        <v>0.14762</v>
      </c>
      <c r="BG71" s="23">
        <v>0.14612</v>
      </c>
      <c r="BH71" s="23">
        <v>0.14752999999999999</v>
      </c>
      <c r="BI71" s="23">
        <v>0.14532999999999999</v>
      </c>
      <c r="BJ71" s="23">
        <v>0.13664999999999999</v>
      </c>
      <c r="BK71" s="23">
        <v>0.13400000000000001</v>
      </c>
      <c r="BL71" s="23">
        <v>0.14699999999999999</v>
      </c>
      <c r="BM71" s="23">
        <v>0.153</v>
      </c>
      <c r="BN71" s="23">
        <v>0.14228299999999999</v>
      </c>
      <c r="BO71" s="23">
        <v>0.14599999999999999</v>
      </c>
      <c r="BP71" s="23">
        <v>0.13900000000000001</v>
      </c>
      <c r="BQ71" s="23">
        <v>0.13500000000000001</v>
      </c>
      <c r="BR71" s="23">
        <v>0.14247499999999999</v>
      </c>
      <c r="BS71" s="1"/>
      <c r="BT71" s="1"/>
      <c r="BU71" s="1"/>
      <c r="BV71" s="1"/>
      <c r="BW71" s="1"/>
      <c r="BX71" s="1"/>
      <c r="BY71" s="1"/>
      <c r="BZ71" s="1"/>
      <c r="CA71" s="1"/>
      <c r="CB71" s="1"/>
      <c r="CC71" s="1"/>
      <c r="CD71" s="1"/>
      <c r="CE71" s="1"/>
      <c r="CF71" s="1"/>
      <c r="CG71" s="1"/>
      <c r="CH71" s="1"/>
    </row>
    <row r="72" spans="1:86" ht="14.1" customHeight="1" x14ac:dyDescent="0.2">
      <c r="B72" s="12"/>
      <c r="C72" s="11"/>
      <c r="D72" s="11"/>
      <c r="E72" s="11"/>
      <c r="F72" s="11"/>
      <c r="G72" s="11"/>
      <c r="H72" s="11"/>
      <c r="I72" s="11"/>
      <c r="J72" s="11"/>
      <c r="K72" s="11"/>
      <c r="L72" s="11"/>
      <c r="M72" s="253"/>
      <c r="N72" s="11"/>
      <c r="O72" s="11"/>
      <c r="P72" s="11"/>
      <c r="Q72" s="195"/>
      <c r="R72" s="85"/>
      <c r="S72" s="11"/>
      <c r="T72" s="11"/>
      <c r="U72" s="11"/>
      <c r="V72" s="11"/>
      <c r="W72" s="11"/>
      <c r="X72" s="11"/>
      <c r="Y72" s="11"/>
      <c r="Z72" s="11"/>
      <c r="AA72" s="11"/>
      <c r="AB72" s="11"/>
      <c r="AC72" s="11"/>
      <c r="AD72" s="11"/>
      <c r="AE72" s="11"/>
      <c r="AF72" s="11"/>
      <c r="AG72" s="195"/>
      <c r="AH72" s="85"/>
      <c r="AI72" s="11"/>
      <c r="AJ72" s="11"/>
      <c r="AK72" s="11"/>
      <c r="AL72" s="11"/>
      <c r="AM72" s="11"/>
      <c r="AN72" s="11"/>
      <c r="AO72" s="11"/>
      <c r="AP72" s="11"/>
      <c r="AQ72" s="11"/>
      <c r="AR72" s="11"/>
      <c r="AS72" s="11"/>
      <c r="AT72" s="143"/>
      <c r="AU72" s="11"/>
      <c r="AV72" s="11"/>
      <c r="AW72" s="11"/>
      <c r="AX72" s="8"/>
      <c r="AY72" s="8"/>
      <c r="AZ72" s="1"/>
      <c r="BA72" s="1"/>
      <c r="BB72" s="1"/>
      <c r="BC72" s="1"/>
    </row>
    <row r="73" spans="1:86" s="1" customFormat="1" ht="14.1" customHeight="1" x14ac:dyDescent="0.2">
      <c r="A73" s="112"/>
    </row>
    <row r="74" spans="1:86" s="1" customFormat="1" ht="14.1" customHeight="1" x14ac:dyDescent="0.2">
      <c r="A74" s="112"/>
    </row>
    <row r="75" spans="1:86" s="1" customFormat="1" ht="14.1" customHeight="1" x14ac:dyDescent="0.2">
      <c r="A75" s="112"/>
    </row>
    <row r="76" spans="1:86" s="1" customFormat="1" ht="14.1" customHeight="1" x14ac:dyDescent="0.2">
      <c r="A76" s="112"/>
    </row>
    <row r="77" spans="1:86" s="1" customFormat="1" ht="14.1" customHeight="1" x14ac:dyDescent="0.2">
      <c r="A77" s="112"/>
    </row>
    <row r="78" spans="1:86" s="1" customFormat="1" ht="14.1" customHeight="1" x14ac:dyDescent="0.2">
      <c r="A78" s="112"/>
    </row>
    <row r="79" spans="1:86" s="1" customFormat="1" ht="14.1" customHeight="1" x14ac:dyDescent="0.2">
      <c r="A79" s="112"/>
    </row>
    <row r="80" spans="1:86" s="1" customFormat="1" ht="14.1" customHeight="1" x14ac:dyDescent="0.2">
      <c r="A80" s="112"/>
    </row>
    <row r="81" spans="1:1" s="1" customFormat="1" ht="14.1" customHeight="1" x14ac:dyDescent="0.2">
      <c r="A81" s="112"/>
    </row>
    <row r="82" spans="1:1" s="1" customFormat="1" ht="14.1" customHeight="1" x14ac:dyDescent="0.2">
      <c r="A82" s="112"/>
    </row>
    <row r="83" spans="1:1" s="1" customFormat="1" ht="14.1" customHeight="1" x14ac:dyDescent="0.2">
      <c r="A83" s="112"/>
    </row>
    <row r="84" spans="1:1" s="1" customFormat="1" ht="14.1" customHeight="1" x14ac:dyDescent="0.2">
      <c r="A84" s="112"/>
    </row>
    <row r="85" spans="1:1" s="1" customFormat="1" ht="14.1" customHeight="1" x14ac:dyDescent="0.2">
      <c r="A85" s="112"/>
    </row>
    <row r="86" spans="1:1" s="1" customFormat="1" ht="14.1" customHeight="1" x14ac:dyDescent="0.2">
      <c r="A86" s="112"/>
    </row>
    <row r="87" spans="1:1" s="1" customFormat="1" ht="14.1" customHeight="1" x14ac:dyDescent="0.2">
      <c r="A87" s="112"/>
    </row>
    <row r="88" spans="1:1" s="1" customFormat="1" ht="14.1" customHeight="1" x14ac:dyDescent="0.2">
      <c r="A88" s="112"/>
    </row>
    <row r="89" spans="1:1" s="1" customFormat="1" ht="14.1" customHeight="1" x14ac:dyDescent="0.2">
      <c r="A89" s="112"/>
    </row>
    <row r="90" spans="1:1" s="1" customFormat="1" ht="14.1" customHeight="1" x14ac:dyDescent="0.2">
      <c r="A90" s="112"/>
    </row>
    <row r="91" spans="1:1" s="1" customFormat="1" ht="14.1" customHeight="1" x14ac:dyDescent="0.2">
      <c r="A91" s="112"/>
    </row>
    <row r="92" spans="1:1" s="1" customFormat="1" ht="14.1" customHeight="1" x14ac:dyDescent="0.2">
      <c r="A92" s="112"/>
    </row>
    <row r="93" spans="1:1" s="1" customFormat="1" ht="14.1" customHeight="1" x14ac:dyDescent="0.2">
      <c r="A93" s="112"/>
    </row>
    <row r="94" spans="1:1" s="1" customFormat="1" ht="14.1" customHeight="1" x14ac:dyDescent="0.2">
      <c r="A94" s="112"/>
    </row>
    <row r="95" spans="1:1" s="1" customFormat="1" ht="14.1" customHeight="1" x14ac:dyDescent="0.2">
      <c r="A95" s="112"/>
    </row>
    <row r="96" spans="1:1" s="1" customFormat="1" ht="14.1" customHeight="1" x14ac:dyDescent="0.2">
      <c r="A96" s="112"/>
    </row>
    <row r="97" spans="1:1" s="1" customFormat="1" ht="14.1" customHeight="1" x14ac:dyDescent="0.2">
      <c r="A97" s="112"/>
    </row>
    <row r="98" spans="1:1" s="1" customFormat="1" ht="14.1" customHeight="1" x14ac:dyDescent="0.2">
      <c r="A98" s="112"/>
    </row>
    <row r="99" spans="1:1" s="1" customFormat="1" ht="14.1" customHeight="1" x14ac:dyDescent="0.2">
      <c r="A99" s="112"/>
    </row>
    <row r="100" spans="1:1" s="1" customFormat="1" ht="14.1" customHeight="1" x14ac:dyDescent="0.2">
      <c r="A100" s="112"/>
    </row>
    <row r="101" spans="1:1" s="1" customFormat="1" ht="14.1" customHeight="1" x14ac:dyDescent="0.2">
      <c r="A101" s="112"/>
    </row>
    <row r="102" spans="1:1" s="1" customFormat="1" ht="14.1" customHeight="1" x14ac:dyDescent="0.2">
      <c r="A102" s="112"/>
    </row>
    <row r="103" spans="1:1" s="1" customFormat="1" ht="14.1" customHeight="1" x14ac:dyDescent="0.2">
      <c r="A103" s="112"/>
    </row>
    <row r="104" spans="1:1" s="1" customFormat="1" ht="14.1" customHeight="1" x14ac:dyDescent="0.2">
      <c r="A104" s="112"/>
    </row>
    <row r="105" spans="1:1" s="1" customFormat="1" ht="14.1" customHeight="1" x14ac:dyDescent="0.2">
      <c r="A105" s="112"/>
    </row>
    <row r="106" spans="1:1" s="1" customFormat="1" ht="14.1" customHeight="1" x14ac:dyDescent="0.2">
      <c r="A106" s="112"/>
    </row>
    <row r="107" spans="1:1" s="1" customFormat="1" ht="14.1" customHeight="1" x14ac:dyDescent="0.2">
      <c r="A107" s="112"/>
    </row>
    <row r="108" spans="1:1" s="1" customFormat="1" ht="14.1" customHeight="1" x14ac:dyDescent="0.2">
      <c r="A108" s="112"/>
    </row>
    <row r="109" spans="1:1" s="1" customFormat="1" ht="14.1" customHeight="1" x14ac:dyDescent="0.2">
      <c r="A109" s="112"/>
    </row>
    <row r="110" spans="1:1" s="1" customFormat="1" ht="14.1" customHeight="1" x14ac:dyDescent="0.2">
      <c r="A110" s="112"/>
    </row>
    <row r="111" spans="1:1" s="1" customFormat="1" ht="14.1" customHeight="1" x14ac:dyDescent="0.2">
      <c r="A111" s="112"/>
    </row>
    <row r="112" spans="1:1" s="1" customFormat="1" ht="14.1" customHeight="1" x14ac:dyDescent="0.2">
      <c r="A112" s="112"/>
    </row>
    <row r="113" spans="1:1" s="1" customFormat="1" ht="14.1" customHeight="1" x14ac:dyDescent="0.2">
      <c r="A113" s="112"/>
    </row>
    <row r="114" spans="1:1" s="1" customFormat="1" ht="14.1" customHeight="1" x14ac:dyDescent="0.2">
      <c r="A114" s="112"/>
    </row>
    <row r="115" spans="1:1" s="1" customFormat="1" ht="14.1" customHeight="1" x14ac:dyDescent="0.2">
      <c r="A115" s="112"/>
    </row>
    <row r="116" spans="1:1" s="1" customFormat="1" ht="14.1" customHeight="1" x14ac:dyDescent="0.2">
      <c r="A116" s="112"/>
    </row>
    <row r="117" spans="1:1" s="1" customFormat="1" ht="14.1" customHeight="1" x14ac:dyDescent="0.2">
      <c r="A117" s="112"/>
    </row>
    <row r="118" spans="1:1" s="1" customFormat="1" ht="14.1" customHeight="1" x14ac:dyDescent="0.2">
      <c r="A118" s="112"/>
    </row>
    <row r="119" spans="1:1" s="1" customFormat="1" ht="14.1" customHeight="1" x14ac:dyDescent="0.2">
      <c r="A119" s="112"/>
    </row>
    <row r="120" spans="1:1" s="1" customFormat="1" ht="14.1" customHeight="1" x14ac:dyDescent="0.2">
      <c r="A120" s="112"/>
    </row>
    <row r="121" spans="1:1" s="1" customFormat="1" ht="14.1" customHeight="1" x14ac:dyDescent="0.2">
      <c r="A121" s="112"/>
    </row>
    <row r="122" spans="1:1" s="1" customFormat="1" ht="14.1" customHeight="1" x14ac:dyDescent="0.2">
      <c r="A122" s="112"/>
    </row>
    <row r="123" spans="1:1" s="1" customFormat="1" ht="14.1" customHeight="1" x14ac:dyDescent="0.2">
      <c r="A123" s="112"/>
    </row>
    <row r="124" spans="1:1" s="1" customFormat="1" ht="14.1" customHeight="1" x14ac:dyDescent="0.2">
      <c r="A124" s="112"/>
    </row>
    <row r="125" spans="1:1" s="1" customFormat="1" ht="14.1" customHeight="1" x14ac:dyDescent="0.2">
      <c r="A125" s="112"/>
    </row>
    <row r="126" spans="1:1" s="1" customFormat="1" ht="14.1" customHeight="1" x14ac:dyDescent="0.2">
      <c r="A126" s="112"/>
    </row>
    <row r="127" spans="1:1" s="1" customFormat="1" ht="14.1" customHeight="1" x14ac:dyDescent="0.2">
      <c r="A127" s="112"/>
    </row>
    <row r="128" spans="1:1" s="1" customFormat="1" ht="14.1" customHeight="1" x14ac:dyDescent="0.2">
      <c r="A128" s="112"/>
    </row>
    <row r="129" spans="1:1" s="1" customFormat="1" ht="14.1" customHeight="1" x14ac:dyDescent="0.2">
      <c r="A129" s="112"/>
    </row>
    <row r="130" spans="1:1" s="1" customFormat="1" ht="14.1" customHeight="1" x14ac:dyDescent="0.2">
      <c r="A130" s="112"/>
    </row>
    <row r="131" spans="1:1" s="1" customFormat="1" ht="14.1" customHeight="1" x14ac:dyDescent="0.2">
      <c r="A131" s="112"/>
    </row>
    <row r="132" spans="1:1" s="1" customFormat="1" ht="14.1" customHeight="1" x14ac:dyDescent="0.2">
      <c r="A132" s="112"/>
    </row>
    <row r="133" spans="1:1" s="1" customFormat="1" ht="14.1" customHeight="1" x14ac:dyDescent="0.2">
      <c r="A133" s="112"/>
    </row>
    <row r="134" spans="1:1" s="1" customFormat="1" ht="14.1" customHeight="1" x14ac:dyDescent="0.2">
      <c r="A134" s="112"/>
    </row>
    <row r="135" spans="1:1" s="1" customFormat="1" ht="14.1" customHeight="1" x14ac:dyDescent="0.2">
      <c r="A135" s="112"/>
    </row>
    <row r="136" spans="1:1" s="1" customFormat="1" ht="14.1" customHeight="1" x14ac:dyDescent="0.2">
      <c r="A136" s="112"/>
    </row>
    <row r="137" spans="1:1" s="1" customFormat="1" ht="14.1" customHeight="1" x14ac:dyDescent="0.2">
      <c r="A137" s="112"/>
    </row>
    <row r="138" spans="1:1" s="1" customFormat="1" ht="14.1" customHeight="1" x14ac:dyDescent="0.2">
      <c r="A138" s="112"/>
    </row>
    <row r="139" spans="1:1" s="1" customFormat="1" ht="14.1" customHeight="1" x14ac:dyDescent="0.2">
      <c r="A139" s="112"/>
    </row>
    <row r="140" spans="1:1" s="1" customFormat="1" ht="14.1" customHeight="1" x14ac:dyDescent="0.2">
      <c r="A140" s="112"/>
    </row>
    <row r="141" spans="1:1" s="1" customFormat="1" ht="14.1" customHeight="1" x14ac:dyDescent="0.2">
      <c r="A141" s="112"/>
    </row>
    <row r="142" spans="1:1" s="1" customFormat="1" ht="14.1" customHeight="1" x14ac:dyDescent="0.2">
      <c r="A142" s="112"/>
    </row>
    <row r="143" spans="1:1" s="1" customFormat="1" ht="14.1" customHeight="1" x14ac:dyDescent="0.2">
      <c r="A143" s="112"/>
    </row>
    <row r="144" spans="1:1" s="1" customFormat="1" ht="14.1" customHeight="1" x14ac:dyDescent="0.2">
      <c r="A144" s="112"/>
    </row>
    <row r="145" spans="1:1" s="1" customFormat="1" ht="14.1" customHeight="1" x14ac:dyDescent="0.2">
      <c r="A145" s="112"/>
    </row>
    <row r="146" spans="1:1" s="1" customFormat="1" ht="14.1" customHeight="1" x14ac:dyDescent="0.2">
      <c r="A146" s="112"/>
    </row>
    <row r="147" spans="1:1" s="1" customFormat="1" ht="14.1" customHeight="1" x14ac:dyDescent="0.2">
      <c r="A147" s="112"/>
    </row>
    <row r="148" spans="1:1" s="1" customFormat="1" ht="14.1" customHeight="1" x14ac:dyDescent="0.2">
      <c r="A148" s="112"/>
    </row>
    <row r="149" spans="1:1" s="1" customFormat="1" ht="14.1" customHeight="1" x14ac:dyDescent="0.2">
      <c r="A149" s="112"/>
    </row>
    <row r="150" spans="1:1" s="1" customFormat="1" ht="14.1" customHeight="1" x14ac:dyDescent="0.2">
      <c r="A150" s="112"/>
    </row>
    <row r="151" spans="1:1" s="1" customFormat="1" ht="14.1" customHeight="1" x14ac:dyDescent="0.2">
      <c r="A151" s="112"/>
    </row>
    <row r="152" spans="1:1" s="1" customFormat="1" ht="14.1" customHeight="1" x14ac:dyDescent="0.2">
      <c r="A152" s="112"/>
    </row>
    <row r="153" spans="1:1" s="1" customFormat="1" ht="14.1" customHeight="1" x14ac:dyDescent="0.2">
      <c r="A153" s="112"/>
    </row>
    <row r="154" spans="1:1" s="1" customFormat="1" ht="14.1" customHeight="1" x14ac:dyDescent="0.2">
      <c r="A154" s="112"/>
    </row>
    <row r="155" spans="1:1" s="1" customFormat="1" ht="14.1" customHeight="1" x14ac:dyDescent="0.2">
      <c r="A155" s="112"/>
    </row>
    <row r="156" spans="1:1" s="1" customFormat="1" ht="14.1" customHeight="1" x14ac:dyDescent="0.2">
      <c r="A156" s="112"/>
    </row>
    <row r="157" spans="1:1" s="1" customFormat="1" ht="14.1" customHeight="1" x14ac:dyDescent="0.2">
      <c r="A157" s="112"/>
    </row>
    <row r="158" spans="1:1" s="1" customFormat="1" ht="14.1" customHeight="1" x14ac:dyDescent="0.2">
      <c r="A158" s="112"/>
    </row>
    <row r="159" spans="1:1" s="1" customFormat="1" ht="14.1" customHeight="1" x14ac:dyDescent="0.2">
      <c r="A159" s="112"/>
    </row>
    <row r="160" spans="1:1" s="1" customFormat="1" ht="14.1" customHeight="1" x14ac:dyDescent="0.2">
      <c r="A160" s="112"/>
    </row>
    <row r="161" spans="1:1" s="1" customFormat="1" ht="14.1" customHeight="1" x14ac:dyDescent="0.2">
      <c r="A161" s="112"/>
    </row>
    <row r="162" spans="1:1" s="1" customFormat="1" ht="14.1" customHeight="1" x14ac:dyDescent="0.2">
      <c r="A162" s="112"/>
    </row>
    <row r="163" spans="1:1" s="1" customFormat="1" ht="14.1" customHeight="1" x14ac:dyDescent="0.2">
      <c r="A163" s="112"/>
    </row>
    <row r="164" spans="1:1" s="1" customFormat="1" ht="14.1" customHeight="1" x14ac:dyDescent="0.2">
      <c r="A164" s="112"/>
    </row>
    <row r="165" spans="1:1" s="1" customFormat="1" ht="14.1" customHeight="1" x14ac:dyDescent="0.2">
      <c r="A165" s="112"/>
    </row>
    <row r="166" spans="1:1" s="1" customFormat="1" ht="14.1" customHeight="1" x14ac:dyDescent="0.2">
      <c r="A166" s="112"/>
    </row>
    <row r="167" spans="1:1" s="1" customFormat="1" ht="14.1" customHeight="1" x14ac:dyDescent="0.2">
      <c r="A167" s="112"/>
    </row>
    <row r="168" spans="1:1" s="1" customFormat="1" ht="14.1" customHeight="1" x14ac:dyDescent="0.2">
      <c r="A168" s="112"/>
    </row>
    <row r="169" spans="1:1" s="1" customFormat="1" ht="14.1" customHeight="1" x14ac:dyDescent="0.2">
      <c r="A169" s="112"/>
    </row>
    <row r="170" spans="1:1" s="1" customFormat="1" ht="14.1" customHeight="1" x14ac:dyDescent="0.2">
      <c r="A170" s="112"/>
    </row>
    <row r="171" spans="1:1" s="1" customFormat="1" ht="14.1" customHeight="1" x14ac:dyDescent="0.2">
      <c r="A171" s="112"/>
    </row>
    <row r="172" spans="1:1" s="1" customFormat="1" ht="14.1" customHeight="1" x14ac:dyDescent="0.2">
      <c r="A172" s="112"/>
    </row>
    <row r="173" spans="1:1" s="1" customFormat="1" ht="14.1" customHeight="1" x14ac:dyDescent="0.2">
      <c r="A173" s="112"/>
    </row>
    <row r="174" spans="1:1" s="1" customFormat="1" ht="14.1" customHeight="1" x14ac:dyDescent="0.2">
      <c r="A174" s="112"/>
    </row>
    <row r="175" spans="1:1" s="1" customFormat="1" ht="14.1" customHeight="1" x14ac:dyDescent="0.2">
      <c r="A175" s="112"/>
    </row>
    <row r="176" spans="1:1" s="1" customFormat="1" ht="14.1" customHeight="1" x14ac:dyDescent="0.2">
      <c r="A176" s="112"/>
    </row>
    <row r="177" spans="1:1" s="1" customFormat="1" ht="14.1" customHeight="1" x14ac:dyDescent="0.2">
      <c r="A177" s="112"/>
    </row>
    <row r="178" spans="1:1" s="1" customFormat="1" ht="14.1" customHeight="1" x14ac:dyDescent="0.2">
      <c r="A178" s="112"/>
    </row>
    <row r="179" spans="1:1" s="1" customFormat="1" ht="14.1" customHeight="1" x14ac:dyDescent="0.2">
      <c r="A179" s="112"/>
    </row>
    <row r="180" spans="1:1" s="1" customFormat="1" ht="14.1" customHeight="1" x14ac:dyDescent="0.2">
      <c r="A180" s="112"/>
    </row>
    <row r="181" spans="1:1" s="1" customFormat="1" ht="14.1" customHeight="1" x14ac:dyDescent="0.2">
      <c r="A181" s="112"/>
    </row>
    <row r="182" spans="1:1" s="1" customFormat="1" ht="14.1" customHeight="1" x14ac:dyDescent="0.2">
      <c r="A182" s="112"/>
    </row>
    <row r="183" spans="1:1" s="1" customFormat="1" ht="14.1" customHeight="1" x14ac:dyDescent="0.2">
      <c r="A183" s="112"/>
    </row>
    <row r="184" spans="1:1" s="1" customFormat="1" ht="14.1" customHeight="1" x14ac:dyDescent="0.2">
      <c r="A184" s="112"/>
    </row>
    <row r="185" spans="1:1" s="1" customFormat="1" ht="14.1" customHeight="1" x14ac:dyDescent="0.2">
      <c r="A185" s="112"/>
    </row>
    <row r="186" spans="1:1" s="1" customFormat="1" ht="14.1" customHeight="1" x14ac:dyDescent="0.2">
      <c r="A186" s="112"/>
    </row>
    <row r="187" spans="1:1" s="1" customFormat="1" ht="14.1" customHeight="1" x14ac:dyDescent="0.2">
      <c r="A187" s="112"/>
    </row>
    <row r="188" spans="1:1" s="1" customFormat="1" ht="14.1" customHeight="1" x14ac:dyDescent="0.2">
      <c r="A188" s="112"/>
    </row>
    <row r="189" spans="1:1" s="1" customFormat="1" ht="14.1" customHeight="1" x14ac:dyDescent="0.2">
      <c r="A189" s="112"/>
    </row>
    <row r="190" spans="1:1" s="1" customFormat="1" ht="14.1" customHeight="1" x14ac:dyDescent="0.2">
      <c r="A190" s="112"/>
    </row>
    <row r="191" spans="1:1" s="1" customFormat="1" ht="14.1" customHeight="1" x14ac:dyDescent="0.2">
      <c r="A191" s="112"/>
    </row>
    <row r="192" spans="1:1" s="1" customFormat="1" ht="14.1" customHeight="1" x14ac:dyDescent="0.2">
      <c r="A192" s="112"/>
    </row>
    <row r="193" spans="1:1" s="1" customFormat="1" ht="14.1" customHeight="1" x14ac:dyDescent="0.2">
      <c r="A193" s="112"/>
    </row>
    <row r="194" spans="1:1" s="1" customFormat="1" ht="14.1" customHeight="1" x14ac:dyDescent="0.2">
      <c r="A194" s="112"/>
    </row>
    <row r="195" spans="1:1" s="1" customFormat="1" ht="14.1" customHeight="1" x14ac:dyDescent="0.2">
      <c r="A195" s="112"/>
    </row>
    <row r="196" spans="1:1" s="1" customFormat="1" ht="14.1" customHeight="1" x14ac:dyDescent="0.2">
      <c r="A196" s="112"/>
    </row>
    <row r="197" spans="1:1" s="1" customFormat="1" ht="14.1" customHeight="1" x14ac:dyDescent="0.2">
      <c r="A197" s="112"/>
    </row>
    <row r="198" spans="1:1" s="1" customFormat="1" ht="14.1" customHeight="1" x14ac:dyDescent="0.2">
      <c r="A198" s="112"/>
    </row>
    <row r="199" spans="1:1" s="1" customFormat="1" ht="14.1" customHeight="1" x14ac:dyDescent="0.2">
      <c r="A199" s="112"/>
    </row>
    <row r="200" spans="1:1" s="1" customFormat="1" ht="14.1" customHeight="1" x14ac:dyDescent="0.2">
      <c r="A200" s="112"/>
    </row>
    <row r="201" spans="1:1" s="1" customFormat="1" ht="14.1" customHeight="1" x14ac:dyDescent="0.2">
      <c r="A201" s="112"/>
    </row>
    <row r="202" spans="1:1" s="1" customFormat="1" ht="14.1" customHeight="1" x14ac:dyDescent="0.2">
      <c r="A202" s="112"/>
    </row>
    <row r="203" spans="1:1" s="1" customFormat="1" ht="14.1" customHeight="1" x14ac:dyDescent="0.2">
      <c r="A203" s="112"/>
    </row>
    <row r="204" spans="1:1" s="1" customFormat="1" ht="14.1" customHeight="1" x14ac:dyDescent="0.2">
      <c r="A204" s="112"/>
    </row>
    <row r="205" spans="1:1" s="1" customFormat="1" ht="14.1" customHeight="1" x14ac:dyDescent="0.2">
      <c r="A205" s="112"/>
    </row>
    <row r="206" spans="1:1" s="1" customFormat="1" ht="14.1" customHeight="1" x14ac:dyDescent="0.2">
      <c r="A206" s="112"/>
    </row>
    <row r="207" spans="1:1" s="1" customFormat="1" ht="14.1" customHeight="1" x14ac:dyDescent="0.2">
      <c r="A207" s="112"/>
    </row>
    <row r="208" spans="1:1" s="1" customFormat="1" ht="14.1" customHeight="1" x14ac:dyDescent="0.2">
      <c r="A208" s="112"/>
    </row>
    <row r="209" spans="1:1" s="1" customFormat="1" ht="14.1" customHeight="1" x14ac:dyDescent="0.2">
      <c r="A209" s="112"/>
    </row>
    <row r="210" spans="1:1" s="1" customFormat="1" ht="14.1" customHeight="1" x14ac:dyDescent="0.2">
      <c r="A210" s="112"/>
    </row>
    <row r="211" spans="1:1" s="1" customFormat="1" ht="14.1" customHeight="1" x14ac:dyDescent="0.2">
      <c r="A211" s="112"/>
    </row>
    <row r="212" spans="1:1" s="1" customFormat="1" ht="14.1" customHeight="1" x14ac:dyDescent="0.2">
      <c r="A212" s="112"/>
    </row>
    <row r="213" spans="1:1" s="1" customFormat="1" ht="14.1" customHeight="1" x14ac:dyDescent="0.2">
      <c r="A213" s="112"/>
    </row>
    <row r="214" spans="1:1" s="1" customFormat="1" ht="14.1" customHeight="1" x14ac:dyDescent="0.2">
      <c r="A214" s="112"/>
    </row>
    <row r="215" spans="1:1" s="1" customFormat="1" ht="14.1" customHeight="1" x14ac:dyDescent="0.2">
      <c r="A215" s="112"/>
    </row>
    <row r="216" spans="1:1" s="1" customFormat="1" ht="14.1" customHeight="1" x14ac:dyDescent="0.2">
      <c r="A216" s="112"/>
    </row>
    <row r="217" spans="1:1" s="1" customFormat="1" ht="14.1" customHeight="1" x14ac:dyDescent="0.2">
      <c r="A217" s="112"/>
    </row>
    <row r="218" spans="1:1" s="1" customFormat="1" ht="14.1" customHeight="1" x14ac:dyDescent="0.2">
      <c r="A218" s="112"/>
    </row>
    <row r="219" spans="1:1" s="1" customFormat="1" ht="14.1" customHeight="1" x14ac:dyDescent="0.2">
      <c r="A219" s="112"/>
    </row>
    <row r="220" spans="1:1" s="1" customFormat="1" ht="14.1" customHeight="1" x14ac:dyDescent="0.2">
      <c r="A220" s="112"/>
    </row>
    <row r="221" spans="1:1" s="1" customFormat="1" ht="14.1" customHeight="1" x14ac:dyDescent="0.2">
      <c r="A221" s="112"/>
    </row>
    <row r="222" spans="1:1" s="1" customFormat="1" ht="14.1" customHeight="1" x14ac:dyDescent="0.2">
      <c r="A222" s="112"/>
    </row>
    <row r="223" spans="1:1" s="1" customFormat="1" ht="14.1" customHeight="1" x14ac:dyDescent="0.2">
      <c r="A223" s="112"/>
    </row>
    <row r="224" spans="1:1" s="1" customFormat="1" ht="14.1" customHeight="1" x14ac:dyDescent="0.2">
      <c r="A224" s="112"/>
    </row>
    <row r="225" spans="1:1" s="1" customFormat="1" ht="14.1" customHeight="1" x14ac:dyDescent="0.2">
      <c r="A225" s="112"/>
    </row>
    <row r="226" spans="1:1" s="1" customFormat="1" ht="14.1" customHeight="1" x14ac:dyDescent="0.2">
      <c r="A226" s="112"/>
    </row>
    <row r="227" spans="1:1" s="1" customFormat="1" ht="14.1" customHeight="1" x14ac:dyDescent="0.2">
      <c r="A227" s="112"/>
    </row>
    <row r="228" spans="1:1" s="1" customFormat="1" ht="14.1" customHeight="1" x14ac:dyDescent="0.2">
      <c r="A228" s="112"/>
    </row>
    <row r="229" spans="1:1" s="1" customFormat="1" ht="14.1" customHeight="1" x14ac:dyDescent="0.2">
      <c r="A229" s="112"/>
    </row>
    <row r="230" spans="1:1" s="1" customFormat="1" ht="14.1" customHeight="1" x14ac:dyDescent="0.2">
      <c r="A230" s="112"/>
    </row>
    <row r="231" spans="1:1" s="1" customFormat="1" ht="14.1" customHeight="1" x14ac:dyDescent="0.2">
      <c r="A231" s="112"/>
    </row>
    <row r="232" spans="1:1" s="1" customFormat="1" ht="14.1" customHeight="1" x14ac:dyDescent="0.2">
      <c r="A232" s="112"/>
    </row>
    <row r="233" spans="1:1" s="1" customFormat="1" ht="14.1" customHeight="1" x14ac:dyDescent="0.2">
      <c r="A233" s="112"/>
    </row>
    <row r="234" spans="1:1" s="1" customFormat="1" ht="14.1" customHeight="1" x14ac:dyDescent="0.2">
      <c r="A234" s="112"/>
    </row>
    <row r="235" spans="1:1" s="1" customFormat="1" ht="14.1" customHeight="1" x14ac:dyDescent="0.2">
      <c r="A235" s="112"/>
    </row>
    <row r="236" spans="1:1" s="1" customFormat="1" ht="14.1" customHeight="1" x14ac:dyDescent="0.2">
      <c r="A236" s="112"/>
    </row>
    <row r="237" spans="1:1" s="1" customFormat="1" ht="14.1" customHeight="1" x14ac:dyDescent="0.2">
      <c r="A237" s="112"/>
    </row>
    <row r="238" spans="1:1" s="1" customFormat="1" ht="14.1" customHeight="1" x14ac:dyDescent="0.2">
      <c r="A238" s="112"/>
    </row>
    <row r="239" spans="1:1" s="1" customFormat="1" ht="14.1" customHeight="1" x14ac:dyDescent="0.2">
      <c r="A239" s="112"/>
    </row>
    <row r="240" spans="1:1" s="1" customFormat="1" ht="14.1" customHeight="1" x14ac:dyDescent="0.2">
      <c r="A240" s="112"/>
    </row>
    <row r="241" spans="1:1" s="1" customFormat="1" ht="14.1" customHeight="1" x14ac:dyDescent="0.2">
      <c r="A241" s="112"/>
    </row>
    <row r="242" spans="1:1" s="1" customFormat="1" ht="14.1" customHeight="1" x14ac:dyDescent="0.2">
      <c r="A242" s="112"/>
    </row>
    <row r="243" spans="1:1" s="1" customFormat="1" ht="14.1" customHeight="1" x14ac:dyDescent="0.2">
      <c r="A243" s="112"/>
    </row>
    <row r="244" spans="1:1" s="1" customFormat="1" ht="14.1" customHeight="1" x14ac:dyDescent="0.2">
      <c r="A244" s="112"/>
    </row>
    <row r="245" spans="1:1" s="1" customFormat="1" ht="14.1" customHeight="1" x14ac:dyDescent="0.2">
      <c r="A245" s="112"/>
    </row>
    <row r="246" spans="1:1" s="1" customFormat="1" ht="14.1" customHeight="1" x14ac:dyDescent="0.2">
      <c r="A246" s="112"/>
    </row>
    <row r="247" spans="1:1" s="1" customFormat="1" ht="14.1" customHeight="1" x14ac:dyDescent="0.2">
      <c r="A247" s="112"/>
    </row>
    <row r="248" spans="1:1" s="1" customFormat="1" ht="14.1" customHeight="1" x14ac:dyDescent="0.2">
      <c r="A248" s="112"/>
    </row>
    <row r="249" spans="1:1" s="1" customFormat="1" ht="14.1" customHeight="1" x14ac:dyDescent="0.2">
      <c r="A249" s="112"/>
    </row>
    <row r="250" spans="1:1" s="1" customFormat="1" ht="14.1" customHeight="1" x14ac:dyDescent="0.2">
      <c r="A250" s="112"/>
    </row>
    <row r="251" spans="1:1" s="1" customFormat="1" ht="14.1" customHeight="1" x14ac:dyDescent="0.2">
      <c r="A251" s="112"/>
    </row>
    <row r="252" spans="1:1" s="1" customFormat="1" ht="14.1" customHeight="1" x14ac:dyDescent="0.2">
      <c r="A252" s="112"/>
    </row>
    <row r="253" spans="1:1" s="1" customFormat="1" ht="14.1" customHeight="1" x14ac:dyDescent="0.2">
      <c r="A253" s="112"/>
    </row>
    <row r="254" spans="1:1" s="1" customFormat="1" ht="14.1" customHeight="1" x14ac:dyDescent="0.2">
      <c r="A254" s="112"/>
    </row>
    <row r="255" spans="1:1" s="1" customFormat="1" ht="14.1" customHeight="1" x14ac:dyDescent="0.2">
      <c r="A255" s="112"/>
    </row>
    <row r="256" spans="1:1" s="1" customFormat="1" ht="14.1" customHeight="1" x14ac:dyDescent="0.2">
      <c r="A256" s="112"/>
    </row>
    <row r="257" spans="1:1" s="1" customFormat="1" ht="14.1" customHeight="1" x14ac:dyDescent="0.2">
      <c r="A257" s="112"/>
    </row>
    <row r="258" spans="1:1" s="1" customFormat="1" ht="14.1" customHeight="1" x14ac:dyDescent="0.2">
      <c r="A258" s="112"/>
    </row>
    <row r="259" spans="1:1" s="1" customFormat="1" ht="14.1" customHeight="1" x14ac:dyDescent="0.2">
      <c r="A259" s="112"/>
    </row>
    <row r="260" spans="1:1" s="1" customFormat="1" ht="14.1" customHeight="1" x14ac:dyDescent="0.2">
      <c r="A260" s="112"/>
    </row>
    <row r="261" spans="1:1" s="1" customFormat="1" ht="14.1" customHeight="1" x14ac:dyDescent="0.2">
      <c r="A261" s="112"/>
    </row>
    <row r="262" spans="1:1" s="1" customFormat="1" ht="14.1" customHeight="1" x14ac:dyDescent="0.2">
      <c r="A262" s="112"/>
    </row>
    <row r="263" spans="1:1" s="1" customFormat="1" ht="14.1" customHeight="1" x14ac:dyDescent="0.2">
      <c r="A263" s="112"/>
    </row>
    <row r="264" spans="1:1" s="1" customFormat="1" ht="14.1" customHeight="1" x14ac:dyDescent="0.2">
      <c r="A264" s="112"/>
    </row>
    <row r="265" spans="1:1" s="1" customFormat="1" ht="14.1" customHeight="1" x14ac:dyDescent="0.2">
      <c r="A265" s="112"/>
    </row>
    <row r="266" spans="1:1" s="1" customFormat="1" ht="14.1" customHeight="1" x14ac:dyDescent="0.2">
      <c r="A266" s="112"/>
    </row>
    <row r="267" spans="1:1" s="1" customFormat="1" ht="14.1" customHeight="1" x14ac:dyDescent="0.2">
      <c r="A267" s="112"/>
    </row>
    <row r="268" spans="1:1" s="1" customFormat="1" ht="14.1" customHeight="1" x14ac:dyDescent="0.2">
      <c r="A268" s="112"/>
    </row>
    <row r="269" spans="1:1" s="1" customFormat="1" ht="14.1" customHeight="1" x14ac:dyDescent="0.2">
      <c r="A269" s="112"/>
    </row>
    <row r="270" spans="1:1" s="1" customFormat="1" ht="14.1" customHeight="1" x14ac:dyDescent="0.2">
      <c r="A270" s="112"/>
    </row>
    <row r="271" spans="1:1" s="1" customFormat="1" ht="14.1" customHeight="1" x14ac:dyDescent="0.2">
      <c r="A271" s="112"/>
    </row>
    <row r="272" spans="1:1" s="1" customFormat="1" ht="14.1" customHeight="1" x14ac:dyDescent="0.2">
      <c r="A272" s="112"/>
    </row>
    <row r="273" spans="1:1" s="1" customFormat="1" ht="14.1" customHeight="1" x14ac:dyDescent="0.2">
      <c r="A273" s="112"/>
    </row>
    <row r="274" spans="1:1" s="1" customFormat="1" ht="14.1" customHeight="1" x14ac:dyDescent="0.2">
      <c r="A274" s="112"/>
    </row>
    <row r="275" spans="1:1" s="1" customFormat="1" ht="14.1" customHeight="1" x14ac:dyDescent="0.2">
      <c r="A275" s="112"/>
    </row>
    <row r="276" spans="1:1" s="1" customFormat="1" ht="14.1" customHeight="1" x14ac:dyDescent="0.2">
      <c r="A276" s="112"/>
    </row>
    <row r="277" spans="1:1" s="1" customFormat="1" ht="14.1" customHeight="1" x14ac:dyDescent="0.2">
      <c r="A277" s="112"/>
    </row>
    <row r="278" spans="1:1" s="1" customFormat="1" ht="14.1" customHeight="1" x14ac:dyDescent="0.2">
      <c r="A278" s="112"/>
    </row>
    <row r="279" spans="1:1" s="1" customFormat="1" ht="14.1" customHeight="1" x14ac:dyDescent="0.2">
      <c r="A279" s="112"/>
    </row>
    <row r="280" spans="1:1" s="1" customFormat="1" ht="14.1" customHeight="1" x14ac:dyDescent="0.2">
      <c r="A280" s="112"/>
    </row>
    <row r="281" spans="1:1" s="1" customFormat="1" ht="14.1" customHeight="1" x14ac:dyDescent="0.2">
      <c r="A281" s="112"/>
    </row>
    <row r="282" spans="1:1" s="1" customFormat="1" ht="14.1" customHeight="1" x14ac:dyDescent="0.2">
      <c r="A282" s="112"/>
    </row>
    <row r="283" spans="1:1" s="1" customFormat="1" ht="14.1" customHeight="1" x14ac:dyDescent="0.2">
      <c r="A283" s="112"/>
    </row>
    <row r="284" spans="1:1" s="1" customFormat="1" ht="14.1" customHeight="1" x14ac:dyDescent="0.2">
      <c r="A284" s="112"/>
    </row>
    <row r="285" spans="1:1" s="1" customFormat="1" ht="14.1" customHeight="1" x14ac:dyDescent="0.2">
      <c r="A285" s="112"/>
    </row>
    <row r="286" spans="1:1" s="1" customFormat="1" ht="14.1" customHeight="1" x14ac:dyDescent="0.2">
      <c r="A286" s="112"/>
    </row>
    <row r="287" spans="1:1" s="1" customFormat="1" ht="14.1" customHeight="1" x14ac:dyDescent="0.2">
      <c r="A287" s="112"/>
    </row>
    <row r="288" spans="1:1" s="1" customFormat="1" ht="14.1" customHeight="1" x14ac:dyDescent="0.2">
      <c r="A288" s="112"/>
    </row>
    <row r="289" spans="1:1" s="1" customFormat="1" ht="14.1" customHeight="1" x14ac:dyDescent="0.2">
      <c r="A289" s="112"/>
    </row>
    <row r="290" spans="1:1" s="1" customFormat="1" ht="14.1" customHeight="1" x14ac:dyDescent="0.2">
      <c r="A290" s="112"/>
    </row>
    <row r="291" spans="1:1" s="1" customFormat="1" ht="14.1" customHeight="1" x14ac:dyDescent="0.2">
      <c r="A291" s="112"/>
    </row>
    <row r="292" spans="1:1" s="1" customFormat="1" ht="14.1" customHeight="1" x14ac:dyDescent="0.2">
      <c r="A292" s="112"/>
    </row>
    <row r="293" spans="1:1" s="1" customFormat="1" ht="14.1" customHeight="1" x14ac:dyDescent="0.2">
      <c r="A293" s="112"/>
    </row>
    <row r="294" spans="1:1" s="1" customFormat="1" ht="14.1" customHeight="1" x14ac:dyDescent="0.2">
      <c r="A294" s="112"/>
    </row>
    <row r="295" spans="1:1" s="1" customFormat="1" ht="14.1" customHeight="1" x14ac:dyDescent="0.2">
      <c r="A295" s="112"/>
    </row>
    <row r="296" spans="1:1" s="1" customFormat="1" ht="14.1" customHeight="1" x14ac:dyDescent="0.2">
      <c r="A296" s="112"/>
    </row>
    <row r="297" spans="1:1" s="1" customFormat="1" ht="14.1" customHeight="1" x14ac:dyDescent="0.2">
      <c r="A297" s="112"/>
    </row>
    <row r="298" spans="1:1" s="1" customFormat="1" ht="14.1" customHeight="1" x14ac:dyDescent="0.2">
      <c r="A298" s="112"/>
    </row>
    <row r="299" spans="1:1" s="1" customFormat="1" ht="14.1" customHeight="1" x14ac:dyDescent="0.2">
      <c r="A299" s="112"/>
    </row>
    <row r="300" spans="1:1" s="1" customFormat="1" ht="14.1" customHeight="1" x14ac:dyDescent="0.2">
      <c r="A300" s="112"/>
    </row>
    <row r="301" spans="1:1" s="1" customFormat="1" ht="14.1" customHeight="1" x14ac:dyDescent="0.2">
      <c r="A301" s="112"/>
    </row>
    <row r="302" spans="1:1" s="1" customFormat="1" ht="14.1" customHeight="1" x14ac:dyDescent="0.2">
      <c r="A302" s="112"/>
    </row>
    <row r="303" spans="1:1" s="1" customFormat="1" ht="14.1" customHeight="1" x14ac:dyDescent="0.2">
      <c r="A303" s="112"/>
    </row>
    <row r="304" spans="1:1" s="1" customFormat="1" ht="14.1" customHeight="1" x14ac:dyDescent="0.2">
      <c r="A304" s="112"/>
    </row>
    <row r="305" spans="1:1" s="1" customFormat="1" ht="14.1" customHeight="1" x14ac:dyDescent="0.2">
      <c r="A305" s="112"/>
    </row>
    <row r="306" spans="1:1" s="1" customFormat="1" ht="14.1" customHeight="1" x14ac:dyDescent="0.2">
      <c r="A306" s="112"/>
    </row>
    <row r="307" spans="1:1" s="1" customFormat="1" ht="14.1" customHeight="1" x14ac:dyDescent="0.2">
      <c r="A307" s="112"/>
    </row>
    <row r="308" spans="1:1" s="1" customFormat="1" ht="14.1" customHeight="1" x14ac:dyDescent="0.2">
      <c r="A308" s="112"/>
    </row>
    <row r="309" spans="1:1" s="1" customFormat="1" ht="14.1" customHeight="1" x14ac:dyDescent="0.2">
      <c r="A309" s="112"/>
    </row>
    <row r="310" spans="1:1" s="1" customFormat="1" ht="14.1" customHeight="1" x14ac:dyDescent="0.2">
      <c r="A310" s="112"/>
    </row>
    <row r="311" spans="1:1" s="1" customFormat="1" ht="14.1" customHeight="1" x14ac:dyDescent="0.2">
      <c r="A311" s="112"/>
    </row>
    <row r="312" spans="1:1" s="1" customFormat="1" ht="14.1" customHeight="1" x14ac:dyDescent="0.2">
      <c r="A312" s="112"/>
    </row>
    <row r="313" spans="1:1" s="1" customFormat="1" ht="14.1" customHeight="1" x14ac:dyDescent="0.2">
      <c r="A313" s="112"/>
    </row>
    <row r="314" spans="1:1" s="1" customFormat="1" ht="14.1" customHeight="1" x14ac:dyDescent="0.2">
      <c r="A314" s="112"/>
    </row>
    <row r="315" spans="1:1" s="1" customFormat="1" ht="14.1" customHeight="1" x14ac:dyDescent="0.2">
      <c r="A315" s="112"/>
    </row>
    <row r="316" spans="1:1" s="1" customFormat="1" ht="14.1" customHeight="1" x14ac:dyDescent="0.2">
      <c r="A316" s="112"/>
    </row>
    <row r="317" spans="1:1" s="1" customFormat="1" ht="14.1" customHeight="1" x14ac:dyDescent="0.2">
      <c r="A317" s="112"/>
    </row>
    <row r="318" spans="1:1" s="1" customFormat="1" ht="14.1" customHeight="1" x14ac:dyDescent="0.2">
      <c r="A318" s="112"/>
    </row>
    <row r="319" spans="1:1" s="1" customFormat="1" ht="14.1" customHeight="1" x14ac:dyDescent="0.2">
      <c r="A319" s="112"/>
    </row>
    <row r="320" spans="1:1" s="1" customFormat="1" ht="14.1" customHeight="1" x14ac:dyDescent="0.2">
      <c r="A320" s="112"/>
    </row>
    <row r="321" spans="1:1" s="1" customFormat="1" ht="14.1" customHeight="1" x14ac:dyDescent="0.2">
      <c r="A321" s="112"/>
    </row>
    <row r="322" spans="1:1" s="1" customFormat="1" ht="14.1" customHeight="1" x14ac:dyDescent="0.2">
      <c r="A322" s="112"/>
    </row>
    <row r="323" spans="1:1" s="1" customFormat="1" ht="14.1" customHeight="1" x14ac:dyDescent="0.2">
      <c r="A323" s="112"/>
    </row>
    <row r="324" spans="1:1" s="1" customFormat="1" ht="14.1" customHeight="1" x14ac:dyDescent="0.2">
      <c r="A324" s="112"/>
    </row>
    <row r="325" spans="1:1" s="1" customFormat="1" ht="14.1" customHeight="1" x14ac:dyDescent="0.2">
      <c r="A325" s="112"/>
    </row>
    <row r="326" spans="1:1" s="1" customFormat="1" ht="14.1" customHeight="1" x14ac:dyDescent="0.2">
      <c r="A326" s="112"/>
    </row>
    <row r="327" spans="1:1" s="1" customFormat="1" ht="14.1" customHeight="1" x14ac:dyDescent="0.2">
      <c r="A327" s="112"/>
    </row>
    <row r="328" spans="1:1" s="1" customFormat="1" ht="14.1" customHeight="1" x14ac:dyDescent="0.2">
      <c r="A328" s="112"/>
    </row>
    <row r="329" spans="1:1" s="1" customFormat="1" ht="14.1" customHeight="1" x14ac:dyDescent="0.2">
      <c r="A329" s="112"/>
    </row>
    <row r="330" spans="1:1" s="1" customFormat="1" ht="14.1" customHeight="1" x14ac:dyDescent="0.2">
      <c r="A330" s="112"/>
    </row>
    <row r="331" spans="1:1" s="1" customFormat="1" ht="14.1" customHeight="1" x14ac:dyDescent="0.2">
      <c r="A331" s="112"/>
    </row>
    <row r="332" spans="1:1" s="1" customFormat="1" ht="14.1" customHeight="1" x14ac:dyDescent="0.2">
      <c r="A332" s="112"/>
    </row>
    <row r="333" spans="1:1" s="1" customFormat="1" ht="14.1" customHeight="1" x14ac:dyDescent="0.2">
      <c r="A333" s="112"/>
    </row>
    <row r="334" spans="1:1" s="1" customFormat="1" ht="14.1" customHeight="1" x14ac:dyDescent="0.2">
      <c r="A334" s="112"/>
    </row>
    <row r="335" spans="1:1" s="1" customFormat="1" ht="14.1" customHeight="1" x14ac:dyDescent="0.2">
      <c r="A335" s="112"/>
    </row>
    <row r="336" spans="1:1" s="1" customFormat="1" ht="14.1" customHeight="1" x14ac:dyDescent="0.2">
      <c r="A336" s="112"/>
    </row>
    <row r="337" spans="1:1" s="1" customFormat="1" ht="14.1" customHeight="1" x14ac:dyDescent="0.2">
      <c r="A337" s="112"/>
    </row>
    <row r="338" spans="1:1" s="1" customFormat="1" ht="14.1" customHeight="1" x14ac:dyDescent="0.2">
      <c r="A338" s="112"/>
    </row>
    <row r="339" spans="1:1" s="1" customFormat="1" ht="14.1" customHeight="1" x14ac:dyDescent="0.2">
      <c r="A339" s="112"/>
    </row>
    <row r="340" spans="1:1" s="1" customFormat="1" ht="14.1" customHeight="1" x14ac:dyDescent="0.2">
      <c r="A340" s="112"/>
    </row>
    <row r="341" spans="1:1" s="1" customFormat="1" ht="14.1" customHeight="1" x14ac:dyDescent="0.2">
      <c r="A341" s="112"/>
    </row>
    <row r="342" spans="1:1" s="1" customFormat="1" ht="14.1" customHeight="1" x14ac:dyDescent="0.2">
      <c r="A342" s="112"/>
    </row>
    <row r="343" spans="1:1" s="1" customFormat="1" ht="14.1" customHeight="1" x14ac:dyDescent="0.2">
      <c r="A343" s="112"/>
    </row>
    <row r="344" spans="1:1" s="1" customFormat="1" ht="14.1" customHeight="1" x14ac:dyDescent="0.2">
      <c r="A344" s="112"/>
    </row>
    <row r="345" spans="1:1" s="1" customFormat="1" ht="14.1" customHeight="1" x14ac:dyDescent="0.2">
      <c r="A345" s="112"/>
    </row>
    <row r="346" spans="1:1" s="1" customFormat="1" ht="14.1" customHeight="1" x14ac:dyDescent="0.2">
      <c r="A346" s="112"/>
    </row>
    <row r="347" spans="1:1" s="1" customFormat="1" ht="14.1" customHeight="1" x14ac:dyDescent="0.2">
      <c r="A347" s="112"/>
    </row>
    <row r="348" spans="1:1" s="1" customFormat="1" ht="14.1" customHeight="1" x14ac:dyDescent="0.2">
      <c r="A348" s="112"/>
    </row>
    <row r="349" spans="1:1" s="1" customFormat="1" ht="14.1" customHeight="1" x14ac:dyDescent="0.2">
      <c r="A349" s="112"/>
    </row>
    <row r="350" spans="1:1" s="1" customFormat="1" ht="14.1" customHeight="1" x14ac:dyDescent="0.2">
      <c r="A350" s="112"/>
    </row>
    <row r="351" spans="1:1" s="1" customFormat="1" ht="14.1" customHeight="1" x14ac:dyDescent="0.2">
      <c r="A351" s="112"/>
    </row>
    <row r="352" spans="1:1" s="1" customFormat="1" ht="14.1" customHeight="1" x14ac:dyDescent="0.2">
      <c r="A352" s="112"/>
    </row>
    <row r="353" spans="1:1" s="1" customFormat="1" ht="14.1" customHeight="1" x14ac:dyDescent="0.2">
      <c r="A353" s="112"/>
    </row>
    <row r="354" spans="1:1" s="1" customFormat="1" ht="14.1" customHeight="1" x14ac:dyDescent="0.2">
      <c r="A354" s="112"/>
    </row>
    <row r="355" spans="1:1" s="1" customFormat="1" ht="14.1" customHeight="1" x14ac:dyDescent="0.2">
      <c r="A355" s="112"/>
    </row>
    <row r="356" spans="1:1" s="1" customFormat="1" ht="14.1" customHeight="1" x14ac:dyDescent="0.2">
      <c r="A356" s="112"/>
    </row>
    <row r="357" spans="1:1" s="1" customFormat="1" ht="14.1" customHeight="1" x14ac:dyDescent="0.2">
      <c r="A357" s="112"/>
    </row>
    <row r="358" spans="1:1" s="1" customFormat="1" ht="14.1" customHeight="1" x14ac:dyDescent="0.2">
      <c r="A358" s="112"/>
    </row>
    <row r="359" spans="1:1" s="1" customFormat="1" ht="14.1" customHeight="1" x14ac:dyDescent="0.2">
      <c r="A359" s="112"/>
    </row>
    <row r="360" spans="1:1" s="1" customFormat="1" ht="14.1" customHeight="1" x14ac:dyDescent="0.2">
      <c r="A360" s="112"/>
    </row>
    <row r="361" spans="1:1" s="1" customFormat="1" ht="14.1" customHeight="1" x14ac:dyDescent="0.2">
      <c r="A361" s="112"/>
    </row>
    <row r="362" spans="1:1" s="1" customFormat="1" ht="14.1" customHeight="1" x14ac:dyDescent="0.2">
      <c r="A362" s="112"/>
    </row>
    <row r="363" spans="1:1" s="1" customFormat="1" ht="14.1" customHeight="1" x14ac:dyDescent="0.2">
      <c r="A363" s="112"/>
    </row>
    <row r="364" spans="1:1" s="1" customFormat="1" ht="14.1" customHeight="1" x14ac:dyDescent="0.2">
      <c r="A364" s="112"/>
    </row>
    <row r="365" spans="1:1" s="1" customFormat="1" ht="14.1" customHeight="1" x14ac:dyDescent="0.2">
      <c r="A365" s="112"/>
    </row>
    <row r="366" spans="1:1" s="1" customFormat="1" ht="14.1" customHeight="1" x14ac:dyDescent="0.2">
      <c r="A366" s="112"/>
    </row>
    <row r="367" spans="1:1" s="1" customFormat="1" ht="14.1" customHeight="1" x14ac:dyDescent="0.2">
      <c r="A367" s="112"/>
    </row>
    <row r="368" spans="1:1" s="1" customFormat="1" ht="14.1" customHeight="1" x14ac:dyDescent="0.2">
      <c r="A368" s="112"/>
    </row>
    <row r="369" spans="1:1" s="1" customFormat="1" ht="14.1" customHeight="1" x14ac:dyDescent="0.2">
      <c r="A369" s="112"/>
    </row>
    <row r="370" spans="1:1" s="1" customFormat="1" ht="14.1" customHeight="1" x14ac:dyDescent="0.2">
      <c r="A370" s="112"/>
    </row>
    <row r="371" spans="1:1" s="1" customFormat="1" ht="14.1" customHeight="1" x14ac:dyDescent="0.2">
      <c r="A371" s="112"/>
    </row>
    <row r="372" spans="1:1" s="1" customFormat="1" ht="14.1" customHeight="1" x14ac:dyDescent="0.2">
      <c r="A372" s="112"/>
    </row>
    <row r="373" spans="1:1" s="1" customFormat="1" ht="14.1" customHeight="1" x14ac:dyDescent="0.2">
      <c r="A373" s="112"/>
    </row>
    <row r="374" spans="1:1" s="1" customFormat="1" ht="14.1" customHeight="1" x14ac:dyDescent="0.2">
      <c r="A374" s="112"/>
    </row>
    <row r="375" spans="1:1" s="1" customFormat="1" ht="14.1" customHeight="1" x14ac:dyDescent="0.2">
      <c r="A375" s="112"/>
    </row>
    <row r="376" spans="1:1" s="1" customFormat="1" ht="14.1" customHeight="1" x14ac:dyDescent="0.2">
      <c r="A376" s="112"/>
    </row>
    <row r="377" spans="1:1" s="1" customFormat="1" ht="14.1" customHeight="1" x14ac:dyDescent="0.2">
      <c r="A377" s="112"/>
    </row>
    <row r="378" spans="1:1" s="1" customFormat="1" ht="14.1" customHeight="1" x14ac:dyDescent="0.2">
      <c r="A378" s="112"/>
    </row>
    <row r="379" spans="1:1" s="1" customFormat="1" ht="14.1" customHeight="1" x14ac:dyDescent="0.2">
      <c r="A379" s="112"/>
    </row>
    <row r="380" spans="1:1" s="1" customFormat="1" ht="14.1" customHeight="1" x14ac:dyDescent="0.2">
      <c r="A380" s="112"/>
    </row>
    <row r="381" spans="1:1" s="1" customFormat="1" ht="14.1" customHeight="1" x14ac:dyDescent="0.2">
      <c r="A381" s="112"/>
    </row>
    <row r="382" spans="1:1" s="1" customFormat="1" ht="14.1" customHeight="1" x14ac:dyDescent="0.2">
      <c r="A382" s="112"/>
    </row>
    <row r="383" spans="1:1" s="1" customFormat="1" ht="14.1" customHeight="1" x14ac:dyDescent="0.2">
      <c r="A383" s="112"/>
    </row>
    <row r="384" spans="1:1" s="1" customFormat="1" ht="14.1" customHeight="1" x14ac:dyDescent="0.2">
      <c r="A384" s="112"/>
    </row>
    <row r="385" spans="1:1" s="1" customFormat="1" ht="14.1" customHeight="1" x14ac:dyDescent="0.2">
      <c r="A385" s="112"/>
    </row>
    <row r="386" spans="1:1" s="1" customFormat="1" ht="14.1" customHeight="1" x14ac:dyDescent="0.2">
      <c r="A386" s="112"/>
    </row>
    <row r="387" spans="1:1" s="1" customFormat="1" ht="14.1" customHeight="1" x14ac:dyDescent="0.2">
      <c r="A387" s="112"/>
    </row>
    <row r="388" spans="1:1" s="1" customFormat="1" ht="14.1" customHeight="1" x14ac:dyDescent="0.2">
      <c r="A388" s="112"/>
    </row>
    <row r="389" spans="1:1" s="1" customFormat="1" ht="14.1" customHeight="1" x14ac:dyDescent="0.2">
      <c r="A389" s="112"/>
    </row>
    <row r="390" spans="1:1" s="1" customFormat="1" ht="14.1" customHeight="1" x14ac:dyDescent="0.2">
      <c r="A390" s="112"/>
    </row>
    <row r="391" spans="1:1" s="1" customFormat="1" ht="14.1" customHeight="1" x14ac:dyDescent="0.2">
      <c r="A391" s="112"/>
    </row>
    <row r="392" spans="1:1" s="1" customFormat="1" ht="14.1" customHeight="1" x14ac:dyDescent="0.2">
      <c r="A392" s="112"/>
    </row>
    <row r="393" spans="1:1" s="1" customFormat="1" ht="14.1" customHeight="1" x14ac:dyDescent="0.2">
      <c r="A393" s="112"/>
    </row>
    <row r="394" spans="1:1" s="1" customFormat="1" ht="14.1" customHeight="1" x14ac:dyDescent="0.2">
      <c r="A394" s="112"/>
    </row>
    <row r="395" spans="1:1" s="1" customFormat="1" ht="14.1" customHeight="1" x14ac:dyDescent="0.2">
      <c r="A395" s="112"/>
    </row>
    <row r="396" spans="1:1" s="1" customFormat="1" ht="14.1" customHeight="1" x14ac:dyDescent="0.2">
      <c r="A396" s="112"/>
    </row>
    <row r="397" spans="1:1" s="1" customFormat="1" ht="14.1" customHeight="1" x14ac:dyDescent="0.2">
      <c r="A397" s="112"/>
    </row>
    <row r="398" spans="1:1" s="1" customFormat="1" ht="14.1" customHeight="1" x14ac:dyDescent="0.2">
      <c r="A398" s="112"/>
    </row>
    <row r="399" spans="1:1" s="1" customFormat="1" ht="14.1" customHeight="1" x14ac:dyDescent="0.2">
      <c r="A399" s="112"/>
    </row>
    <row r="400" spans="1:1" s="1" customFormat="1" ht="14.1" customHeight="1" x14ac:dyDescent="0.2">
      <c r="A400" s="112"/>
    </row>
    <row r="401" spans="1:1" s="1" customFormat="1" ht="14.1" customHeight="1" x14ac:dyDescent="0.2">
      <c r="A401" s="112"/>
    </row>
    <row r="402" spans="1:1" s="1" customFormat="1" ht="14.1" customHeight="1" x14ac:dyDescent="0.2">
      <c r="A402" s="112"/>
    </row>
    <row r="403" spans="1:1" s="1" customFormat="1" ht="14.1" customHeight="1" x14ac:dyDescent="0.2">
      <c r="A403" s="112"/>
    </row>
    <row r="404" spans="1:1" s="1" customFormat="1" ht="14.1" customHeight="1" x14ac:dyDescent="0.2">
      <c r="A404" s="112"/>
    </row>
    <row r="405" spans="1:1" s="1" customFormat="1" ht="14.1" customHeight="1" x14ac:dyDescent="0.2">
      <c r="A405" s="112"/>
    </row>
    <row r="406" spans="1:1" s="1" customFormat="1" ht="14.1" customHeight="1" x14ac:dyDescent="0.2">
      <c r="A406" s="112"/>
    </row>
    <row r="407" spans="1:1" s="1" customFormat="1" ht="14.1" customHeight="1" x14ac:dyDescent="0.2">
      <c r="A407" s="112"/>
    </row>
    <row r="408" spans="1:1" s="1" customFormat="1" ht="14.1" customHeight="1" x14ac:dyDescent="0.2">
      <c r="A408" s="112"/>
    </row>
    <row r="409" spans="1:1" s="1" customFormat="1" ht="14.1" customHeight="1" x14ac:dyDescent="0.2">
      <c r="A409" s="112"/>
    </row>
    <row r="410" spans="1:1" s="1" customFormat="1" ht="14.1" customHeight="1" x14ac:dyDescent="0.2">
      <c r="A410" s="112"/>
    </row>
    <row r="411" spans="1:1" s="1" customFormat="1" ht="14.1" customHeight="1" x14ac:dyDescent="0.2">
      <c r="A411" s="112"/>
    </row>
    <row r="412" spans="1:1" s="1" customFormat="1" ht="14.1" customHeight="1" x14ac:dyDescent="0.2">
      <c r="A412" s="112"/>
    </row>
    <row r="413" spans="1:1" s="1" customFormat="1" ht="14.1" customHeight="1" x14ac:dyDescent="0.2">
      <c r="A413" s="112"/>
    </row>
    <row r="414" spans="1:1" s="1" customFormat="1" ht="14.1" customHeight="1" x14ac:dyDescent="0.2">
      <c r="A414" s="112"/>
    </row>
    <row r="415" spans="1:1" s="1" customFormat="1" ht="14.1" customHeight="1" x14ac:dyDescent="0.2">
      <c r="A415" s="112"/>
    </row>
    <row r="416" spans="1:1" s="1" customFormat="1" ht="14.1" customHeight="1" x14ac:dyDescent="0.2">
      <c r="A416" s="112"/>
    </row>
    <row r="417" spans="1:1" s="1" customFormat="1" ht="14.1" customHeight="1" x14ac:dyDescent="0.2">
      <c r="A417" s="112"/>
    </row>
    <row r="418" spans="1:1" s="1" customFormat="1" ht="14.1" customHeight="1" x14ac:dyDescent="0.2">
      <c r="A418" s="112"/>
    </row>
    <row r="419" spans="1:1" s="1" customFormat="1" ht="14.1" customHeight="1" x14ac:dyDescent="0.2">
      <c r="A419" s="112"/>
    </row>
    <row r="420" spans="1:1" s="1" customFormat="1" ht="14.1" customHeight="1" x14ac:dyDescent="0.2">
      <c r="A420" s="112"/>
    </row>
    <row r="421" spans="1:1" s="1" customFormat="1" ht="14.1" customHeight="1" x14ac:dyDescent="0.2">
      <c r="A421" s="112"/>
    </row>
    <row r="422" spans="1:1" s="1" customFormat="1" ht="14.1" customHeight="1" x14ac:dyDescent="0.2">
      <c r="A422" s="112"/>
    </row>
    <row r="423" spans="1:1" s="1" customFormat="1" ht="14.1" customHeight="1" x14ac:dyDescent="0.2">
      <c r="A423" s="112"/>
    </row>
    <row r="424" spans="1:1" s="1" customFormat="1" ht="14.1" customHeight="1" x14ac:dyDescent="0.2">
      <c r="A424" s="112"/>
    </row>
    <row r="425" spans="1:1" s="1" customFormat="1" ht="14.1" customHeight="1" x14ac:dyDescent="0.2">
      <c r="A425" s="112"/>
    </row>
    <row r="426" spans="1:1" s="1" customFormat="1" ht="14.1" customHeight="1" x14ac:dyDescent="0.2">
      <c r="A426" s="112"/>
    </row>
    <row r="427" spans="1:1" s="1" customFormat="1" ht="14.1" customHeight="1" x14ac:dyDescent="0.2">
      <c r="A427" s="112"/>
    </row>
    <row r="428" spans="1:1" s="1" customFormat="1" ht="14.1" customHeight="1" x14ac:dyDescent="0.2">
      <c r="A428" s="112"/>
    </row>
    <row r="429" spans="1:1" s="1" customFormat="1" ht="14.1" customHeight="1" x14ac:dyDescent="0.2">
      <c r="A429" s="112"/>
    </row>
    <row r="430" spans="1:1" s="1" customFormat="1" ht="14.1" customHeight="1" x14ac:dyDescent="0.2">
      <c r="A430" s="112"/>
    </row>
    <row r="431" spans="1:1" s="1" customFormat="1" ht="14.1" customHeight="1" x14ac:dyDescent="0.2">
      <c r="A431" s="112"/>
    </row>
    <row r="432" spans="1:1" s="1" customFormat="1" ht="14.1" customHeight="1" x14ac:dyDescent="0.2">
      <c r="A432" s="112"/>
    </row>
    <row r="433" spans="1:1" s="1" customFormat="1" ht="14.1" customHeight="1" x14ac:dyDescent="0.2">
      <c r="A433" s="112"/>
    </row>
    <row r="434" spans="1:1" s="1" customFormat="1" ht="14.1" customHeight="1" x14ac:dyDescent="0.2">
      <c r="A434" s="112"/>
    </row>
    <row r="435" spans="1:1" s="1" customFormat="1" ht="14.1" customHeight="1" x14ac:dyDescent="0.2">
      <c r="A435" s="112"/>
    </row>
    <row r="436" spans="1:1" s="1" customFormat="1" ht="14.1" customHeight="1" x14ac:dyDescent="0.2">
      <c r="A436" s="112"/>
    </row>
    <row r="437" spans="1:1" s="1" customFormat="1" ht="14.1" customHeight="1" x14ac:dyDescent="0.2">
      <c r="A437" s="112"/>
    </row>
    <row r="438" spans="1:1" s="1" customFormat="1" ht="14.1" customHeight="1" x14ac:dyDescent="0.2">
      <c r="A438" s="112"/>
    </row>
    <row r="439" spans="1:1" s="1" customFormat="1" ht="14.1" customHeight="1" x14ac:dyDescent="0.2">
      <c r="A439" s="112"/>
    </row>
    <row r="440" spans="1:1" s="1" customFormat="1" ht="14.1" customHeight="1" x14ac:dyDescent="0.2">
      <c r="A440" s="112"/>
    </row>
    <row r="441" spans="1:1" s="1" customFormat="1" ht="14.1" customHeight="1" x14ac:dyDescent="0.2">
      <c r="A441" s="112"/>
    </row>
    <row r="442" spans="1:1" s="1" customFormat="1" ht="14.1" customHeight="1" x14ac:dyDescent="0.2">
      <c r="A442" s="112"/>
    </row>
    <row r="443" spans="1:1" s="1" customFormat="1" ht="14.1" customHeight="1" x14ac:dyDescent="0.2">
      <c r="A443" s="112"/>
    </row>
    <row r="444" spans="1:1" s="1" customFormat="1" ht="14.1" customHeight="1" x14ac:dyDescent="0.2">
      <c r="A444" s="112"/>
    </row>
    <row r="445" spans="1:1" s="1" customFormat="1" ht="14.1" customHeight="1" x14ac:dyDescent="0.2">
      <c r="A445" s="112"/>
    </row>
    <row r="446" spans="1:1" s="1" customFormat="1" ht="14.1" customHeight="1" x14ac:dyDescent="0.2">
      <c r="A446" s="112"/>
    </row>
    <row r="447" spans="1:1" s="1" customFormat="1" ht="14.1" customHeight="1" x14ac:dyDescent="0.2">
      <c r="A447" s="112"/>
    </row>
    <row r="448" spans="1:1" s="1" customFormat="1" ht="14.1" customHeight="1" x14ac:dyDescent="0.2">
      <c r="A448" s="112"/>
    </row>
    <row r="449" spans="1:1" s="1" customFormat="1" ht="14.1" customHeight="1" x14ac:dyDescent="0.2">
      <c r="A449" s="112"/>
    </row>
    <row r="450" spans="1:1" s="1" customFormat="1" ht="14.1" customHeight="1" x14ac:dyDescent="0.2">
      <c r="A450" s="112"/>
    </row>
    <row r="451" spans="1:1" s="1" customFormat="1" ht="14.1" customHeight="1" x14ac:dyDescent="0.2">
      <c r="A451" s="112"/>
    </row>
    <row r="452" spans="1:1" s="1" customFormat="1" ht="14.1" customHeight="1" x14ac:dyDescent="0.2">
      <c r="A452" s="112"/>
    </row>
    <row r="453" spans="1:1" s="1" customFormat="1" ht="14.1" customHeight="1" x14ac:dyDescent="0.2">
      <c r="A453" s="112"/>
    </row>
    <row r="454" spans="1:1" s="1" customFormat="1" ht="14.1" customHeight="1" x14ac:dyDescent="0.2">
      <c r="A454" s="112"/>
    </row>
    <row r="455" spans="1:1" s="1" customFormat="1" ht="14.1" customHeight="1" x14ac:dyDescent="0.2">
      <c r="A455" s="112"/>
    </row>
    <row r="456" spans="1:1" s="1" customFormat="1" ht="14.1" customHeight="1" x14ac:dyDescent="0.2">
      <c r="A456" s="112"/>
    </row>
    <row r="457" spans="1:1" s="1" customFormat="1" ht="14.1" customHeight="1" x14ac:dyDescent="0.2">
      <c r="A457" s="112"/>
    </row>
    <row r="458" spans="1:1" s="1" customFormat="1" ht="14.1" customHeight="1" x14ac:dyDescent="0.2">
      <c r="A458" s="112"/>
    </row>
    <row r="459" spans="1:1" s="1" customFormat="1" ht="14.1" customHeight="1" x14ac:dyDescent="0.2">
      <c r="A459" s="112"/>
    </row>
    <row r="460" spans="1:1" s="1" customFormat="1" ht="14.1" customHeight="1" x14ac:dyDescent="0.2">
      <c r="A460" s="112"/>
    </row>
    <row r="461" spans="1:1" s="1" customFormat="1" ht="14.1" customHeight="1" x14ac:dyDescent="0.2">
      <c r="A461" s="112"/>
    </row>
    <row r="462" spans="1:1" s="1" customFormat="1" ht="14.1" customHeight="1" x14ac:dyDescent="0.2">
      <c r="A462" s="112"/>
    </row>
    <row r="463" spans="1:1" s="1" customFormat="1" ht="14.1" customHeight="1" x14ac:dyDescent="0.2">
      <c r="A463" s="112"/>
    </row>
    <row r="464" spans="1:1" s="1" customFormat="1" ht="14.1" customHeight="1" x14ac:dyDescent="0.2">
      <c r="A464" s="112"/>
    </row>
    <row r="465" spans="1:1" s="1" customFormat="1" ht="14.1" customHeight="1" x14ac:dyDescent="0.2">
      <c r="A465" s="112"/>
    </row>
    <row r="466" spans="1:1" s="1" customFormat="1" ht="14.1" customHeight="1" x14ac:dyDescent="0.2">
      <c r="A466" s="112"/>
    </row>
    <row r="467" spans="1:1" s="1" customFormat="1" ht="14.1" customHeight="1" x14ac:dyDescent="0.2">
      <c r="A467" s="112"/>
    </row>
    <row r="468" spans="1:1" s="1" customFormat="1" ht="14.1" customHeight="1" x14ac:dyDescent="0.2">
      <c r="A468" s="112"/>
    </row>
    <row r="469" spans="1:1" s="1" customFormat="1" ht="14.1" customHeight="1" x14ac:dyDescent="0.2">
      <c r="A469" s="112"/>
    </row>
    <row r="470" spans="1:1" s="1" customFormat="1" ht="14.1" customHeight="1" x14ac:dyDescent="0.2">
      <c r="A470" s="112"/>
    </row>
    <row r="471" spans="1:1" s="1" customFormat="1" ht="14.1" customHeight="1" x14ac:dyDescent="0.2">
      <c r="A471" s="112"/>
    </row>
    <row r="472" spans="1:1" s="1" customFormat="1" ht="14.1" customHeight="1" x14ac:dyDescent="0.2">
      <c r="A472" s="112"/>
    </row>
    <row r="473" spans="1:1" s="1" customFormat="1" ht="14.1" customHeight="1" x14ac:dyDescent="0.2">
      <c r="A473" s="112"/>
    </row>
    <row r="474" spans="1:1" s="1" customFormat="1" ht="14.1" customHeight="1" x14ac:dyDescent="0.2">
      <c r="A474" s="112"/>
    </row>
    <row r="475" spans="1:1" s="1" customFormat="1" ht="14.1" customHeight="1" x14ac:dyDescent="0.2">
      <c r="A475" s="112"/>
    </row>
    <row r="476" spans="1:1" s="1" customFormat="1" ht="14.1" customHeight="1" x14ac:dyDescent="0.2">
      <c r="A476" s="112"/>
    </row>
    <row r="477" spans="1:1" s="1" customFormat="1" ht="14.1" customHeight="1" x14ac:dyDescent="0.2">
      <c r="A477" s="112"/>
    </row>
    <row r="478" spans="1:1" s="1" customFormat="1" ht="14.1" customHeight="1" x14ac:dyDescent="0.2">
      <c r="A478" s="112"/>
    </row>
    <row r="479" spans="1:1" s="1" customFormat="1" ht="14.1" customHeight="1" x14ac:dyDescent="0.2">
      <c r="A479" s="112"/>
    </row>
    <row r="480" spans="1:1" s="1" customFormat="1" ht="14.1" customHeight="1" x14ac:dyDescent="0.2">
      <c r="A480" s="112"/>
    </row>
    <row r="481" spans="1:1" s="1" customFormat="1" ht="14.1" customHeight="1" x14ac:dyDescent="0.2">
      <c r="A481" s="112"/>
    </row>
    <row r="482" spans="1:1" s="1" customFormat="1" ht="14.1" customHeight="1" x14ac:dyDescent="0.2">
      <c r="A482" s="112"/>
    </row>
    <row r="483" spans="1:1" s="1" customFormat="1" ht="14.1" customHeight="1" x14ac:dyDescent="0.2">
      <c r="A483" s="112"/>
    </row>
    <row r="484" spans="1:1" s="1" customFormat="1" ht="14.1" customHeight="1" x14ac:dyDescent="0.2">
      <c r="A484" s="112"/>
    </row>
    <row r="485" spans="1:1" s="1" customFormat="1" ht="14.1" customHeight="1" x14ac:dyDescent="0.2">
      <c r="A485" s="112"/>
    </row>
    <row r="486" spans="1:1" s="1" customFormat="1" ht="14.1" customHeight="1" x14ac:dyDescent="0.2">
      <c r="A486" s="112"/>
    </row>
    <row r="487" spans="1:1" s="1" customFormat="1" ht="14.1" customHeight="1" x14ac:dyDescent="0.2">
      <c r="A487" s="112"/>
    </row>
    <row r="488" spans="1:1" s="1" customFormat="1" ht="14.1" customHeight="1" x14ac:dyDescent="0.2">
      <c r="A488" s="112"/>
    </row>
    <row r="489" spans="1:1" s="1" customFormat="1" ht="14.1" customHeight="1" x14ac:dyDescent="0.2">
      <c r="A489" s="112"/>
    </row>
    <row r="490" spans="1:1" s="1" customFormat="1" ht="14.1" customHeight="1" x14ac:dyDescent="0.2">
      <c r="A490" s="112"/>
    </row>
    <row r="491" spans="1:1" s="1" customFormat="1" ht="14.1" customHeight="1" x14ac:dyDescent="0.2">
      <c r="A491" s="112"/>
    </row>
    <row r="492" spans="1:1" s="1" customFormat="1" ht="14.1" customHeight="1" x14ac:dyDescent="0.2">
      <c r="A492" s="112"/>
    </row>
    <row r="493" spans="1:1" s="1" customFormat="1" ht="14.1" customHeight="1" x14ac:dyDescent="0.2">
      <c r="A493" s="112"/>
    </row>
    <row r="494" spans="1:1" s="1" customFormat="1" ht="14.1" customHeight="1" x14ac:dyDescent="0.2">
      <c r="A494" s="112"/>
    </row>
    <row r="495" spans="1:1" s="1" customFormat="1" ht="14.1" customHeight="1" x14ac:dyDescent="0.2">
      <c r="A495" s="112"/>
    </row>
    <row r="496" spans="1:1" s="1" customFormat="1" ht="14.1" customHeight="1" x14ac:dyDescent="0.2">
      <c r="A496" s="112"/>
    </row>
  </sheetData>
  <mergeCells count="191">
    <mergeCell ref="I5:I6"/>
    <mergeCell ref="J5:J6"/>
    <mergeCell ref="I24:I25"/>
    <mergeCell ref="J24:J25"/>
    <mergeCell ref="I42:I43"/>
    <mergeCell ref="M5:M6"/>
    <mergeCell ref="M24:M25"/>
    <mergeCell ref="N24:N25"/>
    <mergeCell ref="M42:M43"/>
    <mergeCell ref="K5:K6"/>
    <mergeCell ref="K24:K25"/>
    <mergeCell ref="K42:K43"/>
    <mergeCell ref="L5:L6"/>
    <mergeCell ref="L24:L25"/>
    <mergeCell ref="L42:L43"/>
    <mergeCell ref="P5:P6"/>
    <mergeCell ref="P24:P25"/>
    <mergeCell ref="P42:P43"/>
    <mergeCell ref="Q5:Q6"/>
    <mergeCell ref="R5:R6"/>
    <mergeCell ref="Q24:Q25"/>
    <mergeCell ref="R24:R25"/>
    <mergeCell ref="Q42:Q43"/>
    <mergeCell ref="R42:R43"/>
    <mergeCell ref="B42:B43"/>
    <mergeCell ref="C42:C43"/>
    <mergeCell ref="E24:E25"/>
    <mergeCell ref="B24:B25"/>
    <mergeCell ref="B5:B6"/>
    <mergeCell ref="AB5:AB6"/>
    <mergeCell ref="AB24:AB25"/>
    <mergeCell ref="AB42:AB43"/>
    <mergeCell ref="AA5:AA6"/>
    <mergeCell ref="AA24:AA25"/>
    <mergeCell ref="AA42:AA43"/>
    <mergeCell ref="C24:C25"/>
    <mergeCell ref="E42:E43"/>
    <mergeCell ref="C5:C6"/>
    <mergeCell ref="E5:E6"/>
    <mergeCell ref="F42:F43"/>
    <mergeCell ref="D24:D25"/>
    <mergeCell ref="F24:F25"/>
    <mergeCell ref="Y5:Y6"/>
    <mergeCell ref="Z5:Z6"/>
    <mergeCell ref="Y24:Y25"/>
    <mergeCell ref="S5:S6"/>
    <mergeCell ref="S24:S25"/>
    <mergeCell ref="S42:S43"/>
    <mergeCell ref="AL24:AL25"/>
    <mergeCell ref="AK42:AK43"/>
    <mergeCell ref="AH5:AH6"/>
    <mergeCell ref="AG24:AG25"/>
    <mergeCell ref="AH24:AH25"/>
    <mergeCell ref="AG42:AG43"/>
    <mergeCell ref="AH42:AH43"/>
    <mergeCell ref="AR5:AR6"/>
    <mergeCell ref="AT5:AT6"/>
    <mergeCell ref="AT42:AT43"/>
    <mergeCell ref="AM24:AM25"/>
    <mergeCell ref="AR42:AR43"/>
    <mergeCell ref="AM42:AM43"/>
    <mergeCell ref="AO24:AO25"/>
    <mergeCell ref="AP24:AP25"/>
    <mergeCell ref="AO42:AO43"/>
    <mergeCell ref="AM5:AM6"/>
    <mergeCell ref="AN5:AN6"/>
    <mergeCell ref="AT24:AT25"/>
    <mergeCell ref="AS5:AS6"/>
    <mergeCell ref="AP5:AP6"/>
    <mergeCell ref="AS24:AS25"/>
    <mergeCell ref="AR24:AR25"/>
    <mergeCell ref="AN24:AN25"/>
    <mergeCell ref="AV24:AV25"/>
    <mergeCell ref="AW24:AW25"/>
    <mergeCell ref="AW42:AW43"/>
    <mergeCell ref="AU24:AU25"/>
    <mergeCell ref="AW5:AW6"/>
    <mergeCell ref="AU5:AU6"/>
    <mergeCell ref="AV42:AV43"/>
    <mergeCell ref="AV5:AV6"/>
    <mergeCell ref="AU42:AU43"/>
    <mergeCell ref="AX24:AX25"/>
    <mergeCell ref="BA42:BA43"/>
    <mergeCell ref="BA24:BA25"/>
    <mergeCell ref="AZ5:AZ6"/>
    <mergeCell ref="BA5:BA6"/>
    <mergeCell ref="BD24:BD25"/>
    <mergeCell ref="BC24:BC25"/>
    <mergeCell ref="BD5:BD6"/>
    <mergeCell ref="AY24:AY25"/>
    <mergeCell ref="AY5:AY6"/>
    <mergeCell ref="BC5:BC6"/>
    <mergeCell ref="BB42:BB43"/>
    <mergeCell ref="BB24:BB25"/>
    <mergeCell ref="BB5:BB6"/>
    <mergeCell ref="AX42:AX43"/>
    <mergeCell ref="BR42:BR43"/>
    <mergeCell ref="BM42:BM43"/>
    <mergeCell ref="BG24:BG25"/>
    <mergeCell ref="BO42:BO43"/>
    <mergeCell ref="BP42:BP43"/>
    <mergeCell ref="BL42:BL43"/>
    <mergeCell ref="BK42:BK43"/>
    <mergeCell ref="BJ42:BJ43"/>
    <mergeCell ref="BO24:BO25"/>
    <mergeCell ref="BP24:BP25"/>
    <mergeCell ref="BQ24:BQ25"/>
    <mergeCell ref="BM24:BM25"/>
    <mergeCell ref="BK24:BK25"/>
    <mergeCell ref="BJ24:BJ25"/>
    <mergeCell ref="BN24:BN25"/>
    <mergeCell ref="BL24:BL25"/>
    <mergeCell ref="BN42:BN43"/>
    <mergeCell ref="BQ42:BQ43"/>
    <mergeCell ref="BI24:BI25"/>
    <mergeCell ref="BH24:BH25"/>
    <mergeCell ref="BI42:BI43"/>
    <mergeCell ref="BH42:BH43"/>
    <mergeCell ref="BG42:BG43"/>
    <mergeCell ref="W5:W6"/>
    <mergeCell ref="BE5:BE6"/>
    <mergeCell ref="BF42:BF43"/>
    <mergeCell ref="BE42:BE43"/>
    <mergeCell ref="BF24:BF25"/>
    <mergeCell ref="BQ5:BQ6"/>
    <mergeCell ref="BH5:BH6"/>
    <mergeCell ref="BI5:BI6"/>
    <mergeCell ref="BJ5:BJ6"/>
    <mergeCell ref="BL5:BL6"/>
    <mergeCell ref="BM5:BM6"/>
    <mergeCell ref="BG5:BG6"/>
    <mergeCell ref="BF5:BF6"/>
    <mergeCell ref="BO5:BO6"/>
    <mergeCell ref="BP5:BP6"/>
    <mergeCell ref="BN5:BN6"/>
    <mergeCell ref="BK5:BK6"/>
    <mergeCell ref="BE24:BE25"/>
    <mergeCell ref="AY42:AY43"/>
    <mergeCell ref="AX5:AX6"/>
    <mergeCell ref="AZ24:AZ25"/>
    <mergeCell ref="AZ42:AZ43"/>
    <mergeCell ref="BD42:BD43"/>
    <mergeCell ref="BC42:BC43"/>
    <mergeCell ref="G5:G6"/>
    <mergeCell ref="G24:G25"/>
    <mergeCell ref="G42:G43"/>
    <mergeCell ref="H5:H6"/>
    <mergeCell ref="H24:H25"/>
    <mergeCell ref="H42:H43"/>
    <mergeCell ref="AN42:AN43"/>
    <mergeCell ref="AO5:AO6"/>
    <mergeCell ref="AS42:AS43"/>
    <mergeCell ref="AI5:AI6"/>
    <mergeCell ref="AI24:AI25"/>
    <mergeCell ref="AK5:AK6"/>
    <mergeCell ref="AJ5:AJ6"/>
    <mergeCell ref="AJ24:AJ25"/>
    <mergeCell ref="AJ42:AJ43"/>
    <mergeCell ref="T42:T43"/>
    <mergeCell ref="AG5:AG6"/>
    <mergeCell ref="AI42:AI43"/>
    <mergeCell ref="AK24:AK25"/>
    <mergeCell ref="AC42:AC43"/>
    <mergeCell ref="T5:T6"/>
    <mergeCell ref="T24:T25"/>
    <mergeCell ref="AD24:AD25"/>
    <mergeCell ref="AE5:AE6"/>
    <mergeCell ref="AQ5:AQ6"/>
    <mergeCell ref="AQ24:AQ25"/>
    <mergeCell ref="AQ42:AQ43"/>
    <mergeCell ref="W24:W25"/>
    <mergeCell ref="W42:W43"/>
    <mergeCell ref="AC5:AC6"/>
    <mergeCell ref="AC24:AC25"/>
    <mergeCell ref="O5:O6"/>
    <mergeCell ref="O24:O25"/>
    <mergeCell ref="O42:O43"/>
    <mergeCell ref="U5:U6"/>
    <mergeCell ref="U24:U25"/>
    <mergeCell ref="V24:V25"/>
    <mergeCell ref="U42:U43"/>
    <mergeCell ref="X5:X6"/>
    <mergeCell ref="X24:X25"/>
    <mergeCell ref="X42:X43"/>
    <mergeCell ref="AE24:AE25"/>
    <mergeCell ref="AE42:AE43"/>
    <mergeCell ref="AF5:AF6"/>
    <mergeCell ref="AF24:AF25"/>
    <mergeCell ref="AF42:AF43"/>
    <mergeCell ref="Z24:Z25"/>
    <mergeCell ref="Y42:Y43"/>
  </mergeCells>
  <pageMargins left="0.7" right="0.7" top="0.75" bottom="0.75" header="0.3" footer="0.3"/>
  <pageSetup paperSize="9" scale="72" orientation="landscape" r:id="rId1"/>
  <ignoredErrors>
    <ignoredError sqref="AN46 I46"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Q514"/>
  <sheetViews>
    <sheetView showGridLines="0" topLeftCell="A40" zoomScale="85" zoomScaleNormal="85" workbookViewId="0">
      <pane xSplit="5" topLeftCell="F1" activePane="topRight" state="frozen"/>
      <selection activeCell="H29" sqref="H29"/>
      <selection pane="topRight" activeCell="H29" sqref="H29"/>
    </sheetView>
  </sheetViews>
  <sheetFormatPr defaultRowHeight="14.1" customHeight="1" x14ac:dyDescent="0.2"/>
  <cols>
    <col min="1" max="1" width="9.85546875" style="1" customWidth="1"/>
    <col min="2" max="2" width="33.28515625" customWidth="1"/>
    <col min="3" max="6" width="9.85546875" customWidth="1"/>
    <col min="7" max="18" width="10.7109375" customWidth="1"/>
    <col min="19" max="21" width="10.7109375" style="1" customWidth="1"/>
    <col min="22" max="34" width="10.7109375" customWidth="1"/>
    <col min="35" max="51" width="10.7109375" style="1" customWidth="1"/>
    <col min="52" max="54" width="10.7109375" customWidth="1"/>
  </cols>
  <sheetData>
    <row r="1" spans="1:121" ht="44.25" customHeight="1" x14ac:dyDescent="0.2">
      <c r="B1" s="25"/>
      <c r="C1" s="5"/>
      <c r="D1" s="5"/>
      <c r="E1" s="5"/>
      <c r="F1" s="45" t="s">
        <v>57</v>
      </c>
      <c r="G1" s="5"/>
      <c r="H1" s="5"/>
      <c r="I1" s="5"/>
      <c r="J1" s="5"/>
      <c r="K1" s="5"/>
      <c r="L1" s="5"/>
      <c r="M1" s="5"/>
      <c r="N1" s="5"/>
      <c r="O1" s="5"/>
      <c r="P1" s="5"/>
      <c r="Q1" s="5"/>
      <c r="R1" s="5"/>
      <c r="V1" s="5"/>
      <c r="W1" s="5"/>
      <c r="X1" s="5"/>
      <c r="Y1" s="5"/>
      <c r="Z1" s="5"/>
      <c r="AA1" s="5"/>
      <c r="AB1" s="5"/>
      <c r="AC1" s="5"/>
      <c r="AD1" s="5"/>
      <c r="AE1" s="5"/>
      <c r="AF1" s="5"/>
      <c r="AG1" s="5"/>
      <c r="AH1" s="5"/>
    </row>
    <row r="2" spans="1:121" ht="13.5" customHeight="1" x14ac:dyDescent="0.3">
      <c r="B2" s="25"/>
      <c r="C2" s="5"/>
      <c r="D2" s="5"/>
      <c r="E2" s="5"/>
      <c r="F2" s="5"/>
      <c r="G2" s="44" t="s">
        <v>56</v>
      </c>
      <c r="H2" s="5"/>
      <c r="I2" s="5"/>
      <c r="J2" s="5"/>
      <c r="K2" s="5"/>
      <c r="L2" s="5"/>
      <c r="M2" s="5"/>
      <c r="N2" s="5"/>
      <c r="O2" s="5"/>
      <c r="P2" s="5"/>
      <c r="Q2" s="5"/>
      <c r="R2" s="5"/>
      <c r="V2" s="5" t="s">
        <v>56</v>
      </c>
      <c r="W2" s="44" t="s">
        <v>56</v>
      </c>
      <c r="X2" s="5"/>
      <c r="Y2" s="5"/>
      <c r="Z2" s="5"/>
      <c r="AA2" s="5"/>
      <c r="AB2" s="5"/>
      <c r="AC2" s="5"/>
      <c r="AD2" s="5"/>
      <c r="AE2" s="5"/>
      <c r="AF2" s="5"/>
      <c r="AG2" s="5"/>
      <c r="AH2" s="5"/>
    </row>
    <row r="3" spans="1:121" ht="13.5" customHeight="1" x14ac:dyDescent="0.3">
      <c r="B3" s="25"/>
      <c r="C3" s="5"/>
      <c r="D3" s="5"/>
      <c r="E3" s="5"/>
      <c r="F3" s="5"/>
      <c r="G3" s="44" t="s">
        <v>55</v>
      </c>
      <c r="H3" s="5"/>
      <c r="I3" s="5"/>
      <c r="J3" s="5"/>
      <c r="K3" s="5"/>
      <c r="L3" s="5"/>
      <c r="M3" s="5"/>
      <c r="N3" s="5"/>
      <c r="O3" s="5"/>
      <c r="P3" s="5"/>
      <c r="Q3" s="5"/>
      <c r="R3" s="5"/>
      <c r="V3" s="5"/>
      <c r="W3" s="44" t="s">
        <v>55</v>
      </c>
      <c r="X3" s="5"/>
      <c r="Y3" s="5"/>
      <c r="Z3" s="5"/>
      <c r="AA3" s="5"/>
      <c r="AB3" s="5"/>
      <c r="AC3" s="5"/>
      <c r="AD3" s="5"/>
      <c r="AE3" s="5"/>
      <c r="AF3" s="5"/>
      <c r="AG3" s="5"/>
      <c r="AH3" s="5"/>
    </row>
    <row r="4" spans="1:121" ht="13.5" customHeight="1" x14ac:dyDescent="0.2">
      <c r="B4" s="5"/>
      <c r="C4" s="5"/>
      <c r="D4" s="5"/>
      <c r="E4" s="5"/>
      <c r="F4" s="5"/>
      <c r="G4" s="9"/>
      <c r="H4" s="5"/>
      <c r="I4" s="5"/>
      <c r="J4" s="5"/>
      <c r="K4" s="5"/>
      <c r="L4" s="5"/>
      <c r="M4" s="25"/>
      <c r="N4" s="5"/>
      <c r="O4" s="5"/>
      <c r="P4" s="5"/>
      <c r="Q4" s="5"/>
      <c r="R4" s="5"/>
      <c r="S4" s="5"/>
      <c r="V4" s="5"/>
      <c r="W4" s="9"/>
      <c r="X4" s="5"/>
      <c r="Y4" s="5"/>
      <c r="Z4" s="5"/>
      <c r="AA4" s="5"/>
      <c r="AB4" s="5"/>
      <c r="AC4" s="25"/>
      <c r="AD4" s="5"/>
      <c r="AE4" s="5"/>
      <c r="AF4" s="5"/>
      <c r="AG4" s="5"/>
      <c r="AH4" s="5"/>
      <c r="AI4" s="5"/>
      <c r="AZ4" s="1"/>
    </row>
    <row r="5" spans="1:121" ht="12.75" customHeight="1" x14ac:dyDescent="0.2">
      <c r="B5" s="290" t="s">
        <v>52</v>
      </c>
      <c r="C5" s="318" t="str">
        <f ca="1">CONCATENATE(OFFSET($F$5,0,1)," / ",OFFSET($F$5,0,17))</f>
        <v>5M 2026 / 5M 2025</v>
      </c>
      <c r="D5" s="135"/>
      <c r="E5" s="324"/>
      <c r="F5" s="89"/>
      <c r="G5" s="256" t="s">
        <v>278</v>
      </c>
      <c r="H5" s="256" t="s">
        <v>277</v>
      </c>
      <c r="I5" s="277" t="s">
        <v>275</v>
      </c>
      <c r="J5" s="279"/>
      <c r="K5" s="303" t="s">
        <v>274</v>
      </c>
      <c r="L5" s="264" t="s">
        <v>273</v>
      </c>
      <c r="M5" s="277" t="s">
        <v>270</v>
      </c>
      <c r="N5" s="250"/>
      <c r="O5" s="264" t="s">
        <v>269</v>
      </c>
      <c r="P5" s="303" t="s">
        <v>268</v>
      </c>
      <c r="Q5" s="277" t="s">
        <v>264</v>
      </c>
      <c r="R5" s="256"/>
      <c r="S5" s="256" t="s">
        <v>263</v>
      </c>
      <c r="T5" s="256" t="s">
        <v>258</v>
      </c>
      <c r="U5" s="277" t="s">
        <v>254</v>
      </c>
      <c r="V5" s="243"/>
      <c r="W5" s="256" t="s">
        <v>253</v>
      </c>
      <c r="X5" s="256" t="s">
        <v>252</v>
      </c>
      <c r="Y5" s="277" t="s">
        <v>250</v>
      </c>
      <c r="Z5" s="264"/>
      <c r="AA5" s="264" t="s">
        <v>249</v>
      </c>
      <c r="AB5" s="264" t="s">
        <v>248</v>
      </c>
      <c r="AC5" s="277" t="s">
        <v>245</v>
      </c>
      <c r="AD5" s="232"/>
      <c r="AE5" s="264" t="s">
        <v>239</v>
      </c>
      <c r="AF5" s="303" t="s">
        <v>238</v>
      </c>
      <c r="AG5" s="277" t="s">
        <v>235</v>
      </c>
      <c r="AH5" s="256"/>
      <c r="AI5" s="256" t="s">
        <v>234</v>
      </c>
      <c r="AJ5" s="256" t="s">
        <v>233</v>
      </c>
      <c r="AK5" s="277" t="s">
        <v>229</v>
      </c>
      <c r="AL5" s="227"/>
      <c r="AM5" s="256" t="s">
        <v>228</v>
      </c>
      <c r="AN5" s="256" t="s">
        <v>227</v>
      </c>
      <c r="AO5" s="277" t="s">
        <v>226</v>
      </c>
      <c r="AP5" s="264"/>
      <c r="AQ5" s="264" t="s">
        <v>224</v>
      </c>
      <c r="AR5" s="264" t="s">
        <v>223</v>
      </c>
      <c r="AS5" s="277" t="s">
        <v>220</v>
      </c>
      <c r="AT5" s="196"/>
      <c r="AU5" s="264" t="s">
        <v>219</v>
      </c>
      <c r="AV5" s="303" t="s">
        <v>218</v>
      </c>
      <c r="AW5" s="277" t="s">
        <v>214</v>
      </c>
      <c r="AX5" s="256"/>
      <c r="AY5" s="256" t="s">
        <v>213</v>
      </c>
      <c r="AZ5" s="256" t="s">
        <v>212</v>
      </c>
      <c r="BA5" s="277" t="s">
        <v>207</v>
      </c>
      <c r="BB5" s="192"/>
      <c r="BC5" s="256" t="s">
        <v>206</v>
      </c>
      <c r="BD5" s="256" t="s">
        <v>205</v>
      </c>
      <c r="BE5" s="277" t="s">
        <v>204</v>
      </c>
      <c r="BF5" s="264"/>
      <c r="BG5" s="264" t="s">
        <v>202</v>
      </c>
      <c r="BH5" s="264" t="s">
        <v>201</v>
      </c>
      <c r="BI5" s="277" t="s">
        <v>199</v>
      </c>
      <c r="BJ5" s="173"/>
      <c r="BK5" s="264" t="s">
        <v>197</v>
      </c>
      <c r="BL5" s="264" t="s">
        <v>196</v>
      </c>
      <c r="BM5" s="277" t="s">
        <v>192</v>
      </c>
      <c r="BN5" s="256"/>
      <c r="BO5" s="256" t="s">
        <v>191</v>
      </c>
      <c r="BP5" s="256" t="s">
        <v>190</v>
      </c>
      <c r="BQ5" s="277" t="s">
        <v>186</v>
      </c>
      <c r="BR5" s="169"/>
      <c r="BS5" s="256" t="s">
        <v>185</v>
      </c>
      <c r="BT5" s="256" t="s">
        <v>182</v>
      </c>
      <c r="BU5" s="277" t="s">
        <v>180</v>
      </c>
      <c r="BV5" s="264"/>
      <c r="BW5" s="264" t="s">
        <v>178</v>
      </c>
      <c r="BX5" s="264" t="s">
        <v>177</v>
      </c>
      <c r="BY5" s="277" t="s">
        <v>175</v>
      </c>
      <c r="BZ5" s="159"/>
      <c r="CA5" s="264" t="s">
        <v>173</v>
      </c>
      <c r="CB5" s="264" t="s">
        <v>172</v>
      </c>
      <c r="CC5" s="277" t="s">
        <v>169</v>
      </c>
      <c r="CD5" s="156"/>
      <c r="CE5" s="256" t="s">
        <v>168</v>
      </c>
      <c r="CF5" s="256" t="s">
        <v>163</v>
      </c>
      <c r="CG5" s="277" t="s">
        <v>153</v>
      </c>
      <c r="CH5" s="130"/>
      <c r="CI5" s="256" t="s">
        <v>150</v>
      </c>
      <c r="CJ5" s="256" t="s">
        <v>147</v>
      </c>
      <c r="CK5" s="277" t="s">
        <v>141</v>
      </c>
      <c r="CL5" s="264"/>
      <c r="CM5" s="264" t="s">
        <v>137</v>
      </c>
      <c r="CN5" s="264" t="s">
        <v>135</v>
      </c>
      <c r="CO5" s="277" t="s">
        <v>133</v>
      </c>
      <c r="CP5" s="100"/>
      <c r="CQ5" s="264" t="s">
        <v>132</v>
      </c>
      <c r="CR5" s="264" t="s">
        <v>130</v>
      </c>
      <c r="CS5" s="277" t="s">
        <v>53</v>
      </c>
      <c r="CT5" s="103"/>
      <c r="CU5" s="256" t="s">
        <v>128</v>
      </c>
      <c r="CV5" s="256" t="s">
        <v>129</v>
      </c>
      <c r="CW5" s="277" t="s">
        <v>48</v>
      </c>
      <c r="CX5" s="103"/>
      <c r="CY5" s="256" t="s">
        <v>140</v>
      </c>
      <c r="CZ5" s="256" t="s">
        <v>139</v>
      </c>
      <c r="DA5" s="277" t="s">
        <v>47</v>
      </c>
      <c r="DB5" s="264"/>
      <c r="DC5" s="264" t="s">
        <v>138</v>
      </c>
      <c r="DD5" s="264" t="s">
        <v>136</v>
      </c>
      <c r="DE5" s="277" t="s">
        <v>45</v>
      </c>
      <c r="DF5" s="277" t="s">
        <v>43</v>
      </c>
      <c r="DG5" s="277" t="s">
        <v>42</v>
      </c>
      <c r="DH5" s="277" t="s">
        <v>40</v>
      </c>
      <c r="DI5" s="277" t="s">
        <v>38</v>
      </c>
      <c r="DJ5" s="288" t="s">
        <v>36</v>
      </c>
      <c r="DK5" s="277" t="s">
        <v>34</v>
      </c>
      <c r="DL5" s="277" t="s">
        <v>6</v>
      </c>
      <c r="DM5" s="277" t="s">
        <v>5</v>
      </c>
      <c r="DN5" s="277" t="s">
        <v>7</v>
      </c>
      <c r="DO5" s="277" t="s">
        <v>4</v>
      </c>
      <c r="DP5" s="277" t="s">
        <v>3</v>
      </c>
      <c r="DQ5" s="1"/>
    </row>
    <row r="6" spans="1:121" ht="12.75" x14ac:dyDescent="0.2">
      <c r="B6" s="291"/>
      <c r="C6" s="319"/>
      <c r="D6" s="136"/>
      <c r="E6" s="325"/>
      <c r="F6" s="90"/>
      <c r="G6" s="257"/>
      <c r="H6" s="257"/>
      <c r="I6" s="287"/>
      <c r="J6" s="280"/>
      <c r="K6" s="304"/>
      <c r="L6" s="265"/>
      <c r="M6" s="287"/>
      <c r="N6" s="251"/>
      <c r="O6" s="265"/>
      <c r="P6" s="304"/>
      <c r="Q6" s="287"/>
      <c r="R6" s="257"/>
      <c r="S6" s="257"/>
      <c r="T6" s="257"/>
      <c r="U6" s="287"/>
      <c r="V6" s="244"/>
      <c r="W6" s="257"/>
      <c r="X6" s="257"/>
      <c r="Y6" s="287"/>
      <c r="Z6" s="265"/>
      <c r="AA6" s="265"/>
      <c r="AB6" s="265"/>
      <c r="AC6" s="287"/>
      <c r="AD6" s="234"/>
      <c r="AE6" s="265"/>
      <c r="AF6" s="304"/>
      <c r="AG6" s="287"/>
      <c r="AH6" s="257"/>
      <c r="AI6" s="257"/>
      <c r="AJ6" s="257"/>
      <c r="AK6" s="287"/>
      <c r="AL6" s="228"/>
      <c r="AM6" s="257"/>
      <c r="AN6" s="257"/>
      <c r="AO6" s="287"/>
      <c r="AP6" s="265"/>
      <c r="AQ6" s="265"/>
      <c r="AR6" s="265"/>
      <c r="AS6" s="287"/>
      <c r="AT6" s="197"/>
      <c r="AU6" s="265"/>
      <c r="AV6" s="304"/>
      <c r="AW6" s="287"/>
      <c r="AX6" s="257"/>
      <c r="AY6" s="257"/>
      <c r="AZ6" s="257"/>
      <c r="BA6" s="287"/>
      <c r="BB6" s="193"/>
      <c r="BC6" s="257"/>
      <c r="BD6" s="257"/>
      <c r="BE6" s="287"/>
      <c r="BF6" s="265"/>
      <c r="BG6" s="265"/>
      <c r="BH6" s="265"/>
      <c r="BI6" s="287"/>
      <c r="BJ6" s="175"/>
      <c r="BK6" s="265"/>
      <c r="BL6" s="265"/>
      <c r="BM6" s="287"/>
      <c r="BN6" s="257"/>
      <c r="BO6" s="257"/>
      <c r="BP6" s="257"/>
      <c r="BQ6" s="287"/>
      <c r="BR6" s="170"/>
      <c r="BS6" s="257"/>
      <c r="BT6" s="257"/>
      <c r="BU6" s="287"/>
      <c r="BV6" s="265"/>
      <c r="BW6" s="265"/>
      <c r="BX6" s="265"/>
      <c r="BY6" s="287"/>
      <c r="BZ6" s="160"/>
      <c r="CA6" s="265"/>
      <c r="CB6" s="265"/>
      <c r="CC6" s="287"/>
      <c r="CD6" s="157"/>
      <c r="CE6" s="257"/>
      <c r="CF6" s="257"/>
      <c r="CG6" s="287"/>
      <c r="CH6" s="132"/>
      <c r="CI6" s="257"/>
      <c r="CJ6" s="257"/>
      <c r="CK6" s="287"/>
      <c r="CL6" s="265"/>
      <c r="CM6" s="265"/>
      <c r="CN6" s="265"/>
      <c r="CO6" s="287"/>
      <c r="CP6" s="101"/>
      <c r="CQ6" s="265"/>
      <c r="CR6" s="265"/>
      <c r="CS6" s="287"/>
      <c r="CT6" s="104"/>
      <c r="CU6" s="257"/>
      <c r="CV6" s="257"/>
      <c r="CW6" s="287"/>
      <c r="CX6" s="104"/>
      <c r="CY6" s="257"/>
      <c r="CZ6" s="257"/>
      <c r="DA6" s="287"/>
      <c r="DB6" s="265"/>
      <c r="DC6" s="265"/>
      <c r="DD6" s="265"/>
      <c r="DE6" s="287"/>
      <c r="DF6" s="287"/>
      <c r="DG6" s="287"/>
      <c r="DH6" s="287"/>
      <c r="DI6" s="287"/>
      <c r="DJ6" s="289"/>
      <c r="DK6" s="287"/>
      <c r="DL6" s="287"/>
      <c r="DM6" s="287"/>
      <c r="DN6" s="287"/>
      <c r="DO6" s="287"/>
      <c r="DP6" s="287"/>
      <c r="DQ6" s="1"/>
    </row>
    <row r="7" spans="1:121" ht="12.75" x14ac:dyDescent="0.2">
      <c r="B7" s="4" t="s">
        <v>8</v>
      </c>
      <c r="C7" s="22"/>
      <c r="D7" s="26"/>
      <c r="E7" s="26"/>
      <c r="F7" s="91"/>
      <c r="G7" s="72"/>
      <c r="H7" s="72"/>
      <c r="I7" s="31"/>
      <c r="J7" s="72"/>
      <c r="K7" s="72"/>
      <c r="L7" s="72"/>
      <c r="M7" s="26"/>
      <c r="N7" s="72"/>
      <c r="O7" s="72"/>
      <c r="P7" s="72"/>
      <c r="Q7" s="26"/>
      <c r="R7" s="72"/>
      <c r="S7" s="72"/>
      <c r="T7" s="72"/>
      <c r="U7" s="26"/>
      <c r="V7" s="72"/>
      <c r="W7" s="72"/>
      <c r="X7" s="72"/>
      <c r="Y7" s="31"/>
      <c r="Z7" s="72"/>
      <c r="AA7" s="72"/>
      <c r="AB7" s="72"/>
      <c r="AC7" s="26"/>
      <c r="AD7" s="72"/>
      <c r="AE7" s="72"/>
      <c r="AF7" s="72"/>
      <c r="AG7" s="26"/>
      <c r="AH7" s="72"/>
      <c r="AI7" s="72"/>
      <c r="AJ7" s="72"/>
      <c r="AK7" s="26"/>
      <c r="AL7" s="72"/>
      <c r="AM7" s="72"/>
      <c r="AN7" s="72"/>
      <c r="AO7" s="31"/>
      <c r="AP7" s="72"/>
      <c r="AQ7" s="72"/>
      <c r="AR7" s="72"/>
      <c r="AS7" s="26"/>
      <c r="AT7" s="72"/>
      <c r="AU7" s="72"/>
      <c r="AV7" s="72"/>
      <c r="AW7" s="26"/>
      <c r="AX7" s="72"/>
      <c r="AY7" s="72"/>
      <c r="AZ7" s="72"/>
      <c r="BA7" s="26"/>
      <c r="BB7" s="72"/>
      <c r="BC7" s="72"/>
      <c r="BD7" s="72"/>
      <c r="BE7" s="31"/>
      <c r="BF7" s="72"/>
      <c r="BG7" s="72"/>
      <c r="BH7" s="72"/>
      <c r="BI7" s="26"/>
      <c r="BJ7" s="72"/>
      <c r="BK7" s="72"/>
      <c r="BL7" s="72"/>
      <c r="BM7" s="26"/>
      <c r="BN7" s="72"/>
      <c r="BO7" s="72"/>
      <c r="BP7" s="72"/>
      <c r="BQ7" s="26"/>
      <c r="BR7" s="72"/>
      <c r="BS7" s="72"/>
      <c r="BT7" s="72"/>
      <c r="BU7" s="31"/>
      <c r="BV7" s="72"/>
      <c r="BW7" s="72"/>
      <c r="BX7" s="72"/>
      <c r="BY7" s="26"/>
      <c r="BZ7" s="72"/>
      <c r="CA7" s="72"/>
      <c r="CB7" s="72"/>
      <c r="CC7" s="26"/>
      <c r="CD7" s="72"/>
      <c r="CE7" s="72"/>
      <c r="CF7" s="72"/>
      <c r="CG7" s="26"/>
      <c r="CH7" s="72"/>
      <c r="CI7" s="72"/>
      <c r="CJ7" s="72"/>
      <c r="CK7" s="31"/>
      <c r="CL7" s="72"/>
      <c r="CM7" s="72"/>
      <c r="CN7" s="72"/>
      <c r="CO7" s="26"/>
      <c r="CP7" s="72"/>
      <c r="CQ7" s="72"/>
      <c r="CR7" s="72"/>
      <c r="CS7" s="26"/>
      <c r="CT7" s="72"/>
      <c r="CU7" s="72"/>
      <c r="CV7" s="72"/>
      <c r="CW7" s="26"/>
      <c r="CX7" s="72"/>
      <c r="CY7" s="72"/>
      <c r="CZ7" s="72"/>
      <c r="DA7" s="26"/>
      <c r="DB7" s="72"/>
      <c r="DC7" s="72"/>
      <c r="DD7" s="72"/>
      <c r="DE7" s="26"/>
      <c r="DF7" s="26"/>
      <c r="DG7" s="26"/>
      <c r="DH7" s="26"/>
      <c r="DI7" s="4"/>
      <c r="DJ7" s="27"/>
      <c r="DK7" s="10"/>
      <c r="DL7" s="4"/>
      <c r="DM7" s="4"/>
      <c r="DN7" s="4"/>
      <c r="DO7" s="4"/>
      <c r="DP7" s="4"/>
      <c r="DQ7" s="1"/>
    </row>
    <row r="8" spans="1:121" ht="12.75" x14ac:dyDescent="0.2">
      <c r="B8" s="4" t="s">
        <v>9</v>
      </c>
      <c r="C8" s="22"/>
      <c r="D8" s="26"/>
      <c r="E8" s="26"/>
      <c r="F8" s="91"/>
      <c r="G8" s="72"/>
      <c r="H8" s="72"/>
      <c r="I8" s="31"/>
      <c r="J8" s="72"/>
      <c r="K8" s="72"/>
      <c r="L8" s="72"/>
      <c r="M8" s="26"/>
      <c r="N8" s="72"/>
      <c r="O8" s="72"/>
      <c r="P8" s="72"/>
      <c r="Q8" s="26"/>
      <c r="R8" s="72"/>
      <c r="S8" s="72"/>
      <c r="T8" s="72"/>
      <c r="U8" s="26"/>
      <c r="V8" s="72"/>
      <c r="W8" s="72"/>
      <c r="X8" s="72"/>
      <c r="Y8" s="31"/>
      <c r="Z8" s="72"/>
      <c r="AA8" s="72"/>
      <c r="AB8" s="72"/>
      <c r="AC8" s="26"/>
      <c r="AD8" s="72"/>
      <c r="AE8" s="72"/>
      <c r="AF8" s="72"/>
      <c r="AG8" s="26"/>
      <c r="AH8" s="72"/>
      <c r="AI8" s="72"/>
      <c r="AJ8" s="72"/>
      <c r="AK8" s="26"/>
      <c r="AL8" s="72"/>
      <c r="AM8" s="72"/>
      <c r="AN8" s="72"/>
      <c r="AO8" s="31"/>
      <c r="AP8" s="72"/>
      <c r="AQ8" s="72"/>
      <c r="AR8" s="72"/>
      <c r="AS8" s="26"/>
      <c r="AT8" s="72"/>
      <c r="AU8" s="72"/>
      <c r="AV8" s="72"/>
      <c r="AW8" s="26"/>
      <c r="AX8" s="72"/>
      <c r="AY8" s="72"/>
      <c r="AZ8" s="72"/>
      <c r="BA8" s="26"/>
      <c r="BB8" s="72"/>
      <c r="BC8" s="72"/>
      <c r="BD8" s="72"/>
      <c r="BE8" s="31"/>
      <c r="BF8" s="72"/>
      <c r="BG8" s="72"/>
      <c r="BH8" s="72"/>
      <c r="BI8" s="26"/>
      <c r="BJ8" s="72"/>
      <c r="BK8" s="72"/>
      <c r="BL8" s="72"/>
      <c r="BM8" s="26"/>
      <c r="BN8" s="72"/>
      <c r="BO8" s="72"/>
      <c r="BP8" s="72"/>
      <c r="BQ8" s="26"/>
      <c r="BR8" s="72"/>
      <c r="BS8" s="72"/>
      <c r="BT8" s="72"/>
      <c r="BU8" s="31"/>
      <c r="BV8" s="72"/>
      <c r="BW8" s="72"/>
      <c r="BX8" s="72"/>
      <c r="BY8" s="26"/>
      <c r="BZ8" s="72"/>
      <c r="CA8" s="72"/>
      <c r="CB8" s="72"/>
      <c r="CC8" s="26"/>
      <c r="CD8" s="72"/>
      <c r="CE8" s="72"/>
      <c r="CF8" s="72"/>
      <c r="CG8" s="26"/>
      <c r="CH8" s="72"/>
      <c r="CI8" s="72"/>
      <c r="CJ8" s="72"/>
      <c r="CK8" s="31"/>
      <c r="CL8" s="72"/>
      <c r="CM8" s="72"/>
      <c r="CN8" s="72"/>
      <c r="CO8" s="26"/>
      <c r="CP8" s="72"/>
      <c r="CQ8" s="72"/>
      <c r="CR8" s="72"/>
      <c r="CS8" s="26"/>
      <c r="CT8" s="72"/>
      <c r="CU8" s="72"/>
      <c r="CV8" s="72"/>
      <c r="CW8" s="26"/>
      <c r="CX8" s="72"/>
      <c r="CY8" s="72"/>
      <c r="CZ8" s="72"/>
      <c r="DA8" s="26"/>
      <c r="DB8" s="72"/>
      <c r="DC8" s="72"/>
      <c r="DD8" s="72"/>
      <c r="DE8" s="26"/>
      <c r="DF8" s="26"/>
      <c r="DG8" s="26"/>
      <c r="DH8" s="26"/>
      <c r="DI8" s="4"/>
      <c r="DJ8" s="27"/>
      <c r="DK8" s="10"/>
      <c r="DL8" s="4"/>
      <c r="DM8" s="4"/>
      <c r="DN8" s="4"/>
      <c r="DO8" s="4"/>
      <c r="DP8" s="4"/>
      <c r="DQ8" s="1"/>
    </row>
    <row r="9" spans="1:121" ht="15.75" x14ac:dyDescent="0.25">
      <c r="B9" s="5" t="s">
        <v>10</v>
      </c>
      <c r="C9" s="30"/>
      <c r="D9" s="86"/>
      <c r="E9" s="86"/>
      <c r="F9" s="92"/>
      <c r="G9" s="77"/>
      <c r="H9" s="77"/>
      <c r="I9" s="40"/>
      <c r="J9" s="77"/>
      <c r="K9" s="77"/>
      <c r="L9" s="77"/>
      <c r="M9" s="40"/>
      <c r="N9" s="77"/>
      <c r="O9" s="77"/>
      <c r="P9" s="77"/>
      <c r="Q9" s="40"/>
      <c r="R9" s="77"/>
      <c r="S9" s="77"/>
      <c r="T9" s="77"/>
      <c r="U9" s="40"/>
      <c r="V9" s="77"/>
      <c r="W9" s="77"/>
      <c r="X9" s="77"/>
      <c r="Y9" s="40"/>
      <c r="Z9" s="77"/>
      <c r="AA9" s="77"/>
      <c r="AB9" s="77"/>
      <c r="AC9" s="40"/>
      <c r="AD9" s="77"/>
      <c r="AE9" s="77"/>
      <c r="AF9" s="77"/>
      <c r="AG9" s="40"/>
      <c r="AH9" s="77"/>
      <c r="AI9" s="77"/>
      <c r="AJ9" s="77"/>
      <c r="AK9" s="40"/>
      <c r="AL9" s="77"/>
      <c r="AM9" s="77"/>
      <c r="AN9" s="77"/>
      <c r="AO9" s="40"/>
      <c r="AP9" s="77"/>
      <c r="AQ9" s="77"/>
      <c r="AR9" s="77"/>
      <c r="AS9" s="40"/>
      <c r="AT9" s="77"/>
      <c r="AU9" s="77"/>
      <c r="AV9" s="77"/>
      <c r="AW9" s="40"/>
      <c r="AX9" s="77"/>
      <c r="AY9" s="77"/>
      <c r="AZ9" s="77"/>
      <c r="BA9" s="40"/>
      <c r="BB9" s="77"/>
      <c r="BC9" s="77"/>
      <c r="BD9" s="77"/>
      <c r="BE9" s="40"/>
      <c r="BF9" s="77"/>
      <c r="BG9" s="77"/>
      <c r="BH9" s="77"/>
      <c r="BI9" s="40"/>
      <c r="BJ9" s="77"/>
      <c r="BK9" s="77"/>
      <c r="BL9" s="77"/>
      <c r="BM9" s="40"/>
      <c r="BN9" s="77"/>
      <c r="BO9" s="77"/>
      <c r="BP9" s="77"/>
      <c r="BQ9" s="40"/>
      <c r="BR9" s="77"/>
      <c r="BS9" s="77"/>
      <c r="BT9" s="77"/>
      <c r="BU9" s="40"/>
      <c r="BV9" s="77"/>
      <c r="BW9" s="77"/>
      <c r="BX9" s="77"/>
      <c r="BY9" s="40"/>
      <c r="BZ9" s="77"/>
      <c r="CA9" s="77"/>
      <c r="CB9" s="77"/>
      <c r="CC9" s="40"/>
      <c r="CD9" s="77"/>
      <c r="CE9" s="77"/>
      <c r="CF9" s="77"/>
      <c r="CG9" s="40"/>
      <c r="CH9" s="77"/>
      <c r="CI9" s="77"/>
      <c r="CJ9" s="77"/>
      <c r="CK9" s="40"/>
      <c r="CL9" s="77"/>
      <c r="CM9" s="77"/>
      <c r="CN9" s="77"/>
      <c r="CO9" s="40"/>
      <c r="CP9" s="77"/>
      <c r="CQ9" s="77"/>
      <c r="CR9" s="77"/>
      <c r="CS9" s="40"/>
      <c r="CT9" s="77"/>
      <c r="CU9" s="77"/>
      <c r="CV9" s="77"/>
      <c r="CW9" s="40"/>
      <c r="CX9" s="77"/>
      <c r="CY9" s="77"/>
      <c r="CZ9" s="77"/>
      <c r="DA9" s="40"/>
      <c r="DB9" s="77"/>
      <c r="DC9" s="77"/>
      <c r="DD9" s="77"/>
      <c r="DE9" s="40"/>
      <c r="DF9" s="40"/>
      <c r="DG9" s="40"/>
      <c r="DH9" s="40"/>
      <c r="DI9" s="40"/>
      <c r="DJ9" s="40"/>
      <c r="DK9" s="40"/>
      <c r="DL9" s="40"/>
      <c r="DM9" s="40"/>
      <c r="DN9" s="40"/>
      <c r="DO9" s="40"/>
      <c r="DP9" s="40"/>
      <c r="DQ9" s="36"/>
    </row>
    <row r="10" spans="1:121" ht="15.75" x14ac:dyDescent="0.25">
      <c r="B10" s="5" t="s">
        <v>11</v>
      </c>
      <c r="C10" s="30"/>
      <c r="D10" s="86"/>
      <c r="E10" s="86"/>
      <c r="F10" s="92"/>
      <c r="G10" s="77"/>
      <c r="H10" s="77"/>
      <c r="I10" s="40"/>
      <c r="J10" s="77"/>
      <c r="K10" s="77"/>
      <c r="L10" s="77"/>
      <c r="M10" s="40"/>
      <c r="N10" s="77"/>
      <c r="O10" s="77"/>
      <c r="P10" s="77"/>
      <c r="Q10" s="40"/>
      <c r="R10" s="77"/>
      <c r="S10" s="77"/>
      <c r="T10" s="77"/>
      <c r="U10" s="40"/>
      <c r="V10" s="77"/>
      <c r="W10" s="77"/>
      <c r="X10" s="77"/>
      <c r="Y10" s="40"/>
      <c r="Z10" s="77"/>
      <c r="AA10" s="77"/>
      <c r="AB10" s="77"/>
      <c r="AC10" s="40"/>
      <c r="AD10" s="77"/>
      <c r="AE10" s="77"/>
      <c r="AF10" s="77"/>
      <c r="AG10" s="40"/>
      <c r="AH10" s="77"/>
      <c r="AI10" s="77"/>
      <c r="AJ10" s="77"/>
      <c r="AK10" s="40"/>
      <c r="AL10" s="77"/>
      <c r="AM10" s="77"/>
      <c r="AN10" s="77"/>
      <c r="AO10" s="40"/>
      <c r="AP10" s="77"/>
      <c r="AQ10" s="77"/>
      <c r="AR10" s="77"/>
      <c r="AS10" s="40"/>
      <c r="AT10" s="77"/>
      <c r="AU10" s="77"/>
      <c r="AV10" s="77"/>
      <c r="AW10" s="40"/>
      <c r="AX10" s="77"/>
      <c r="AY10" s="77"/>
      <c r="AZ10" s="77"/>
      <c r="BA10" s="40"/>
      <c r="BB10" s="77"/>
      <c r="BC10" s="77"/>
      <c r="BD10" s="77"/>
      <c r="BE10" s="40"/>
      <c r="BF10" s="77"/>
      <c r="BG10" s="77"/>
      <c r="BH10" s="77"/>
      <c r="BI10" s="40"/>
      <c r="BJ10" s="77"/>
      <c r="BK10" s="77"/>
      <c r="BL10" s="77"/>
      <c r="BM10" s="40"/>
      <c r="BN10" s="77"/>
      <c r="BO10" s="77"/>
      <c r="BP10" s="77"/>
      <c r="BQ10" s="40"/>
      <c r="BR10" s="77"/>
      <c r="BS10" s="77"/>
      <c r="BT10" s="77"/>
      <c r="BU10" s="40"/>
      <c r="BV10" s="77"/>
      <c r="BW10" s="77"/>
      <c r="BX10" s="77"/>
      <c r="BY10" s="40"/>
      <c r="BZ10" s="77"/>
      <c r="CA10" s="77"/>
      <c r="CB10" s="77"/>
      <c r="CC10" s="40"/>
      <c r="CD10" s="77"/>
      <c r="CE10" s="77"/>
      <c r="CF10" s="77"/>
      <c r="CG10" s="40"/>
      <c r="CH10" s="77"/>
      <c r="CI10" s="77"/>
      <c r="CJ10" s="77"/>
      <c r="CK10" s="40"/>
      <c r="CL10" s="77"/>
      <c r="CM10" s="77"/>
      <c r="CN10" s="77"/>
      <c r="CO10" s="40"/>
      <c r="CP10" s="77"/>
      <c r="CQ10" s="77"/>
      <c r="CR10" s="77"/>
      <c r="CS10" s="40"/>
      <c r="CT10" s="77"/>
      <c r="CU10" s="77"/>
      <c r="CV10" s="77"/>
      <c r="CW10" s="40"/>
      <c r="CX10" s="77"/>
      <c r="CY10" s="77"/>
      <c r="CZ10" s="77"/>
      <c r="DA10" s="40"/>
      <c r="DB10" s="77"/>
      <c r="DC10" s="77"/>
      <c r="DD10" s="77"/>
      <c r="DE10" s="40"/>
      <c r="DF10" s="40"/>
      <c r="DG10" s="40"/>
      <c r="DH10" s="40"/>
      <c r="DI10" s="40"/>
      <c r="DJ10" s="40"/>
      <c r="DK10" s="40"/>
      <c r="DL10" s="40"/>
      <c r="DM10" s="40"/>
      <c r="DN10" s="40"/>
      <c r="DO10" s="40"/>
      <c r="DP10" s="40"/>
      <c r="DQ10" s="36"/>
    </row>
    <row r="11" spans="1:121" ht="15.75" x14ac:dyDescent="0.25">
      <c r="B11" s="6" t="s">
        <v>16</v>
      </c>
      <c r="C11" s="30"/>
      <c r="D11" s="86"/>
      <c r="E11" s="86"/>
      <c r="F11" s="92"/>
      <c r="G11" s="74"/>
      <c r="H11" s="74"/>
      <c r="I11" s="32"/>
      <c r="J11" s="74"/>
      <c r="K11" s="74"/>
      <c r="L11" s="74"/>
      <c r="M11" s="32"/>
      <c r="N11" s="74"/>
      <c r="O11" s="74"/>
      <c r="P11" s="74"/>
      <c r="Q11" s="32"/>
      <c r="R11" s="74"/>
      <c r="S11" s="74"/>
      <c r="T11" s="74"/>
      <c r="U11" s="32"/>
      <c r="V11" s="74"/>
      <c r="W11" s="74"/>
      <c r="X11" s="74"/>
      <c r="Y11" s="32"/>
      <c r="Z11" s="74"/>
      <c r="AA11" s="74"/>
      <c r="AB11" s="74"/>
      <c r="AC11" s="32"/>
      <c r="AD11" s="74"/>
      <c r="AE11" s="74"/>
      <c r="AF11" s="74"/>
      <c r="AG11" s="32"/>
      <c r="AH11" s="74"/>
      <c r="AI11" s="74"/>
      <c r="AJ11" s="74"/>
      <c r="AK11" s="32"/>
      <c r="AL11" s="74"/>
      <c r="AM11" s="74"/>
      <c r="AN11" s="74"/>
      <c r="AO11" s="32"/>
      <c r="AP11" s="74"/>
      <c r="AQ11" s="74"/>
      <c r="AR11" s="74"/>
      <c r="AS11" s="32"/>
      <c r="AT11" s="74"/>
      <c r="AU11" s="74"/>
      <c r="AV11" s="74"/>
      <c r="AW11" s="32"/>
      <c r="AX11" s="74"/>
      <c r="AY11" s="74"/>
      <c r="AZ11" s="74"/>
      <c r="BA11" s="32"/>
      <c r="BB11" s="74"/>
      <c r="BC11" s="74"/>
      <c r="BD11" s="74"/>
      <c r="BE11" s="32"/>
      <c r="BF11" s="74"/>
      <c r="BG11" s="74"/>
      <c r="BH11" s="74"/>
      <c r="BI11" s="32"/>
      <c r="BJ11" s="74"/>
      <c r="BK11" s="74"/>
      <c r="BL11" s="74"/>
      <c r="BM11" s="32"/>
      <c r="BN11" s="74"/>
      <c r="BO11" s="74"/>
      <c r="BP11" s="74"/>
      <c r="BQ11" s="32"/>
      <c r="BR11" s="74"/>
      <c r="BS11" s="74"/>
      <c r="BT11" s="74"/>
      <c r="BU11" s="32"/>
      <c r="BV11" s="74"/>
      <c r="BW11" s="74"/>
      <c r="BX11" s="74"/>
      <c r="BY11" s="32"/>
      <c r="BZ11" s="74"/>
      <c r="CA11" s="74"/>
      <c r="CB11" s="74"/>
      <c r="CC11" s="32"/>
      <c r="CD11" s="74"/>
      <c r="CE11" s="74"/>
      <c r="CF11" s="74"/>
      <c r="CG11" s="32"/>
      <c r="CH11" s="74"/>
      <c r="CI11" s="74"/>
      <c r="CJ11" s="74"/>
      <c r="CK11" s="32"/>
      <c r="CL11" s="74"/>
      <c r="CM11" s="74"/>
      <c r="CN11" s="74"/>
      <c r="CO11" s="32"/>
      <c r="CP11" s="74"/>
      <c r="CQ11" s="74"/>
      <c r="CR11" s="74"/>
      <c r="CS11" s="32"/>
      <c r="CT11" s="74"/>
      <c r="CU11" s="74"/>
      <c r="CV11" s="74"/>
      <c r="CW11" s="32"/>
      <c r="CX11" s="74"/>
      <c r="CY11" s="74"/>
      <c r="CZ11" s="74"/>
      <c r="DA11" s="32"/>
      <c r="DB11" s="74"/>
      <c r="DC11" s="74"/>
      <c r="DD11" s="74"/>
      <c r="DE11" s="32"/>
      <c r="DF11" s="32"/>
      <c r="DG11" s="32"/>
      <c r="DH11" s="32"/>
      <c r="DI11" s="32"/>
      <c r="DJ11" s="32"/>
      <c r="DK11" s="32"/>
      <c r="DL11" s="32"/>
      <c r="DM11" s="32"/>
      <c r="DN11" s="32"/>
      <c r="DO11" s="32"/>
      <c r="DP11" s="40"/>
      <c r="DQ11" s="36"/>
    </row>
    <row r="12" spans="1:121" ht="15.75" x14ac:dyDescent="0.25">
      <c r="B12" s="5" t="s">
        <v>17</v>
      </c>
      <c r="C12" s="30"/>
      <c r="D12" s="86"/>
      <c r="E12" s="86"/>
      <c r="F12" s="92"/>
      <c r="G12" s="77"/>
      <c r="H12" s="77"/>
      <c r="I12" s="40"/>
      <c r="J12" s="77"/>
      <c r="K12" s="77"/>
      <c r="L12" s="77"/>
      <c r="M12" s="40"/>
      <c r="N12" s="77"/>
      <c r="O12" s="77"/>
      <c r="P12" s="77"/>
      <c r="Q12" s="40"/>
      <c r="R12" s="77"/>
      <c r="S12" s="77"/>
      <c r="T12" s="77"/>
      <c r="U12" s="40"/>
      <c r="V12" s="77"/>
      <c r="W12" s="77"/>
      <c r="X12" s="77"/>
      <c r="Y12" s="40"/>
      <c r="Z12" s="77"/>
      <c r="AA12" s="77"/>
      <c r="AB12" s="77"/>
      <c r="AC12" s="40"/>
      <c r="AD12" s="77"/>
      <c r="AE12" s="77"/>
      <c r="AF12" s="77"/>
      <c r="AG12" s="40"/>
      <c r="AH12" s="77"/>
      <c r="AI12" s="77"/>
      <c r="AJ12" s="77"/>
      <c r="AK12" s="40"/>
      <c r="AL12" s="77"/>
      <c r="AM12" s="77"/>
      <c r="AN12" s="77"/>
      <c r="AO12" s="40"/>
      <c r="AP12" s="77"/>
      <c r="AQ12" s="77"/>
      <c r="AR12" s="77"/>
      <c r="AS12" s="40"/>
      <c r="AT12" s="77"/>
      <c r="AU12" s="77"/>
      <c r="AV12" s="77"/>
      <c r="AW12" s="40"/>
      <c r="AX12" s="77"/>
      <c r="AY12" s="77"/>
      <c r="AZ12" s="77"/>
      <c r="BA12" s="40"/>
      <c r="BB12" s="77"/>
      <c r="BC12" s="77"/>
      <c r="BD12" s="77"/>
      <c r="BE12" s="40"/>
      <c r="BF12" s="77"/>
      <c r="BG12" s="77"/>
      <c r="BH12" s="77"/>
      <c r="BI12" s="40"/>
      <c r="BJ12" s="77"/>
      <c r="BK12" s="77"/>
      <c r="BL12" s="77"/>
      <c r="BM12" s="40"/>
      <c r="BN12" s="77"/>
      <c r="BO12" s="77"/>
      <c r="BP12" s="77"/>
      <c r="BQ12" s="40"/>
      <c r="BR12" s="77"/>
      <c r="BS12" s="77"/>
      <c r="BT12" s="77"/>
      <c r="BU12" s="40"/>
      <c r="BV12" s="77"/>
      <c r="BW12" s="77"/>
      <c r="BX12" s="77"/>
      <c r="BY12" s="40"/>
      <c r="BZ12" s="77"/>
      <c r="CA12" s="77"/>
      <c r="CB12" s="77"/>
      <c r="CC12" s="40"/>
      <c r="CD12" s="77"/>
      <c r="CE12" s="77"/>
      <c r="CF12" s="77"/>
      <c r="CG12" s="40"/>
      <c r="CH12" s="77"/>
      <c r="CI12" s="77"/>
      <c r="CJ12" s="77"/>
      <c r="CK12" s="40"/>
      <c r="CL12" s="77"/>
      <c r="CM12" s="77"/>
      <c r="CN12" s="77"/>
      <c r="CO12" s="40"/>
      <c r="CP12" s="77"/>
      <c r="CQ12" s="77"/>
      <c r="CR12" s="77"/>
      <c r="CS12" s="40"/>
      <c r="CT12" s="77"/>
      <c r="CU12" s="77"/>
      <c r="CV12" s="77"/>
      <c r="CW12" s="40"/>
      <c r="CX12" s="77"/>
      <c r="CY12" s="77"/>
      <c r="CZ12" s="77"/>
      <c r="DA12" s="40"/>
      <c r="DB12" s="77"/>
      <c r="DC12" s="77"/>
      <c r="DD12" s="77"/>
      <c r="DE12" s="40"/>
      <c r="DF12" s="40"/>
      <c r="DG12" s="40"/>
      <c r="DH12" s="40"/>
      <c r="DI12" s="40"/>
      <c r="DJ12" s="40"/>
      <c r="DK12" s="40"/>
      <c r="DL12" s="40"/>
      <c r="DM12" s="40"/>
      <c r="DN12" s="40"/>
      <c r="DO12" s="40"/>
      <c r="DP12" s="40"/>
      <c r="DQ12" s="36"/>
    </row>
    <row r="13" spans="1:121" ht="15.75" x14ac:dyDescent="0.25">
      <c r="B13" s="7" t="s">
        <v>1</v>
      </c>
      <c r="C13" s="99"/>
      <c r="D13" s="97"/>
      <c r="E13" s="97"/>
      <c r="F13" s="95"/>
      <c r="G13" s="73"/>
      <c r="H13" s="73"/>
      <c r="I13" s="42"/>
      <c r="J13" s="73"/>
      <c r="K13" s="73"/>
      <c r="L13" s="73"/>
      <c r="M13" s="42"/>
      <c r="N13" s="73"/>
      <c r="O13" s="73"/>
      <c r="P13" s="73"/>
      <c r="Q13" s="42"/>
      <c r="R13" s="73"/>
      <c r="S13" s="73"/>
      <c r="T13" s="73"/>
      <c r="U13" s="42"/>
      <c r="V13" s="73"/>
      <c r="W13" s="73"/>
      <c r="X13" s="73"/>
      <c r="Y13" s="42"/>
      <c r="Z13" s="73"/>
      <c r="AA13" s="73"/>
      <c r="AB13" s="73"/>
      <c r="AC13" s="42"/>
      <c r="AD13" s="73"/>
      <c r="AE13" s="73"/>
      <c r="AF13" s="73"/>
      <c r="AG13" s="42"/>
      <c r="AH13" s="73"/>
      <c r="AI13" s="73"/>
      <c r="AJ13" s="73"/>
      <c r="AK13" s="42"/>
      <c r="AL13" s="73"/>
      <c r="AM13" s="73"/>
      <c r="AN13" s="73"/>
      <c r="AO13" s="42"/>
      <c r="AP13" s="73"/>
      <c r="AQ13" s="73"/>
      <c r="AR13" s="73"/>
      <c r="AS13" s="42"/>
      <c r="AT13" s="73"/>
      <c r="AU13" s="73"/>
      <c r="AV13" s="73"/>
      <c r="AW13" s="42"/>
      <c r="AX13" s="73"/>
      <c r="AY13" s="73"/>
      <c r="AZ13" s="73"/>
      <c r="BA13" s="42"/>
      <c r="BB13" s="73"/>
      <c r="BC13" s="73"/>
      <c r="BD13" s="73"/>
      <c r="BE13" s="42"/>
      <c r="BF13" s="73"/>
      <c r="BG13" s="73"/>
      <c r="BH13" s="73"/>
      <c r="BI13" s="42"/>
      <c r="BJ13" s="73"/>
      <c r="BK13" s="73"/>
      <c r="BL13" s="73"/>
      <c r="BM13" s="42"/>
      <c r="BN13" s="73"/>
      <c r="BO13" s="73"/>
      <c r="BP13" s="73"/>
      <c r="BQ13" s="42"/>
      <c r="BR13" s="73"/>
      <c r="BS13" s="73"/>
      <c r="BT13" s="73"/>
      <c r="BU13" s="42"/>
      <c r="BV13" s="73"/>
      <c r="BW13" s="73"/>
      <c r="BX13" s="73"/>
      <c r="BY13" s="42"/>
      <c r="BZ13" s="73"/>
      <c r="CA13" s="73"/>
      <c r="CB13" s="73"/>
      <c r="CC13" s="42"/>
      <c r="CD13" s="73"/>
      <c r="CE13" s="73"/>
      <c r="CF13" s="73"/>
      <c r="CG13" s="42"/>
      <c r="CH13" s="73"/>
      <c r="CI13" s="73"/>
      <c r="CJ13" s="73"/>
      <c r="CK13" s="42"/>
      <c r="CL13" s="73"/>
      <c r="CM13" s="73"/>
      <c r="CN13" s="73"/>
      <c r="CO13" s="42"/>
      <c r="CP13" s="73"/>
      <c r="CQ13" s="73"/>
      <c r="CR13" s="73"/>
      <c r="CS13" s="42"/>
      <c r="CT13" s="73"/>
      <c r="CU13" s="73"/>
      <c r="CV13" s="73"/>
      <c r="CW13" s="42"/>
      <c r="CX13" s="73"/>
      <c r="CY13" s="73"/>
      <c r="CZ13" s="73"/>
      <c r="DA13" s="42"/>
      <c r="DB13" s="73"/>
      <c r="DC13" s="73"/>
      <c r="DD13" s="73"/>
      <c r="DE13" s="42"/>
      <c r="DF13" s="42"/>
      <c r="DG13" s="42"/>
      <c r="DH13" s="42"/>
      <c r="DI13" s="42"/>
      <c r="DJ13" s="42"/>
      <c r="DK13" s="42"/>
      <c r="DL13" s="42"/>
      <c r="DM13" s="42"/>
      <c r="DN13" s="42"/>
      <c r="DO13" s="42"/>
      <c r="DP13" s="42"/>
      <c r="DQ13" s="36"/>
    </row>
    <row r="14" spans="1:121" ht="15.75" x14ac:dyDescent="0.25">
      <c r="A14" s="28"/>
      <c r="B14" s="29" t="s">
        <v>2</v>
      </c>
      <c r="C14" s="30"/>
      <c r="D14" s="86"/>
      <c r="E14" s="86"/>
      <c r="F14" s="92"/>
      <c r="G14" s="74"/>
      <c r="H14" s="74"/>
      <c r="I14" s="32"/>
      <c r="J14" s="74"/>
      <c r="K14" s="74"/>
      <c r="L14" s="74"/>
      <c r="M14" s="32"/>
      <c r="N14" s="74"/>
      <c r="O14" s="74"/>
      <c r="P14" s="74"/>
      <c r="Q14" s="32"/>
      <c r="R14" s="74"/>
      <c r="S14" s="74"/>
      <c r="T14" s="74"/>
      <c r="U14" s="32"/>
      <c r="V14" s="74"/>
      <c r="W14" s="74"/>
      <c r="X14" s="74"/>
      <c r="Y14" s="32"/>
      <c r="Z14" s="74"/>
      <c r="AA14" s="74"/>
      <c r="AB14" s="74"/>
      <c r="AC14" s="32"/>
      <c r="AD14" s="74"/>
      <c r="AE14" s="74"/>
      <c r="AF14" s="74"/>
      <c r="AG14" s="32"/>
      <c r="AH14" s="74"/>
      <c r="AI14" s="74"/>
      <c r="AJ14" s="74"/>
      <c r="AK14" s="32"/>
      <c r="AL14" s="74"/>
      <c r="AM14" s="74"/>
      <c r="AN14" s="74"/>
      <c r="AO14" s="32"/>
      <c r="AP14" s="74"/>
      <c r="AQ14" s="74"/>
      <c r="AR14" s="74"/>
      <c r="AS14" s="32"/>
      <c r="AT14" s="74"/>
      <c r="AU14" s="74"/>
      <c r="AV14" s="74"/>
      <c r="AW14" s="32"/>
      <c r="AX14" s="74"/>
      <c r="AY14" s="74"/>
      <c r="AZ14" s="74"/>
      <c r="BA14" s="32"/>
      <c r="BB14" s="74"/>
      <c r="BC14" s="74"/>
      <c r="BD14" s="74"/>
      <c r="BE14" s="32"/>
      <c r="BF14" s="74"/>
      <c r="BG14" s="74"/>
      <c r="BH14" s="74"/>
      <c r="BI14" s="32"/>
      <c r="BJ14" s="74"/>
      <c r="BK14" s="74"/>
      <c r="BL14" s="74"/>
      <c r="BM14" s="32"/>
      <c r="BN14" s="74"/>
      <c r="BO14" s="74"/>
      <c r="BP14" s="74"/>
      <c r="BQ14" s="32"/>
      <c r="BR14" s="74"/>
      <c r="BS14" s="74"/>
      <c r="BT14" s="74"/>
      <c r="BU14" s="32"/>
      <c r="BV14" s="74"/>
      <c r="BW14" s="74"/>
      <c r="BX14" s="74"/>
      <c r="BY14" s="32"/>
      <c r="BZ14" s="74"/>
      <c r="CA14" s="74"/>
      <c r="CB14" s="74"/>
      <c r="CC14" s="32"/>
      <c r="CD14" s="74"/>
      <c r="CE14" s="74"/>
      <c r="CF14" s="74"/>
      <c r="CG14" s="32"/>
      <c r="CH14" s="74"/>
      <c r="CI14" s="74"/>
      <c r="CJ14" s="74"/>
      <c r="CK14" s="32"/>
      <c r="CL14" s="74"/>
      <c r="CM14" s="74"/>
      <c r="CN14" s="74"/>
      <c r="CO14" s="32"/>
      <c r="CP14" s="74"/>
      <c r="CQ14" s="74"/>
      <c r="CR14" s="74"/>
      <c r="CS14" s="32"/>
      <c r="CT14" s="74"/>
      <c r="CU14" s="74"/>
      <c r="CV14" s="74"/>
      <c r="CW14" s="32"/>
      <c r="CX14" s="74"/>
      <c r="CY14" s="74"/>
      <c r="CZ14" s="74"/>
      <c r="DA14" s="32"/>
      <c r="DB14" s="74"/>
      <c r="DC14" s="74"/>
      <c r="DD14" s="74"/>
      <c r="DE14" s="32"/>
      <c r="DF14" s="32"/>
      <c r="DG14" s="32"/>
      <c r="DH14" s="32"/>
      <c r="DI14" s="32"/>
      <c r="DJ14" s="32"/>
      <c r="DK14" s="32"/>
      <c r="DL14" s="32"/>
      <c r="DM14" s="32"/>
      <c r="DN14" s="32"/>
      <c r="DO14" s="32"/>
      <c r="DP14" s="32"/>
      <c r="DQ14" s="36"/>
    </row>
    <row r="15" spans="1:121" ht="15.75" x14ac:dyDescent="0.25">
      <c r="A15" s="28"/>
      <c r="B15" s="29" t="s">
        <v>50</v>
      </c>
      <c r="C15" s="30"/>
      <c r="D15" s="86"/>
      <c r="E15" s="86"/>
      <c r="F15" s="92"/>
      <c r="G15" s="74"/>
      <c r="H15" s="74"/>
      <c r="I15" s="32"/>
      <c r="J15" s="74"/>
      <c r="K15" s="74"/>
      <c r="L15" s="74"/>
      <c r="M15" s="32"/>
      <c r="N15" s="74"/>
      <c r="O15" s="74"/>
      <c r="P15" s="74"/>
      <c r="Q15" s="32"/>
      <c r="R15" s="74"/>
      <c r="S15" s="74"/>
      <c r="T15" s="74"/>
      <c r="U15" s="32"/>
      <c r="V15" s="74"/>
      <c r="W15" s="74"/>
      <c r="X15" s="74"/>
      <c r="Y15" s="32"/>
      <c r="Z15" s="74"/>
      <c r="AA15" s="74"/>
      <c r="AB15" s="74"/>
      <c r="AC15" s="32"/>
      <c r="AD15" s="74"/>
      <c r="AE15" s="74"/>
      <c r="AF15" s="74"/>
      <c r="AG15" s="32"/>
      <c r="AH15" s="74"/>
      <c r="AI15" s="74"/>
      <c r="AJ15" s="74"/>
      <c r="AK15" s="32"/>
      <c r="AL15" s="74"/>
      <c r="AM15" s="74"/>
      <c r="AN15" s="74"/>
      <c r="AO15" s="32"/>
      <c r="AP15" s="74"/>
      <c r="AQ15" s="74"/>
      <c r="AR15" s="74"/>
      <c r="AS15" s="32"/>
      <c r="AT15" s="74"/>
      <c r="AU15" s="74"/>
      <c r="AV15" s="74"/>
      <c r="AW15" s="32"/>
      <c r="AX15" s="74"/>
      <c r="AY15" s="74"/>
      <c r="AZ15" s="74"/>
      <c r="BA15" s="32"/>
      <c r="BB15" s="74"/>
      <c r="BC15" s="74"/>
      <c r="BD15" s="74"/>
      <c r="BE15" s="32"/>
      <c r="BF15" s="74"/>
      <c r="BG15" s="74"/>
      <c r="BH15" s="74"/>
      <c r="BI15" s="32"/>
      <c r="BJ15" s="74"/>
      <c r="BK15" s="74"/>
      <c r="BL15" s="74"/>
      <c r="BM15" s="32"/>
      <c r="BN15" s="74"/>
      <c r="BO15" s="74"/>
      <c r="BP15" s="74"/>
      <c r="BQ15" s="32"/>
      <c r="BR15" s="74"/>
      <c r="BS15" s="74"/>
      <c r="BT15" s="74"/>
      <c r="BU15" s="32"/>
      <c r="BV15" s="74"/>
      <c r="BW15" s="74"/>
      <c r="BX15" s="74"/>
      <c r="BY15" s="32"/>
      <c r="BZ15" s="74"/>
      <c r="CA15" s="74"/>
      <c r="CB15" s="74"/>
      <c r="CC15" s="32"/>
      <c r="CD15" s="74"/>
      <c r="CE15" s="74"/>
      <c r="CF15" s="74"/>
      <c r="CG15" s="32"/>
      <c r="CH15" s="74"/>
      <c r="CI15" s="74"/>
      <c r="CJ15" s="74"/>
      <c r="CK15" s="32"/>
      <c r="CL15" s="74"/>
      <c r="CM15" s="74"/>
      <c r="CN15" s="74"/>
      <c r="CO15" s="32"/>
      <c r="CP15" s="74"/>
      <c r="CQ15" s="74"/>
      <c r="CR15" s="74"/>
      <c r="CS15" s="32"/>
      <c r="CT15" s="74"/>
      <c r="CU15" s="74"/>
      <c r="CV15" s="74"/>
      <c r="CW15" s="32"/>
      <c r="CX15" s="74"/>
      <c r="CY15" s="74"/>
      <c r="CZ15" s="74"/>
      <c r="DA15" s="32"/>
      <c r="DB15" s="74"/>
      <c r="DC15" s="74"/>
      <c r="DD15" s="74"/>
      <c r="DE15" s="32"/>
      <c r="DF15" s="32"/>
      <c r="DG15" s="32"/>
      <c r="DH15" s="32"/>
      <c r="DI15" s="32"/>
      <c r="DJ15" s="32"/>
      <c r="DK15" s="32"/>
      <c r="DL15" s="32"/>
      <c r="DM15" s="32"/>
      <c r="DN15" s="32"/>
      <c r="DO15" s="32"/>
      <c r="DP15" s="32"/>
      <c r="DQ15" s="36"/>
    </row>
    <row r="16" spans="1:121" ht="15.75" x14ac:dyDescent="0.25">
      <c r="A16" s="28"/>
      <c r="B16" s="162" t="s">
        <v>183</v>
      </c>
      <c r="C16" s="30"/>
      <c r="D16" s="86"/>
      <c r="E16" s="86"/>
      <c r="F16" s="92"/>
      <c r="G16" s="74"/>
      <c r="H16" s="74"/>
      <c r="I16" s="32"/>
      <c r="J16" s="74"/>
      <c r="K16" s="74"/>
      <c r="L16" s="74"/>
      <c r="M16" s="32"/>
      <c r="N16" s="74"/>
      <c r="O16" s="74"/>
      <c r="P16" s="74"/>
      <c r="Q16" s="32"/>
      <c r="R16" s="74"/>
      <c r="S16" s="74"/>
      <c r="T16" s="74"/>
      <c r="U16" s="32"/>
      <c r="V16" s="74"/>
      <c r="W16" s="74"/>
      <c r="X16" s="74"/>
      <c r="Y16" s="32"/>
      <c r="Z16" s="74"/>
      <c r="AA16" s="74"/>
      <c r="AB16" s="74"/>
      <c r="AC16" s="32"/>
      <c r="AD16" s="74"/>
      <c r="AE16" s="74"/>
      <c r="AF16" s="74"/>
      <c r="AG16" s="32"/>
      <c r="AH16" s="74"/>
      <c r="AI16" s="74"/>
      <c r="AJ16" s="74"/>
      <c r="AK16" s="32"/>
      <c r="AL16" s="74"/>
      <c r="AM16" s="74"/>
      <c r="AN16" s="74"/>
      <c r="AO16" s="32"/>
      <c r="AP16" s="74"/>
      <c r="AQ16" s="74"/>
      <c r="AR16" s="74"/>
      <c r="AS16" s="32"/>
      <c r="AT16" s="74"/>
      <c r="AU16" s="74"/>
      <c r="AV16" s="74"/>
      <c r="AW16" s="32"/>
      <c r="AX16" s="74"/>
      <c r="AY16" s="74"/>
      <c r="AZ16" s="74"/>
      <c r="BA16" s="32"/>
      <c r="BB16" s="74"/>
      <c r="BC16" s="74"/>
      <c r="BD16" s="74"/>
      <c r="BE16" s="32"/>
      <c r="BF16" s="74"/>
      <c r="BG16" s="74"/>
      <c r="BH16" s="74"/>
      <c r="BI16" s="32"/>
      <c r="BJ16" s="74"/>
      <c r="BK16" s="74"/>
      <c r="BL16" s="74"/>
      <c r="BM16" s="32"/>
      <c r="BN16" s="74"/>
      <c r="BO16" s="74"/>
      <c r="BP16" s="74"/>
      <c r="BQ16" s="32"/>
      <c r="BR16" s="74"/>
      <c r="BS16" s="74"/>
      <c r="BT16" s="74"/>
      <c r="BU16" s="32"/>
      <c r="BV16" s="74"/>
      <c r="BW16" s="74"/>
      <c r="BX16" s="74"/>
      <c r="BY16" s="32"/>
      <c r="BZ16" s="74"/>
      <c r="CA16" s="74"/>
      <c r="CB16" s="74"/>
      <c r="CC16" s="32"/>
      <c r="CD16" s="74"/>
      <c r="CE16" s="74"/>
      <c r="CF16" s="74"/>
      <c r="CG16" s="32"/>
      <c r="CH16" s="74"/>
      <c r="CI16" s="74"/>
      <c r="CJ16" s="74"/>
      <c r="CK16" s="32"/>
      <c r="CL16" s="74"/>
      <c r="CM16" s="74"/>
      <c r="CN16" s="74"/>
      <c r="CO16" s="32"/>
      <c r="CP16" s="74"/>
      <c r="CQ16" s="74"/>
      <c r="CR16" s="74"/>
      <c r="CS16" s="32"/>
      <c r="CT16" s="74"/>
      <c r="CU16" s="74"/>
      <c r="CV16" s="74"/>
      <c r="CW16" s="32"/>
      <c r="CX16" s="74"/>
      <c r="CY16" s="74"/>
      <c r="CZ16" s="74"/>
      <c r="DA16" s="32"/>
      <c r="DB16" s="74"/>
      <c r="DC16" s="74"/>
      <c r="DD16" s="74"/>
      <c r="DE16" s="32"/>
      <c r="DF16" s="32"/>
      <c r="DG16" s="32"/>
      <c r="DH16" s="32"/>
      <c r="DI16" s="32"/>
      <c r="DJ16" s="32"/>
      <c r="DK16" s="32"/>
      <c r="DL16" s="32"/>
      <c r="DM16" s="32"/>
      <c r="DN16" s="32"/>
      <c r="DO16" s="32"/>
      <c r="DP16" s="32"/>
      <c r="DQ16" s="36"/>
    </row>
    <row r="17" spans="1:121" s="154" customFormat="1" ht="15.75" x14ac:dyDescent="0.25">
      <c r="A17" s="150"/>
      <c r="B17" s="33" t="s">
        <v>164</v>
      </c>
      <c r="C17" s="99"/>
      <c r="D17" s="97"/>
      <c r="E17" s="97"/>
      <c r="F17" s="95"/>
      <c r="G17" s="151"/>
      <c r="H17" s="151"/>
      <c r="I17" s="152"/>
      <c r="J17" s="151"/>
      <c r="K17" s="151"/>
      <c r="L17" s="151"/>
      <c r="M17" s="152"/>
      <c r="N17" s="151"/>
      <c r="O17" s="151"/>
      <c r="P17" s="151"/>
      <c r="Q17" s="152"/>
      <c r="R17" s="151"/>
      <c r="S17" s="151"/>
      <c r="T17" s="151"/>
      <c r="U17" s="152"/>
      <c r="V17" s="151"/>
      <c r="W17" s="151"/>
      <c r="X17" s="151"/>
      <c r="Y17" s="152"/>
      <c r="Z17" s="151"/>
      <c r="AA17" s="151"/>
      <c r="AB17" s="151"/>
      <c r="AC17" s="152"/>
      <c r="AD17" s="151"/>
      <c r="AE17" s="151"/>
      <c r="AF17" s="151"/>
      <c r="AG17" s="152"/>
      <c r="AH17" s="151"/>
      <c r="AI17" s="151"/>
      <c r="AJ17" s="151"/>
      <c r="AK17" s="152"/>
      <c r="AL17" s="151"/>
      <c r="AM17" s="151"/>
      <c r="AN17" s="151"/>
      <c r="AO17" s="152"/>
      <c r="AP17" s="151"/>
      <c r="AQ17" s="151"/>
      <c r="AR17" s="151"/>
      <c r="AS17" s="152"/>
      <c r="AT17" s="151"/>
      <c r="AU17" s="151"/>
      <c r="AV17" s="151"/>
      <c r="AW17" s="152"/>
      <c r="AX17" s="151"/>
      <c r="AY17" s="151"/>
      <c r="AZ17" s="151"/>
      <c r="BA17" s="152"/>
      <c r="BB17" s="151"/>
      <c r="BC17" s="151"/>
      <c r="BD17" s="151"/>
      <c r="BE17" s="152"/>
      <c r="BF17" s="151"/>
      <c r="BG17" s="151"/>
      <c r="BH17" s="151"/>
      <c r="BI17" s="152"/>
      <c r="BJ17" s="151"/>
      <c r="BK17" s="151"/>
      <c r="BL17" s="151"/>
      <c r="BM17" s="152"/>
      <c r="BN17" s="151"/>
      <c r="BO17" s="151"/>
      <c r="BP17" s="151"/>
      <c r="BQ17" s="152"/>
      <c r="BR17" s="151"/>
      <c r="BS17" s="151"/>
      <c r="BT17" s="151"/>
      <c r="BU17" s="152"/>
      <c r="BV17" s="151"/>
      <c r="BW17" s="151"/>
      <c r="BX17" s="151"/>
      <c r="BY17" s="152"/>
      <c r="BZ17" s="151"/>
      <c r="CA17" s="151"/>
      <c r="CB17" s="151"/>
      <c r="CC17" s="152"/>
      <c r="CD17" s="151"/>
      <c r="CE17" s="151"/>
      <c r="CF17" s="151"/>
      <c r="CG17" s="152"/>
      <c r="CH17" s="151"/>
      <c r="CI17" s="151"/>
      <c r="CJ17" s="151"/>
      <c r="CK17" s="152"/>
      <c r="CL17" s="151"/>
      <c r="CM17" s="151"/>
      <c r="CN17" s="151"/>
      <c r="CO17" s="152"/>
      <c r="CP17" s="151"/>
      <c r="CQ17" s="151"/>
      <c r="CR17" s="151"/>
      <c r="CS17" s="152"/>
      <c r="CT17" s="151"/>
      <c r="CU17" s="151"/>
      <c r="CV17" s="151"/>
      <c r="CW17" s="152"/>
      <c r="CX17" s="151"/>
      <c r="CY17" s="151"/>
      <c r="CZ17" s="151"/>
      <c r="DA17" s="152"/>
      <c r="DB17" s="151"/>
      <c r="DC17" s="151"/>
      <c r="DD17" s="151"/>
      <c r="DE17" s="152"/>
      <c r="DF17" s="152"/>
      <c r="DG17" s="152"/>
      <c r="DH17" s="152"/>
      <c r="DI17" s="152"/>
      <c r="DJ17" s="152"/>
      <c r="DK17" s="152"/>
      <c r="DL17" s="152"/>
      <c r="DM17" s="152"/>
      <c r="DN17" s="152"/>
      <c r="DO17" s="152"/>
      <c r="DP17" s="152"/>
      <c r="DQ17" s="153"/>
    </row>
    <row r="18" spans="1:121" ht="15.75" x14ac:dyDescent="0.25">
      <c r="A18" s="28"/>
      <c r="B18" s="29" t="s">
        <v>165</v>
      </c>
      <c r="C18" s="30"/>
      <c r="D18" s="86"/>
      <c r="E18" s="86"/>
      <c r="F18" s="92"/>
      <c r="G18" s="74"/>
      <c r="H18" s="74"/>
      <c r="I18" s="32"/>
      <c r="J18" s="74"/>
      <c r="K18" s="74"/>
      <c r="L18" s="74"/>
      <c r="M18" s="32"/>
      <c r="N18" s="74"/>
      <c r="O18" s="74"/>
      <c r="P18" s="74"/>
      <c r="Q18" s="32"/>
      <c r="R18" s="74"/>
      <c r="S18" s="74"/>
      <c r="T18" s="74"/>
      <c r="U18" s="32"/>
      <c r="V18" s="74"/>
      <c r="W18" s="74"/>
      <c r="X18" s="74"/>
      <c r="Y18" s="32"/>
      <c r="Z18" s="74"/>
      <c r="AA18" s="74"/>
      <c r="AB18" s="74"/>
      <c r="AC18" s="32"/>
      <c r="AD18" s="74"/>
      <c r="AE18" s="74"/>
      <c r="AF18" s="74"/>
      <c r="AG18" s="32"/>
      <c r="AH18" s="74"/>
      <c r="AI18" s="74"/>
      <c r="AJ18" s="74"/>
      <c r="AK18" s="32"/>
      <c r="AL18" s="74"/>
      <c r="AM18" s="74"/>
      <c r="AN18" s="74"/>
      <c r="AO18" s="32"/>
      <c r="AP18" s="74"/>
      <c r="AQ18" s="74"/>
      <c r="AR18" s="74"/>
      <c r="AS18" s="32"/>
      <c r="AT18" s="74"/>
      <c r="AU18" s="74"/>
      <c r="AV18" s="74"/>
      <c r="AW18" s="32"/>
      <c r="AX18" s="74"/>
      <c r="AY18" s="74"/>
      <c r="AZ18" s="74"/>
      <c r="BA18" s="32"/>
      <c r="BB18" s="74"/>
      <c r="BC18" s="74"/>
      <c r="BD18" s="74"/>
      <c r="BE18" s="32"/>
      <c r="BF18" s="74"/>
      <c r="BG18" s="74"/>
      <c r="BH18" s="74"/>
      <c r="BI18" s="32"/>
      <c r="BJ18" s="74"/>
      <c r="BK18" s="74"/>
      <c r="BL18" s="74"/>
      <c r="BM18" s="32"/>
      <c r="BN18" s="74"/>
      <c r="BO18" s="74"/>
      <c r="BP18" s="74"/>
      <c r="BQ18" s="32"/>
      <c r="BR18" s="74"/>
      <c r="BS18" s="74"/>
      <c r="BT18" s="74"/>
      <c r="BU18" s="32"/>
      <c r="BV18" s="74"/>
      <c r="BW18" s="74"/>
      <c r="BX18" s="74"/>
      <c r="BY18" s="32"/>
      <c r="BZ18" s="74"/>
      <c r="CA18" s="74"/>
      <c r="CB18" s="74"/>
      <c r="CC18" s="32"/>
      <c r="CD18" s="74"/>
      <c r="CE18" s="74"/>
      <c r="CF18" s="74"/>
      <c r="CG18" s="32"/>
      <c r="CH18" s="74"/>
      <c r="CI18" s="74"/>
      <c r="CJ18" s="74"/>
      <c r="CK18" s="32"/>
      <c r="CL18" s="74"/>
      <c r="CM18" s="74"/>
      <c r="CN18" s="74"/>
      <c r="CO18" s="32"/>
      <c r="CP18" s="74"/>
      <c r="CQ18" s="74"/>
      <c r="CR18" s="74"/>
      <c r="CS18" s="32"/>
      <c r="CT18" s="74"/>
      <c r="CU18" s="74"/>
      <c r="CV18" s="74"/>
      <c r="CW18" s="32"/>
      <c r="CX18" s="74"/>
      <c r="CY18" s="74"/>
      <c r="CZ18" s="74"/>
      <c r="DA18" s="32"/>
      <c r="DB18" s="74"/>
      <c r="DC18" s="74"/>
      <c r="DD18" s="74"/>
      <c r="DE18" s="32"/>
      <c r="DF18" s="32"/>
      <c r="DG18" s="32"/>
      <c r="DH18" s="32"/>
      <c r="DI18" s="32"/>
      <c r="DJ18" s="32"/>
      <c r="DK18" s="32"/>
      <c r="DL18" s="32"/>
      <c r="DM18" s="32"/>
      <c r="DN18" s="32"/>
      <c r="DO18" s="32"/>
      <c r="DP18" s="32"/>
      <c r="DQ18" s="36"/>
    </row>
    <row r="19" spans="1:121" ht="15.75" x14ac:dyDescent="0.25">
      <c r="A19" s="28"/>
      <c r="B19" s="33" t="s">
        <v>33</v>
      </c>
      <c r="C19" s="99"/>
      <c r="D19" s="97"/>
      <c r="E19" s="97"/>
      <c r="F19" s="95"/>
      <c r="G19" s="73"/>
      <c r="H19" s="73"/>
      <c r="I19" s="42"/>
      <c r="J19" s="73"/>
      <c r="K19" s="73"/>
      <c r="L19" s="73"/>
      <c r="M19" s="42"/>
      <c r="N19" s="73"/>
      <c r="O19" s="73"/>
      <c r="P19" s="73"/>
      <c r="Q19" s="42"/>
      <c r="R19" s="73"/>
      <c r="S19" s="73"/>
      <c r="T19" s="73"/>
      <c r="U19" s="42"/>
      <c r="V19" s="73"/>
      <c r="W19" s="73"/>
      <c r="X19" s="73"/>
      <c r="Y19" s="42"/>
      <c r="Z19" s="73"/>
      <c r="AA19" s="73"/>
      <c r="AB19" s="73"/>
      <c r="AC19" s="42"/>
      <c r="AD19" s="73"/>
      <c r="AE19" s="73"/>
      <c r="AF19" s="73"/>
      <c r="AG19" s="42"/>
      <c r="AH19" s="73"/>
      <c r="AI19" s="73"/>
      <c r="AJ19" s="73"/>
      <c r="AK19" s="42"/>
      <c r="AL19" s="73"/>
      <c r="AM19" s="73"/>
      <c r="AN19" s="73"/>
      <c r="AO19" s="42"/>
      <c r="AP19" s="73"/>
      <c r="AQ19" s="73"/>
      <c r="AR19" s="73"/>
      <c r="AS19" s="42"/>
      <c r="AT19" s="73"/>
      <c r="AU19" s="73"/>
      <c r="AV19" s="73"/>
      <c r="AW19" s="42"/>
      <c r="AX19" s="73"/>
      <c r="AY19" s="73"/>
      <c r="AZ19" s="73"/>
      <c r="BA19" s="42"/>
      <c r="BB19" s="73"/>
      <c r="BC19" s="73"/>
      <c r="BD19" s="73"/>
      <c r="BE19" s="42"/>
      <c r="BF19" s="73"/>
      <c r="BG19" s="73"/>
      <c r="BH19" s="73"/>
      <c r="BI19" s="42"/>
      <c r="BJ19" s="73"/>
      <c r="BK19" s="73"/>
      <c r="BL19" s="73"/>
      <c r="BM19" s="42"/>
      <c r="BN19" s="73"/>
      <c r="BO19" s="73"/>
      <c r="BP19" s="73"/>
      <c r="BQ19" s="42"/>
      <c r="BR19" s="73"/>
      <c r="BS19" s="73"/>
      <c r="BT19" s="73"/>
      <c r="BU19" s="42"/>
      <c r="BV19" s="73"/>
      <c r="BW19" s="73"/>
      <c r="BX19" s="73"/>
      <c r="BY19" s="42"/>
      <c r="BZ19" s="73"/>
      <c r="CA19" s="73"/>
      <c r="CB19" s="73"/>
      <c r="CC19" s="42"/>
      <c r="CD19" s="73"/>
      <c r="CE19" s="73"/>
      <c r="CF19" s="73"/>
      <c r="CG19" s="42"/>
      <c r="CH19" s="73"/>
      <c r="CI19" s="73"/>
      <c r="CJ19" s="73"/>
      <c r="CK19" s="42"/>
      <c r="CL19" s="73"/>
      <c r="CM19" s="73"/>
      <c r="CN19" s="73"/>
      <c r="CO19" s="42"/>
      <c r="CP19" s="73"/>
      <c r="CQ19" s="73"/>
      <c r="CR19" s="73"/>
      <c r="CS19" s="42"/>
      <c r="CT19" s="73"/>
      <c r="CU19" s="73"/>
      <c r="CV19" s="73"/>
      <c r="CW19" s="42"/>
      <c r="CX19" s="73"/>
      <c r="CY19" s="73"/>
      <c r="CZ19" s="73"/>
      <c r="DA19" s="42"/>
      <c r="DB19" s="73"/>
      <c r="DC19" s="73"/>
      <c r="DD19" s="73"/>
      <c r="DE19" s="42"/>
      <c r="DF19" s="42"/>
      <c r="DG19" s="42"/>
      <c r="DH19" s="42"/>
      <c r="DI19" s="42"/>
      <c r="DJ19" s="42"/>
      <c r="DK19" s="42"/>
      <c r="DL19" s="42"/>
      <c r="DM19" s="42"/>
      <c r="DN19" s="42"/>
      <c r="DO19" s="42"/>
      <c r="DP19" s="42"/>
      <c r="DQ19" s="36"/>
    </row>
    <row r="20" spans="1:121" ht="12.75" x14ac:dyDescent="0.2">
      <c r="A20" s="28"/>
      <c r="B20" s="33"/>
      <c r="C20" s="30"/>
      <c r="D20" s="31"/>
      <c r="E20" s="31"/>
      <c r="F20" s="92"/>
      <c r="G20" s="75"/>
      <c r="H20" s="75"/>
      <c r="I20" s="34"/>
      <c r="J20" s="75"/>
      <c r="K20" s="75"/>
      <c r="L20" s="75"/>
      <c r="M20" s="34"/>
      <c r="N20" s="75"/>
      <c r="O20" s="72"/>
      <c r="P20" s="75"/>
      <c r="Q20" s="34"/>
      <c r="R20" s="75"/>
      <c r="S20" s="75"/>
      <c r="T20" s="75"/>
      <c r="U20" s="34"/>
      <c r="V20" s="75"/>
      <c r="W20" s="75"/>
      <c r="X20" s="75"/>
      <c r="Y20" s="34"/>
      <c r="Z20" s="75"/>
      <c r="AA20" s="75"/>
      <c r="AB20" s="75"/>
      <c r="AC20" s="34"/>
      <c r="AD20" s="75"/>
      <c r="AE20" s="72"/>
      <c r="AF20" s="75"/>
      <c r="AG20" s="34"/>
      <c r="AH20" s="75"/>
      <c r="AI20" s="75"/>
      <c r="AJ20" s="75"/>
      <c r="AK20" s="34"/>
      <c r="AL20" s="75"/>
      <c r="AM20" s="75"/>
      <c r="AN20" s="75"/>
      <c r="AO20" s="34"/>
      <c r="AP20" s="75"/>
      <c r="AQ20" s="75"/>
      <c r="AR20" s="75"/>
      <c r="AS20" s="34"/>
      <c r="AT20" s="75"/>
      <c r="AU20" s="72"/>
      <c r="AV20" s="75"/>
      <c r="AW20" s="34"/>
      <c r="AX20" s="75"/>
      <c r="AY20" s="75"/>
      <c r="AZ20" s="75"/>
      <c r="BA20" s="34"/>
      <c r="BB20" s="75"/>
      <c r="BC20" s="75"/>
      <c r="BD20" s="75"/>
      <c r="BE20" s="34"/>
      <c r="BF20" s="75"/>
      <c r="BG20" s="75"/>
      <c r="BH20" s="75"/>
      <c r="BI20" s="34"/>
      <c r="BJ20" s="75"/>
      <c r="BK20" s="72"/>
      <c r="BL20" s="75"/>
      <c r="BM20" s="34"/>
      <c r="BN20" s="75"/>
      <c r="BO20" s="75"/>
      <c r="BP20" s="75"/>
      <c r="BQ20" s="34"/>
      <c r="BR20" s="75"/>
      <c r="BS20" s="75"/>
      <c r="BT20" s="75"/>
      <c r="BU20" s="34"/>
      <c r="BV20" s="75"/>
      <c r="BW20" s="75"/>
      <c r="BX20" s="75"/>
      <c r="BY20" s="34"/>
      <c r="BZ20" s="75"/>
      <c r="CA20" s="72"/>
      <c r="CB20" s="75"/>
      <c r="CC20" s="34"/>
      <c r="CD20" s="75"/>
      <c r="CE20" s="75"/>
      <c r="CF20" s="75"/>
      <c r="CG20" s="34"/>
      <c r="CH20" s="75"/>
      <c r="CI20" s="75"/>
      <c r="CJ20" s="75"/>
      <c r="CK20" s="34"/>
      <c r="CL20" s="75"/>
      <c r="CM20" s="75"/>
      <c r="CN20" s="75"/>
      <c r="CO20" s="34"/>
      <c r="CP20" s="75"/>
      <c r="CQ20" s="72"/>
      <c r="CR20" s="75"/>
      <c r="CS20" s="34"/>
      <c r="CT20" s="75"/>
      <c r="CU20" s="75"/>
      <c r="CV20" s="75"/>
      <c r="CW20" s="34"/>
      <c r="CX20" s="75"/>
      <c r="CY20" s="75"/>
      <c r="CZ20" s="75"/>
      <c r="DA20" s="34"/>
      <c r="DB20" s="75"/>
      <c r="DC20" s="75"/>
      <c r="DD20" s="75"/>
      <c r="DE20" s="34"/>
      <c r="DF20" s="34"/>
      <c r="DG20" s="34"/>
      <c r="DH20" s="34"/>
      <c r="DI20" s="34"/>
      <c r="DJ20" s="34"/>
      <c r="DK20" s="34"/>
      <c r="DL20" s="34"/>
      <c r="DM20" s="34"/>
      <c r="DN20" s="34"/>
      <c r="DO20" s="34"/>
      <c r="DP20" s="34"/>
      <c r="DQ20" s="28"/>
    </row>
    <row r="21" spans="1:121" ht="12.75" x14ac:dyDescent="0.2">
      <c r="A21" s="28"/>
      <c r="B21" s="29" t="s">
        <v>18</v>
      </c>
      <c r="C21" s="30"/>
      <c r="D21" s="31"/>
      <c r="E21" s="31"/>
      <c r="F21" s="92"/>
      <c r="G21" s="76"/>
      <c r="H21" s="76"/>
      <c r="I21" s="35"/>
      <c r="J21" s="76"/>
      <c r="K21" s="76"/>
      <c r="L21" s="76"/>
      <c r="M21" s="35"/>
      <c r="N21" s="76"/>
      <c r="O21" s="76"/>
      <c r="P21" s="76"/>
      <c r="Q21" s="35"/>
      <c r="R21" s="76"/>
      <c r="S21" s="76"/>
      <c r="T21" s="76"/>
      <c r="U21" s="35"/>
      <c r="V21" s="76"/>
      <c r="W21" s="76"/>
      <c r="X21" s="76"/>
      <c r="Y21" s="35"/>
      <c r="Z21" s="76"/>
      <c r="AA21" s="76"/>
      <c r="AB21" s="76"/>
      <c r="AC21" s="35"/>
      <c r="AD21" s="76"/>
      <c r="AE21" s="76"/>
      <c r="AF21" s="76"/>
      <c r="AG21" s="35"/>
      <c r="AH21" s="76"/>
      <c r="AI21" s="76"/>
      <c r="AJ21" s="76"/>
      <c r="AK21" s="35"/>
      <c r="AL21" s="76"/>
      <c r="AM21" s="76"/>
      <c r="AN21" s="76"/>
      <c r="AO21" s="35"/>
      <c r="AP21" s="76"/>
      <c r="AQ21" s="76"/>
      <c r="AR21" s="76"/>
      <c r="AS21" s="35"/>
      <c r="AT21" s="76"/>
      <c r="AU21" s="76"/>
      <c r="AV21" s="76"/>
      <c r="AW21" s="35"/>
      <c r="AX21" s="76"/>
      <c r="AY21" s="76"/>
      <c r="AZ21" s="76"/>
      <c r="BA21" s="35"/>
      <c r="BB21" s="76"/>
      <c r="BC21" s="76"/>
      <c r="BD21" s="76"/>
      <c r="BE21" s="35"/>
      <c r="BF21" s="76"/>
      <c r="BG21" s="76"/>
      <c r="BH21" s="76"/>
      <c r="BI21" s="35"/>
      <c r="BJ21" s="76"/>
      <c r="BK21" s="76"/>
      <c r="BL21" s="76"/>
      <c r="BM21" s="35"/>
      <c r="BN21" s="76"/>
      <c r="BO21" s="76"/>
      <c r="BP21" s="76"/>
      <c r="BQ21" s="35"/>
      <c r="BR21" s="76"/>
      <c r="BS21" s="76"/>
      <c r="BT21" s="76"/>
      <c r="BU21" s="35"/>
      <c r="BV21" s="76"/>
      <c r="BW21" s="76"/>
      <c r="BX21" s="76"/>
      <c r="BY21" s="35"/>
      <c r="BZ21" s="76"/>
      <c r="CA21" s="76"/>
      <c r="CB21" s="76"/>
      <c r="CC21" s="35"/>
      <c r="CD21" s="76"/>
      <c r="CE21" s="76"/>
      <c r="CF21" s="76"/>
      <c r="CG21" s="35"/>
      <c r="CH21" s="76"/>
      <c r="CI21" s="76"/>
      <c r="CJ21" s="76"/>
      <c r="CK21" s="35"/>
      <c r="CL21" s="76"/>
      <c r="CM21" s="76"/>
      <c r="CN21" s="76"/>
      <c r="CO21" s="35"/>
      <c r="CP21" s="76"/>
      <c r="CQ21" s="76"/>
      <c r="CR21" s="76"/>
      <c r="CS21" s="35"/>
      <c r="CT21" s="76"/>
      <c r="CU21" s="76"/>
      <c r="CV21" s="76"/>
      <c r="CW21" s="35"/>
      <c r="CX21" s="76"/>
      <c r="CY21" s="76"/>
      <c r="CZ21" s="76"/>
      <c r="DA21" s="35"/>
      <c r="DB21" s="76"/>
      <c r="DC21" s="76"/>
      <c r="DD21" s="76"/>
      <c r="DE21" s="35"/>
      <c r="DF21" s="35"/>
      <c r="DG21" s="35"/>
      <c r="DH21" s="35"/>
      <c r="DI21" s="35"/>
      <c r="DJ21" s="35"/>
      <c r="DK21" s="35"/>
      <c r="DL21" s="35"/>
      <c r="DM21" s="35"/>
      <c r="DN21" s="35"/>
      <c r="DO21" s="35"/>
      <c r="DP21" s="35"/>
      <c r="DQ21" s="28"/>
    </row>
    <row r="22" spans="1:121" ht="12.75" x14ac:dyDescent="0.2">
      <c r="A22" s="28"/>
      <c r="B22" s="33"/>
      <c r="C22" s="30"/>
      <c r="D22" s="31"/>
      <c r="E22" s="31"/>
      <c r="F22" s="92"/>
      <c r="G22" s="75"/>
      <c r="H22" s="75"/>
      <c r="I22" s="34"/>
      <c r="J22" s="75"/>
      <c r="K22" s="72"/>
      <c r="L22" s="75"/>
      <c r="M22" s="34"/>
      <c r="N22" s="75"/>
      <c r="O22" s="72"/>
      <c r="P22" s="75"/>
      <c r="Q22" s="34"/>
      <c r="R22" s="75"/>
      <c r="S22" s="75"/>
      <c r="T22" s="75"/>
      <c r="U22" s="34"/>
      <c r="V22" s="75"/>
      <c r="W22" s="75"/>
      <c r="X22" s="75"/>
      <c r="Y22" s="34"/>
      <c r="Z22" s="75"/>
      <c r="AA22" s="72"/>
      <c r="AB22" s="75"/>
      <c r="AC22" s="34"/>
      <c r="AD22" s="75"/>
      <c r="AE22" s="72"/>
      <c r="AF22" s="75"/>
      <c r="AG22" s="34"/>
      <c r="AH22" s="75"/>
      <c r="AI22" s="75"/>
      <c r="AJ22" s="75"/>
      <c r="AK22" s="34"/>
      <c r="AL22" s="75"/>
      <c r="AM22" s="75"/>
      <c r="AN22" s="75"/>
      <c r="AO22" s="34"/>
      <c r="AP22" s="75"/>
      <c r="AQ22" s="72"/>
      <c r="AR22" s="75"/>
      <c r="AS22" s="34"/>
      <c r="AT22" s="75"/>
      <c r="AU22" s="72"/>
      <c r="AV22" s="75"/>
      <c r="AW22" s="34"/>
      <c r="AX22" s="75"/>
      <c r="AY22" s="75"/>
      <c r="AZ22" s="75"/>
      <c r="BA22" s="34"/>
      <c r="BB22" s="75"/>
      <c r="BC22" s="75"/>
      <c r="BD22" s="75"/>
      <c r="BE22" s="34"/>
      <c r="BF22" s="75"/>
      <c r="BG22" s="72"/>
      <c r="BH22" s="75"/>
      <c r="BI22" s="34"/>
      <c r="BJ22" s="75"/>
      <c r="BK22" s="72"/>
      <c r="BL22" s="75"/>
      <c r="BM22" s="34"/>
      <c r="BN22" s="75"/>
      <c r="BO22" s="75"/>
      <c r="BP22" s="75"/>
      <c r="BQ22" s="34"/>
      <c r="BR22" s="75"/>
      <c r="BS22" s="75"/>
      <c r="BT22" s="75"/>
      <c r="BU22" s="34"/>
      <c r="BV22" s="75"/>
      <c r="BW22" s="72"/>
      <c r="BX22" s="75"/>
      <c r="BY22" s="34"/>
      <c r="BZ22" s="75"/>
      <c r="CA22" s="72"/>
      <c r="CB22" s="75"/>
      <c r="CC22" s="34"/>
      <c r="CD22" s="75"/>
      <c r="CE22" s="75"/>
      <c r="CF22" s="75"/>
      <c r="CG22" s="34"/>
      <c r="CH22" s="75"/>
      <c r="CI22" s="75"/>
      <c r="CJ22" s="75"/>
      <c r="CK22" s="34"/>
      <c r="CL22" s="75"/>
      <c r="CM22" s="72"/>
      <c r="CN22" s="75"/>
      <c r="CO22" s="34"/>
      <c r="CP22" s="75"/>
      <c r="CQ22" s="72"/>
      <c r="CR22" s="75"/>
      <c r="CS22" s="34"/>
      <c r="CT22" s="75"/>
      <c r="CU22" s="75"/>
      <c r="CV22" s="75"/>
      <c r="CW22" s="34"/>
      <c r="CX22" s="75"/>
      <c r="CY22" s="75"/>
      <c r="CZ22" s="75"/>
      <c r="DA22" s="34"/>
      <c r="DB22" s="75"/>
      <c r="DC22" s="75"/>
      <c r="DD22" s="75"/>
      <c r="DE22" s="34"/>
      <c r="DF22" s="34"/>
      <c r="DG22" s="34"/>
      <c r="DH22" s="34"/>
      <c r="DI22" s="34"/>
      <c r="DJ22" s="34"/>
      <c r="DK22" s="34"/>
      <c r="DL22" s="34"/>
      <c r="DM22" s="34"/>
      <c r="DN22" s="34"/>
      <c r="DO22" s="34"/>
      <c r="DP22" s="34"/>
      <c r="DQ22" s="28"/>
    </row>
    <row r="23" spans="1:121" ht="12.75" x14ac:dyDescent="0.2">
      <c r="A23" s="28"/>
      <c r="B23" s="33"/>
      <c r="C23" s="30"/>
      <c r="D23" s="31"/>
      <c r="E23" s="31"/>
      <c r="F23" s="92"/>
      <c r="G23" s="75"/>
      <c r="H23" s="75"/>
      <c r="I23" s="34"/>
      <c r="J23" s="75"/>
      <c r="K23" s="72"/>
      <c r="L23" s="75"/>
      <c r="M23" s="34"/>
      <c r="N23" s="75"/>
      <c r="O23" s="72"/>
      <c r="P23" s="75"/>
      <c r="Q23" s="34"/>
      <c r="R23" s="75"/>
      <c r="S23" s="75"/>
      <c r="T23" s="75"/>
      <c r="U23" s="34"/>
      <c r="V23" s="75"/>
      <c r="W23" s="75"/>
      <c r="X23" s="75"/>
      <c r="Y23" s="34"/>
      <c r="Z23" s="75"/>
      <c r="AA23" s="72"/>
      <c r="AB23" s="75"/>
      <c r="AC23" s="34"/>
      <c r="AD23" s="75"/>
      <c r="AE23" s="72"/>
      <c r="AF23" s="75"/>
      <c r="AG23" s="34"/>
      <c r="AH23" s="75"/>
      <c r="AI23" s="75"/>
      <c r="AJ23" s="75"/>
      <c r="AK23" s="34"/>
      <c r="AL23" s="75"/>
      <c r="AM23" s="75"/>
      <c r="AN23" s="75"/>
      <c r="AO23" s="34"/>
      <c r="AP23" s="75"/>
      <c r="AQ23" s="72"/>
      <c r="AR23" s="75"/>
      <c r="AS23" s="34"/>
      <c r="AT23" s="75"/>
      <c r="AU23" s="72"/>
      <c r="AV23" s="75"/>
      <c r="AW23" s="34"/>
      <c r="AX23" s="75"/>
      <c r="AY23" s="75"/>
      <c r="AZ23" s="75"/>
      <c r="BA23" s="34"/>
      <c r="BB23" s="75"/>
      <c r="BC23" s="75"/>
      <c r="BD23" s="75"/>
      <c r="BE23" s="34"/>
      <c r="BF23" s="75"/>
      <c r="BG23" s="72"/>
      <c r="BH23" s="75"/>
      <c r="BI23" s="34"/>
      <c r="BJ23" s="75"/>
      <c r="BK23" s="72"/>
      <c r="BL23" s="75"/>
      <c r="BM23" s="34"/>
      <c r="BN23" s="75"/>
      <c r="BO23" s="75"/>
      <c r="BP23" s="75"/>
      <c r="BQ23" s="34"/>
      <c r="BR23" s="75"/>
      <c r="BS23" s="75"/>
      <c r="BT23" s="75"/>
      <c r="BU23" s="34"/>
      <c r="BV23" s="75"/>
      <c r="BW23" s="72"/>
      <c r="BX23" s="75"/>
      <c r="BY23" s="34"/>
      <c r="BZ23" s="75"/>
      <c r="CA23" s="72"/>
      <c r="CB23" s="75"/>
      <c r="CC23" s="34"/>
      <c r="CD23" s="75"/>
      <c r="CE23" s="75"/>
      <c r="CF23" s="75"/>
      <c r="CG23" s="34"/>
      <c r="CH23" s="75"/>
      <c r="CI23" s="75"/>
      <c r="CJ23" s="75"/>
      <c r="CK23" s="34"/>
      <c r="CL23" s="75"/>
      <c r="CM23" s="72"/>
      <c r="CN23" s="75"/>
      <c r="CO23" s="34"/>
      <c r="CP23" s="75"/>
      <c r="CQ23" s="72"/>
      <c r="CR23" s="75"/>
      <c r="CS23" s="34"/>
      <c r="CT23" s="75"/>
      <c r="CU23" s="75"/>
      <c r="CV23" s="75"/>
      <c r="CW23" s="34"/>
      <c r="CX23" s="75"/>
      <c r="CY23" s="75"/>
      <c r="CZ23" s="75"/>
      <c r="DA23" s="34"/>
      <c r="DB23" s="75"/>
      <c r="DC23" s="75"/>
      <c r="DD23" s="75"/>
      <c r="DE23" s="34"/>
      <c r="DF23" s="34"/>
      <c r="DG23" s="34"/>
      <c r="DH23" s="34"/>
      <c r="DI23" s="34"/>
      <c r="DJ23" s="34"/>
      <c r="DK23" s="34"/>
      <c r="DL23" s="34"/>
      <c r="DM23" s="34"/>
      <c r="DN23" s="34"/>
      <c r="DO23" s="34"/>
      <c r="DP23" s="34"/>
      <c r="DQ23" s="28"/>
    </row>
    <row r="24" spans="1:121" ht="13.15" customHeight="1" x14ac:dyDescent="0.2">
      <c r="A24" s="28"/>
      <c r="B24" s="296"/>
      <c r="C24" s="318" t="str">
        <f ca="1">IF(MID(OFFSET($F$24,0,1),2,2)="Q ",CONCATENATE(TEXT(OFFSET($F$24,0,1),"[$-en-GB]МММ ГГ;@")," / ",TEXT(OFFSET($F$24,0,17),"[$-en-GB]МММ ГГ;@")),"")</f>
        <v/>
      </c>
      <c r="D24" s="318" t="str">
        <f ca="1">IF(MID(OFFSET($F$24,0,1),2,2)="Q ",CONCATENATE(TEXT(OFFSET($F$24,0,1),"[$-en-GB]МММ ГГ;@")," / ",TEXT(OFFSET($F$24,0,5),"[$-en-GB]МММ ГГ;@")),"")</f>
        <v/>
      </c>
      <c r="E24" s="320" t="str">
        <f ca="1">IF(MID(OFFSET($F$24,0,1),2,1)="Q",CONCATENATE(TEXT(OFFSET($F$24,0,2),"[$-en-GB]МММ ГГ;@")," / ",TEXT(OFFSET($F$24,0,18),"[$-en-GB]МММ ГГ;@")),CONCATENATE(TEXT(OFFSET($F$24,0,1),"[$-en-GB]МММ ГГ;@")," / ",TEXT(OFFSET($F$24,0,17),"[$-en-GB]МММ ГГ;@")))</f>
        <v>May 26 / May 25</v>
      </c>
      <c r="F24" s="322" t="str">
        <f ca="1">IF(MID(OFFSET($F$24,0,1),2,1)="Q",CONCATENATE(TEXT(OFFSET($F$24,0,2),"[$-en-GB]МММ ГГ;@")," / ",TEXT(OFFSET($F$24,0,3),"[$-en-GB]МММ ГГ;@")),IF(MID(OFFSET($F$24,0,2),2,1)="Q",CONCATENATE(TEXT(OFFSET($F$24,0,1),"[$-en-GB]МММ ГГ;@")," / ",TEXT(OFFSET($F$24,0,3),"[$-en-GB]МММ ГГ;@")),CONCATENATE(TEXT(OFFSET($F$24,0,1),"[$-en-GB]МММ ГГ;@")," / ",TEXT(OFFSET($F$24,0,2),"[$-en-GB]МММ ГГ;@"))))</f>
        <v>May 26 / Apr 26</v>
      </c>
      <c r="G24" s="266">
        <f t="shared" ref="G24" si="0">H42</f>
        <v>46143</v>
      </c>
      <c r="H24" s="266">
        <f>I42</f>
        <v>46113</v>
      </c>
      <c r="I24" s="262" t="s">
        <v>275</v>
      </c>
      <c r="J24" s="281">
        <f>K42</f>
        <v>46082</v>
      </c>
      <c r="K24" s="305">
        <f t="shared" ref="K24" si="1">L42</f>
        <v>46054</v>
      </c>
      <c r="L24" s="266">
        <f t="shared" ref="L24" si="2">M42</f>
        <v>46023</v>
      </c>
      <c r="M24" s="262" t="s">
        <v>271</v>
      </c>
      <c r="N24" s="266">
        <f t="shared" ref="N24" si="3">O42</f>
        <v>45992</v>
      </c>
      <c r="O24" s="266">
        <f t="shared" ref="O24" si="4">P42</f>
        <v>45962</v>
      </c>
      <c r="P24" s="305">
        <f t="shared" ref="P24" si="5">Q42</f>
        <v>45931</v>
      </c>
      <c r="Q24" s="262" t="s">
        <v>265</v>
      </c>
      <c r="R24" s="266" t="s">
        <v>266</v>
      </c>
      <c r="S24" s="266">
        <f t="shared" ref="S24" si="6">T42</f>
        <v>45870</v>
      </c>
      <c r="T24" s="266">
        <f>U42</f>
        <v>45839</v>
      </c>
      <c r="U24" s="262" t="s">
        <v>255</v>
      </c>
      <c r="V24" s="266">
        <f>W42</f>
        <v>45809</v>
      </c>
      <c r="W24" s="266">
        <f t="shared" ref="W24" si="7">X42</f>
        <v>45778</v>
      </c>
      <c r="X24" s="266">
        <f>Y42</f>
        <v>45748</v>
      </c>
      <c r="Y24" s="262" t="s">
        <v>250</v>
      </c>
      <c r="Z24" s="266">
        <f>AA42</f>
        <v>45717</v>
      </c>
      <c r="AA24" s="266">
        <f t="shared" ref="AA24" si="8">AB42</f>
        <v>45689</v>
      </c>
      <c r="AB24" s="266">
        <f t="shared" ref="AB24" si="9">AC42</f>
        <v>45658</v>
      </c>
      <c r="AC24" s="262" t="s">
        <v>246</v>
      </c>
      <c r="AD24" s="266">
        <f t="shared" ref="AD24" si="10">AE42</f>
        <v>45627</v>
      </c>
      <c r="AE24" s="266">
        <f t="shared" ref="AE24" si="11">AF42</f>
        <v>45597</v>
      </c>
      <c r="AF24" s="305">
        <f t="shared" ref="AF24" si="12">AG42</f>
        <v>45566</v>
      </c>
      <c r="AG24" s="262" t="s">
        <v>236</v>
      </c>
      <c r="AH24" s="266" t="s">
        <v>244</v>
      </c>
      <c r="AI24" s="266">
        <f t="shared" ref="AI24" si="13">AJ42</f>
        <v>45505</v>
      </c>
      <c r="AJ24" s="266">
        <f>AK42</f>
        <v>45474</v>
      </c>
      <c r="AK24" s="262" t="s">
        <v>230</v>
      </c>
      <c r="AL24" s="266">
        <f>AM42</f>
        <v>45444</v>
      </c>
      <c r="AM24" s="266">
        <f t="shared" ref="AM24" si="14">AN42</f>
        <v>45413</v>
      </c>
      <c r="AN24" s="266">
        <f>AO42</f>
        <v>45383</v>
      </c>
      <c r="AO24" s="262" t="s">
        <v>226</v>
      </c>
      <c r="AP24" s="266">
        <f>AQ42</f>
        <v>45352</v>
      </c>
      <c r="AQ24" s="266">
        <f t="shared" ref="AQ24" si="15">AR42</f>
        <v>45323</v>
      </c>
      <c r="AR24" s="266">
        <f t="shared" ref="AR24" si="16">AS42</f>
        <v>45292</v>
      </c>
      <c r="AS24" s="262" t="s">
        <v>221</v>
      </c>
      <c r="AT24" s="266">
        <f t="shared" ref="AT24" si="17">AU42</f>
        <v>45261</v>
      </c>
      <c r="AU24" s="266">
        <f t="shared" ref="AU24" si="18">AV42</f>
        <v>45231</v>
      </c>
      <c r="AV24" s="305">
        <f t="shared" ref="AV24" si="19">AW42</f>
        <v>45200</v>
      </c>
      <c r="AW24" s="262" t="s">
        <v>216</v>
      </c>
      <c r="AX24" s="266" t="s">
        <v>217</v>
      </c>
      <c r="AY24" s="266">
        <f t="shared" ref="AY24" si="20">AZ42</f>
        <v>45139</v>
      </c>
      <c r="AZ24" s="266">
        <f>BA42</f>
        <v>45108</v>
      </c>
      <c r="BA24" s="262" t="s">
        <v>208</v>
      </c>
      <c r="BB24" s="266">
        <f>BC42</f>
        <v>45078</v>
      </c>
      <c r="BC24" s="266">
        <f t="shared" ref="BC24" si="21">BD42</f>
        <v>45047</v>
      </c>
      <c r="BD24" s="266">
        <f>BE42</f>
        <v>45017</v>
      </c>
      <c r="BE24" s="262" t="s">
        <v>204</v>
      </c>
      <c r="BF24" s="266">
        <f>BG42</f>
        <v>44986</v>
      </c>
      <c r="BG24" s="266">
        <f t="shared" ref="BG24" si="22">BH42</f>
        <v>44958</v>
      </c>
      <c r="BH24" s="266">
        <f t="shared" ref="BH24" si="23">BI42</f>
        <v>44927</v>
      </c>
      <c r="BI24" s="262" t="s">
        <v>200</v>
      </c>
      <c r="BJ24" s="266">
        <f t="shared" ref="BJ24" si="24">BK42</f>
        <v>44896</v>
      </c>
      <c r="BK24" s="266">
        <f t="shared" ref="BK24" si="25">BL42</f>
        <v>44866</v>
      </c>
      <c r="BL24" s="266">
        <f t="shared" ref="BL24" si="26">BM42</f>
        <v>44835</v>
      </c>
      <c r="BM24" s="262" t="s">
        <v>193</v>
      </c>
      <c r="BN24" s="266" t="s">
        <v>194</v>
      </c>
      <c r="BO24" s="266">
        <f t="shared" ref="BO24" si="27">BP42</f>
        <v>44774</v>
      </c>
      <c r="BP24" s="266">
        <f>BQ42</f>
        <v>44743</v>
      </c>
      <c r="BQ24" s="262" t="s">
        <v>187</v>
      </c>
      <c r="BR24" s="266">
        <f>BS42</f>
        <v>44713</v>
      </c>
      <c r="BS24" s="266">
        <f t="shared" ref="BS24" si="28">BT42</f>
        <v>44682</v>
      </c>
      <c r="BT24" s="266">
        <f>BU42</f>
        <v>44652</v>
      </c>
      <c r="BU24" s="262" t="s">
        <v>180</v>
      </c>
      <c r="BV24" s="266">
        <f>BW42</f>
        <v>44621</v>
      </c>
      <c r="BW24" s="266">
        <f t="shared" ref="BW24" si="29">BX42</f>
        <v>44593</v>
      </c>
      <c r="BX24" s="266">
        <f t="shared" ref="BX24" si="30">BY42</f>
        <v>44562</v>
      </c>
      <c r="BY24" s="262" t="s">
        <v>176</v>
      </c>
      <c r="BZ24" s="266">
        <f t="shared" ref="BZ24" si="31">CA42</f>
        <v>44531</v>
      </c>
      <c r="CA24" s="266">
        <f t="shared" ref="CA24" si="32">CB42</f>
        <v>44501</v>
      </c>
      <c r="CB24" s="266">
        <f t="shared" ref="CB24" si="33">CC42</f>
        <v>44470</v>
      </c>
      <c r="CC24" s="262" t="s">
        <v>171</v>
      </c>
      <c r="CD24" s="266">
        <f t="shared" ref="CD24" si="34">CE42</f>
        <v>44440</v>
      </c>
      <c r="CE24" s="266">
        <f t="shared" ref="CE24" si="35">CF42</f>
        <v>44409</v>
      </c>
      <c r="CF24" s="266">
        <f>CG42</f>
        <v>44378</v>
      </c>
      <c r="CG24" s="262" t="s">
        <v>154</v>
      </c>
      <c r="CH24" s="266">
        <f>CI42</f>
        <v>44348</v>
      </c>
      <c r="CI24" s="266">
        <f t="shared" ref="CI24" si="36">CJ42</f>
        <v>44317</v>
      </c>
      <c r="CJ24" s="266">
        <f>CK42</f>
        <v>44287</v>
      </c>
      <c r="CK24" s="262" t="s">
        <v>141</v>
      </c>
      <c r="CL24" s="266">
        <f>CM42</f>
        <v>44256</v>
      </c>
      <c r="CM24" s="266">
        <f t="shared" ref="CM24:CN24" si="37">CN42</f>
        <v>44228</v>
      </c>
      <c r="CN24" s="266">
        <f t="shared" si="37"/>
        <v>44197</v>
      </c>
      <c r="CO24" s="262" t="s">
        <v>134</v>
      </c>
      <c r="CP24" s="266">
        <f t="shared" ref="CP24:CR24" si="38">CQ42</f>
        <v>44166</v>
      </c>
      <c r="CQ24" s="266">
        <f t="shared" si="38"/>
        <v>44136</v>
      </c>
      <c r="CR24" s="266">
        <f t="shared" si="38"/>
        <v>44105</v>
      </c>
      <c r="CS24" s="262" t="s">
        <v>54</v>
      </c>
      <c r="CT24" s="266">
        <f t="shared" ref="CT24:CV24" si="39">CU42</f>
        <v>44075</v>
      </c>
      <c r="CU24" s="266">
        <f t="shared" si="39"/>
        <v>44044</v>
      </c>
      <c r="CV24" s="266">
        <f t="shared" si="39"/>
        <v>44013</v>
      </c>
      <c r="CW24" s="262" t="s">
        <v>49</v>
      </c>
      <c r="CX24" s="266">
        <f t="shared" ref="CX24:CZ24" si="40">CY42</f>
        <v>43983</v>
      </c>
      <c r="CY24" s="266">
        <f t="shared" si="40"/>
        <v>43952</v>
      </c>
      <c r="CZ24" s="266">
        <f t="shared" si="40"/>
        <v>43922</v>
      </c>
      <c r="DA24" s="262" t="s">
        <v>47</v>
      </c>
      <c r="DB24" s="266">
        <f t="shared" ref="DB24:DD24" si="41">DC42</f>
        <v>43891</v>
      </c>
      <c r="DC24" s="266">
        <f t="shared" si="41"/>
        <v>43862</v>
      </c>
      <c r="DD24" s="266">
        <f t="shared" si="41"/>
        <v>43831</v>
      </c>
      <c r="DE24" s="262" t="s">
        <v>46</v>
      </c>
      <c r="DF24" s="262" t="s">
        <v>44</v>
      </c>
      <c r="DG24" s="262" t="s">
        <v>41</v>
      </c>
      <c r="DH24" s="262" t="s">
        <v>40</v>
      </c>
      <c r="DI24" s="262" t="s">
        <v>39</v>
      </c>
      <c r="DJ24" s="262" t="s">
        <v>37</v>
      </c>
      <c r="DK24" s="262" t="s">
        <v>35</v>
      </c>
      <c r="DL24" s="262" t="s">
        <v>6</v>
      </c>
      <c r="DM24" s="262" t="s">
        <v>12</v>
      </c>
      <c r="DN24" s="262" t="s">
        <v>13</v>
      </c>
      <c r="DO24" s="262" t="s">
        <v>14</v>
      </c>
      <c r="DP24" s="262" t="s">
        <v>3</v>
      </c>
      <c r="DQ24" s="28"/>
    </row>
    <row r="25" spans="1:121" ht="15.75" x14ac:dyDescent="0.25">
      <c r="A25" s="28"/>
      <c r="B25" s="296"/>
      <c r="C25" s="319"/>
      <c r="D25" s="319"/>
      <c r="E25" s="321"/>
      <c r="F25" s="323"/>
      <c r="G25" s="267"/>
      <c r="H25" s="267"/>
      <c r="I25" s="263"/>
      <c r="J25" s="282"/>
      <c r="K25" s="306"/>
      <c r="L25" s="267"/>
      <c r="M25" s="263"/>
      <c r="N25" s="267"/>
      <c r="O25" s="267"/>
      <c r="P25" s="306"/>
      <c r="Q25" s="263"/>
      <c r="R25" s="267"/>
      <c r="S25" s="267"/>
      <c r="T25" s="267"/>
      <c r="U25" s="263"/>
      <c r="V25" s="267"/>
      <c r="W25" s="267"/>
      <c r="X25" s="267"/>
      <c r="Y25" s="263"/>
      <c r="Z25" s="267"/>
      <c r="AA25" s="267"/>
      <c r="AB25" s="267"/>
      <c r="AC25" s="263"/>
      <c r="AD25" s="267"/>
      <c r="AE25" s="267"/>
      <c r="AF25" s="306"/>
      <c r="AG25" s="263"/>
      <c r="AH25" s="267"/>
      <c r="AI25" s="267"/>
      <c r="AJ25" s="267"/>
      <c r="AK25" s="263"/>
      <c r="AL25" s="267"/>
      <c r="AM25" s="267"/>
      <c r="AN25" s="267"/>
      <c r="AO25" s="263"/>
      <c r="AP25" s="267"/>
      <c r="AQ25" s="267"/>
      <c r="AR25" s="267"/>
      <c r="AS25" s="263"/>
      <c r="AT25" s="267"/>
      <c r="AU25" s="267"/>
      <c r="AV25" s="306"/>
      <c r="AW25" s="263"/>
      <c r="AX25" s="267"/>
      <c r="AY25" s="267"/>
      <c r="AZ25" s="267"/>
      <c r="BA25" s="263"/>
      <c r="BB25" s="267"/>
      <c r="BC25" s="267"/>
      <c r="BD25" s="267"/>
      <c r="BE25" s="263"/>
      <c r="BF25" s="267"/>
      <c r="BG25" s="267"/>
      <c r="BH25" s="267"/>
      <c r="BI25" s="263"/>
      <c r="BJ25" s="267"/>
      <c r="BK25" s="267"/>
      <c r="BL25" s="267"/>
      <c r="BM25" s="263"/>
      <c r="BN25" s="267"/>
      <c r="BO25" s="267"/>
      <c r="BP25" s="267"/>
      <c r="BQ25" s="263"/>
      <c r="BR25" s="267"/>
      <c r="BS25" s="267"/>
      <c r="BT25" s="267"/>
      <c r="BU25" s="263"/>
      <c r="BV25" s="267"/>
      <c r="BW25" s="267"/>
      <c r="BX25" s="267"/>
      <c r="BY25" s="263"/>
      <c r="BZ25" s="267"/>
      <c r="CA25" s="267"/>
      <c r="CB25" s="267"/>
      <c r="CC25" s="263"/>
      <c r="CD25" s="267"/>
      <c r="CE25" s="267"/>
      <c r="CF25" s="267"/>
      <c r="CG25" s="263"/>
      <c r="CH25" s="267"/>
      <c r="CI25" s="267"/>
      <c r="CJ25" s="267"/>
      <c r="CK25" s="263"/>
      <c r="CL25" s="267"/>
      <c r="CM25" s="267"/>
      <c r="CN25" s="267"/>
      <c r="CO25" s="263"/>
      <c r="CP25" s="267"/>
      <c r="CQ25" s="267"/>
      <c r="CR25" s="267"/>
      <c r="CS25" s="263"/>
      <c r="CT25" s="267"/>
      <c r="CU25" s="267"/>
      <c r="CV25" s="267"/>
      <c r="CW25" s="263"/>
      <c r="CX25" s="267"/>
      <c r="CY25" s="267"/>
      <c r="CZ25" s="267"/>
      <c r="DA25" s="263"/>
      <c r="DB25" s="267"/>
      <c r="DC25" s="267"/>
      <c r="DD25" s="267"/>
      <c r="DE25" s="263"/>
      <c r="DF25" s="263"/>
      <c r="DG25" s="263"/>
      <c r="DH25" s="263"/>
      <c r="DI25" s="263"/>
      <c r="DJ25" s="263"/>
      <c r="DK25" s="263"/>
      <c r="DL25" s="263"/>
      <c r="DM25" s="263"/>
      <c r="DN25" s="263"/>
      <c r="DO25" s="263"/>
      <c r="DP25" s="263"/>
      <c r="DQ25" s="36"/>
    </row>
    <row r="26" spans="1:121" ht="15.75" x14ac:dyDescent="0.25">
      <c r="A26" s="28"/>
      <c r="B26" s="37" t="s">
        <v>8</v>
      </c>
      <c r="C26" s="38"/>
      <c r="D26" s="38"/>
      <c r="E26" s="38"/>
      <c r="F26" s="92"/>
      <c r="G26" s="72"/>
      <c r="H26" s="72"/>
      <c r="I26" s="31"/>
      <c r="J26" s="72"/>
      <c r="K26" s="72"/>
      <c r="L26" s="72"/>
      <c r="M26" s="31"/>
      <c r="N26" s="72"/>
      <c r="O26" s="72"/>
      <c r="P26" s="72"/>
      <c r="Q26" s="31"/>
      <c r="R26" s="72"/>
      <c r="S26" s="72"/>
      <c r="T26" s="72"/>
      <c r="U26" s="31"/>
      <c r="V26" s="72"/>
      <c r="W26" s="72"/>
      <c r="X26" s="72"/>
      <c r="Y26" s="31"/>
      <c r="Z26" s="72"/>
      <c r="AA26" s="72"/>
      <c r="AB26" s="72"/>
      <c r="AC26" s="31"/>
      <c r="AD26" s="72"/>
      <c r="AE26" s="72"/>
      <c r="AF26" s="72"/>
      <c r="AG26" s="31"/>
      <c r="AH26" s="72"/>
      <c r="AI26" s="72"/>
      <c r="AJ26" s="72"/>
      <c r="AK26" s="31"/>
      <c r="AL26" s="72"/>
      <c r="AM26" s="72"/>
      <c r="AN26" s="72"/>
      <c r="AO26" s="31"/>
      <c r="AP26" s="72"/>
      <c r="AQ26" s="72"/>
      <c r="AR26" s="72"/>
      <c r="AS26" s="31"/>
      <c r="AT26" s="72"/>
      <c r="AU26" s="72"/>
      <c r="AV26" s="72"/>
      <c r="AW26" s="31"/>
      <c r="AX26" s="72"/>
      <c r="AY26" s="72"/>
      <c r="AZ26" s="72"/>
      <c r="BA26" s="31"/>
      <c r="BB26" s="72"/>
      <c r="BC26" s="72"/>
      <c r="BD26" s="72"/>
      <c r="BE26" s="31"/>
      <c r="BF26" s="72"/>
      <c r="BG26" s="72"/>
      <c r="BH26" s="72"/>
      <c r="BI26" s="31"/>
      <c r="BJ26" s="72"/>
      <c r="BK26" s="72"/>
      <c r="BL26" s="72"/>
      <c r="BM26" s="31"/>
      <c r="BN26" s="72"/>
      <c r="BO26" s="72"/>
      <c r="BP26" s="72"/>
      <c r="BQ26" s="31"/>
      <c r="BR26" s="72"/>
      <c r="BS26" s="72"/>
      <c r="BT26" s="72"/>
      <c r="BU26" s="31"/>
      <c r="BV26" s="72"/>
      <c r="BW26" s="72"/>
      <c r="BX26" s="72"/>
      <c r="BY26" s="31"/>
      <c r="BZ26" s="72"/>
      <c r="CA26" s="72"/>
      <c r="CB26" s="72"/>
      <c r="CC26" s="31"/>
      <c r="CD26" s="72"/>
      <c r="CE26" s="72"/>
      <c r="CF26" s="72"/>
      <c r="CG26" s="31"/>
      <c r="CH26" s="72"/>
      <c r="CI26" s="72"/>
      <c r="CJ26" s="72"/>
      <c r="CK26" s="31"/>
      <c r="CL26" s="72"/>
      <c r="CM26" s="72"/>
      <c r="CN26" s="72"/>
      <c r="CO26" s="31"/>
      <c r="CP26" s="72"/>
      <c r="CQ26" s="72"/>
      <c r="CR26" s="72"/>
      <c r="CS26" s="31"/>
      <c r="CT26" s="72"/>
      <c r="CU26" s="72"/>
      <c r="CV26" s="72"/>
      <c r="CW26" s="31"/>
      <c r="CX26" s="72"/>
      <c r="CY26" s="72"/>
      <c r="CZ26" s="72"/>
      <c r="DA26" s="31"/>
      <c r="DB26" s="72"/>
      <c r="DC26" s="72"/>
      <c r="DD26" s="72"/>
      <c r="DE26" s="39"/>
      <c r="DF26" s="39"/>
      <c r="DG26" s="39"/>
      <c r="DH26" s="39"/>
      <c r="DI26" s="37"/>
      <c r="DJ26" s="37"/>
      <c r="DK26" s="37"/>
      <c r="DL26" s="37"/>
      <c r="DM26" s="37"/>
      <c r="DN26" s="37"/>
      <c r="DO26" s="37"/>
      <c r="DP26" s="37"/>
      <c r="DQ26" s="36"/>
    </row>
    <row r="27" spans="1:121" ht="15.75" x14ac:dyDescent="0.25">
      <c r="A27" s="28"/>
      <c r="B27" s="37" t="s">
        <v>15</v>
      </c>
      <c r="C27" s="30"/>
      <c r="D27" s="30"/>
      <c r="E27" s="30"/>
      <c r="F27" s="92"/>
      <c r="G27" s="72"/>
      <c r="H27" s="72"/>
      <c r="I27" s="31"/>
      <c r="J27" s="72"/>
      <c r="K27" s="72"/>
      <c r="L27" s="72"/>
      <c r="M27" s="31"/>
      <c r="N27" s="72"/>
      <c r="O27" s="72"/>
      <c r="P27" s="72"/>
      <c r="Q27" s="31"/>
      <c r="R27" s="72"/>
      <c r="S27" s="72"/>
      <c r="T27" s="72"/>
      <c r="U27" s="31"/>
      <c r="V27" s="72"/>
      <c r="W27" s="72"/>
      <c r="X27" s="72"/>
      <c r="Y27" s="31"/>
      <c r="Z27" s="72"/>
      <c r="AA27" s="72"/>
      <c r="AB27" s="72"/>
      <c r="AC27" s="31"/>
      <c r="AD27" s="72"/>
      <c r="AE27" s="72"/>
      <c r="AF27" s="72"/>
      <c r="AG27" s="31"/>
      <c r="AH27" s="72"/>
      <c r="AI27" s="72"/>
      <c r="AJ27" s="72"/>
      <c r="AK27" s="31"/>
      <c r="AL27" s="72"/>
      <c r="AM27" s="72"/>
      <c r="AN27" s="72"/>
      <c r="AO27" s="31"/>
      <c r="AP27" s="72"/>
      <c r="AQ27" s="72"/>
      <c r="AR27" s="72"/>
      <c r="AS27" s="31"/>
      <c r="AT27" s="72"/>
      <c r="AU27" s="72"/>
      <c r="AV27" s="72"/>
      <c r="AW27" s="31"/>
      <c r="AX27" s="72"/>
      <c r="AY27" s="72"/>
      <c r="AZ27" s="72"/>
      <c r="BA27" s="31"/>
      <c r="BB27" s="72"/>
      <c r="BC27" s="72"/>
      <c r="BD27" s="72"/>
      <c r="BE27" s="31"/>
      <c r="BF27" s="72"/>
      <c r="BG27" s="72"/>
      <c r="BH27" s="72"/>
      <c r="BI27" s="31"/>
      <c r="BJ27" s="72"/>
      <c r="BK27" s="72"/>
      <c r="BL27" s="72"/>
      <c r="BM27" s="31"/>
      <c r="BN27" s="72"/>
      <c r="BO27" s="72"/>
      <c r="BP27" s="72"/>
      <c r="BQ27" s="31"/>
      <c r="BR27" s="72"/>
      <c r="BS27" s="72"/>
      <c r="BT27" s="72"/>
      <c r="BU27" s="31"/>
      <c r="BV27" s="72"/>
      <c r="BW27" s="72"/>
      <c r="BX27" s="72"/>
      <c r="BY27" s="31"/>
      <c r="BZ27" s="72"/>
      <c r="CA27" s="72"/>
      <c r="CB27" s="72"/>
      <c r="CC27" s="31"/>
      <c r="CD27" s="72"/>
      <c r="CE27" s="72"/>
      <c r="CF27" s="72"/>
      <c r="CG27" s="31"/>
      <c r="CH27" s="72"/>
      <c r="CI27" s="72"/>
      <c r="CJ27" s="72"/>
      <c r="CK27" s="31"/>
      <c r="CL27" s="72"/>
      <c r="CM27" s="72"/>
      <c r="CN27" s="72"/>
      <c r="CO27" s="31"/>
      <c r="CP27" s="72"/>
      <c r="CQ27" s="72"/>
      <c r="CR27" s="72"/>
      <c r="CS27" s="31"/>
      <c r="CT27" s="72"/>
      <c r="CU27" s="72"/>
      <c r="CV27" s="72"/>
      <c r="CW27" s="31"/>
      <c r="CX27" s="72"/>
      <c r="CY27" s="72"/>
      <c r="CZ27" s="72"/>
      <c r="DA27" s="31"/>
      <c r="DB27" s="72"/>
      <c r="DC27" s="72"/>
      <c r="DD27" s="72"/>
      <c r="DE27" s="31"/>
      <c r="DF27" s="31"/>
      <c r="DG27" s="31"/>
      <c r="DH27" s="31"/>
      <c r="DI27" s="37"/>
      <c r="DJ27" s="37"/>
      <c r="DK27" s="37"/>
      <c r="DL27" s="37"/>
      <c r="DM27" s="37"/>
      <c r="DN27" s="37"/>
      <c r="DO27" s="37"/>
      <c r="DP27" s="37"/>
      <c r="DQ27" s="36"/>
    </row>
    <row r="28" spans="1:121" ht="15.75" x14ac:dyDescent="0.25">
      <c r="A28" s="28"/>
      <c r="B28" s="29" t="s">
        <v>10</v>
      </c>
      <c r="C28" s="30"/>
      <c r="D28" s="30"/>
      <c r="E28" s="30"/>
      <c r="F28" s="92"/>
      <c r="G28" s="77"/>
      <c r="H28" s="77"/>
      <c r="I28" s="40"/>
      <c r="J28" s="77"/>
      <c r="K28" s="77"/>
      <c r="L28" s="77"/>
      <c r="M28" s="40"/>
      <c r="N28" s="77"/>
      <c r="O28" s="77"/>
      <c r="P28" s="77"/>
      <c r="Q28" s="40"/>
      <c r="R28" s="77"/>
      <c r="S28" s="77"/>
      <c r="T28" s="77"/>
      <c r="U28" s="40"/>
      <c r="V28" s="77"/>
      <c r="W28" s="77"/>
      <c r="X28" s="77"/>
      <c r="Y28" s="40"/>
      <c r="Z28" s="77"/>
      <c r="AA28" s="77"/>
      <c r="AB28" s="77"/>
      <c r="AC28" s="40"/>
      <c r="AD28" s="77"/>
      <c r="AE28" s="77"/>
      <c r="AF28" s="77"/>
      <c r="AG28" s="40"/>
      <c r="AH28" s="77"/>
      <c r="AI28" s="77"/>
      <c r="AJ28" s="77"/>
      <c r="AK28" s="40"/>
      <c r="AL28" s="77"/>
      <c r="AM28" s="77"/>
      <c r="AN28" s="77"/>
      <c r="AO28" s="40"/>
      <c r="AP28" s="77"/>
      <c r="AQ28" s="77"/>
      <c r="AR28" s="77"/>
      <c r="AS28" s="40"/>
      <c r="AT28" s="77"/>
      <c r="AU28" s="77"/>
      <c r="AV28" s="77"/>
      <c r="AW28" s="40"/>
      <c r="AX28" s="77"/>
      <c r="AY28" s="77"/>
      <c r="AZ28" s="77"/>
      <c r="BA28" s="40"/>
      <c r="BB28" s="77"/>
      <c r="BC28" s="77"/>
      <c r="BD28" s="77"/>
      <c r="BE28" s="40"/>
      <c r="BF28" s="77"/>
      <c r="BG28" s="77"/>
      <c r="BH28" s="77"/>
      <c r="BI28" s="40"/>
      <c r="BJ28" s="77"/>
      <c r="BK28" s="77"/>
      <c r="BL28" s="77"/>
      <c r="BM28" s="40"/>
      <c r="BN28" s="77"/>
      <c r="BO28" s="77"/>
      <c r="BP28" s="77"/>
      <c r="BQ28" s="40"/>
      <c r="BR28" s="77"/>
      <c r="BS28" s="77"/>
      <c r="BT28" s="77"/>
      <c r="BU28" s="40"/>
      <c r="BV28" s="77"/>
      <c r="BW28" s="77"/>
      <c r="BX28" s="77"/>
      <c r="BY28" s="40"/>
      <c r="BZ28" s="77"/>
      <c r="CA28" s="77"/>
      <c r="CB28" s="77"/>
      <c r="CC28" s="40"/>
      <c r="CD28" s="77"/>
      <c r="CE28" s="77"/>
      <c r="CF28" s="77"/>
      <c r="CG28" s="40"/>
      <c r="CH28" s="77"/>
      <c r="CI28" s="77"/>
      <c r="CJ28" s="77"/>
      <c r="CK28" s="40"/>
      <c r="CL28" s="77"/>
      <c r="CM28" s="77"/>
      <c r="CN28" s="77"/>
      <c r="CO28" s="40"/>
      <c r="CP28" s="77"/>
      <c r="CQ28" s="77"/>
      <c r="CR28" s="77"/>
      <c r="CS28" s="40"/>
      <c r="CT28" s="77"/>
      <c r="CU28" s="77"/>
      <c r="CV28" s="77"/>
      <c r="CW28" s="40"/>
      <c r="CX28" s="77"/>
      <c r="CY28" s="77"/>
      <c r="CZ28" s="77"/>
      <c r="DA28" s="40"/>
      <c r="DB28" s="77"/>
      <c r="DC28" s="77"/>
      <c r="DD28" s="77"/>
      <c r="DE28" s="40"/>
      <c r="DF28" s="40"/>
      <c r="DG28" s="40"/>
      <c r="DH28" s="40"/>
      <c r="DI28" s="40"/>
      <c r="DJ28" s="40"/>
      <c r="DK28" s="40"/>
      <c r="DL28" s="40"/>
      <c r="DM28" s="40"/>
      <c r="DN28" s="40"/>
      <c r="DO28" s="40"/>
      <c r="DP28" s="40"/>
      <c r="DQ28" s="36"/>
    </row>
    <row r="29" spans="1:121" ht="15.75" x14ac:dyDescent="0.25">
      <c r="A29" s="28"/>
      <c r="B29" s="29" t="s">
        <v>11</v>
      </c>
      <c r="C29" s="30"/>
      <c r="D29" s="30"/>
      <c r="E29" s="30"/>
      <c r="F29" s="92"/>
      <c r="G29" s="77"/>
      <c r="H29" s="77"/>
      <c r="I29" s="40"/>
      <c r="J29" s="77"/>
      <c r="K29" s="77"/>
      <c r="L29" s="77"/>
      <c r="M29" s="40"/>
      <c r="N29" s="77"/>
      <c r="O29" s="77"/>
      <c r="P29" s="77"/>
      <c r="Q29" s="40"/>
      <c r="R29" s="77"/>
      <c r="S29" s="77"/>
      <c r="T29" s="77"/>
      <c r="U29" s="40"/>
      <c r="V29" s="77"/>
      <c r="W29" s="77"/>
      <c r="X29" s="77"/>
      <c r="Y29" s="40"/>
      <c r="Z29" s="77"/>
      <c r="AA29" s="77"/>
      <c r="AB29" s="77"/>
      <c r="AC29" s="40"/>
      <c r="AD29" s="77"/>
      <c r="AE29" s="77"/>
      <c r="AF29" s="77"/>
      <c r="AG29" s="40"/>
      <c r="AH29" s="77"/>
      <c r="AI29" s="77"/>
      <c r="AJ29" s="77"/>
      <c r="AK29" s="40"/>
      <c r="AL29" s="77"/>
      <c r="AM29" s="77"/>
      <c r="AN29" s="77"/>
      <c r="AO29" s="40"/>
      <c r="AP29" s="77"/>
      <c r="AQ29" s="77"/>
      <c r="AR29" s="77"/>
      <c r="AS29" s="40"/>
      <c r="AT29" s="77"/>
      <c r="AU29" s="77"/>
      <c r="AV29" s="77"/>
      <c r="AW29" s="40"/>
      <c r="AX29" s="77"/>
      <c r="AY29" s="77"/>
      <c r="AZ29" s="77"/>
      <c r="BA29" s="40"/>
      <c r="BB29" s="77"/>
      <c r="BC29" s="77"/>
      <c r="BD29" s="77"/>
      <c r="BE29" s="40"/>
      <c r="BF29" s="77"/>
      <c r="BG29" s="77"/>
      <c r="BH29" s="77"/>
      <c r="BI29" s="40"/>
      <c r="BJ29" s="77"/>
      <c r="BK29" s="77"/>
      <c r="BL29" s="77"/>
      <c r="BM29" s="40"/>
      <c r="BN29" s="77"/>
      <c r="BO29" s="77"/>
      <c r="BP29" s="77"/>
      <c r="BQ29" s="40"/>
      <c r="BR29" s="77"/>
      <c r="BS29" s="77"/>
      <c r="BT29" s="77"/>
      <c r="BU29" s="40"/>
      <c r="BV29" s="77"/>
      <c r="BW29" s="77"/>
      <c r="BX29" s="77"/>
      <c r="BY29" s="40"/>
      <c r="BZ29" s="77"/>
      <c r="CA29" s="77"/>
      <c r="CB29" s="77"/>
      <c r="CC29" s="40"/>
      <c r="CD29" s="77"/>
      <c r="CE29" s="77"/>
      <c r="CF29" s="77"/>
      <c r="CG29" s="40"/>
      <c r="CH29" s="77"/>
      <c r="CI29" s="77"/>
      <c r="CJ29" s="77"/>
      <c r="CK29" s="40"/>
      <c r="CL29" s="77"/>
      <c r="CM29" s="77"/>
      <c r="CN29" s="77"/>
      <c r="CO29" s="40"/>
      <c r="CP29" s="77"/>
      <c r="CQ29" s="77"/>
      <c r="CR29" s="77"/>
      <c r="CS29" s="40"/>
      <c r="CT29" s="77"/>
      <c r="CU29" s="77"/>
      <c r="CV29" s="77"/>
      <c r="CW29" s="40"/>
      <c r="CX29" s="77"/>
      <c r="CY29" s="77"/>
      <c r="CZ29" s="77"/>
      <c r="DA29" s="40"/>
      <c r="DB29" s="77"/>
      <c r="DC29" s="77"/>
      <c r="DD29" s="77"/>
      <c r="DE29" s="40"/>
      <c r="DF29" s="40"/>
      <c r="DG29" s="40"/>
      <c r="DH29" s="40"/>
      <c r="DI29" s="40"/>
      <c r="DJ29" s="40"/>
      <c r="DK29" s="40"/>
      <c r="DL29" s="40"/>
      <c r="DM29" s="40"/>
      <c r="DN29" s="40"/>
      <c r="DO29" s="40"/>
      <c r="DP29" s="40"/>
      <c r="DQ29" s="36"/>
    </row>
    <row r="30" spans="1:121" ht="15.75" x14ac:dyDescent="0.25">
      <c r="A30" s="28"/>
      <c r="B30" s="41" t="s">
        <v>16</v>
      </c>
      <c r="C30" s="30"/>
      <c r="D30" s="30"/>
      <c r="E30" s="30"/>
      <c r="F30" s="92"/>
      <c r="G30" s="74"/>
      <c r="H30" s="74"/>
      <c r="I30" s="32"/>
      <c r="J30" s="74"/>
      <c r="K30" s="74"/>
      <c r="L30" s="74"/>
      <c r="M30" s="32"/>
      <c r="N30" s="74"/>
      <c r="O30" s="74"/>
      <c r="P30" s="74"/>
      <c r="Q30" s="32"/>
      <c r="R30" s="74"/>
      <c r="S30" s="74"/>
      <c r="T30" s="74"/>
      <c r="U30" s="32"/>
      <c r="V30" s="74"/>
      <c r="W30" s="74"/>
      <c r="X30" s="74"/>
      <c r="Y30" s="32"/>
      <c r="Z30" s="74"/>
      <c r="AA30" s="74"/>
      <c r="AB30" s="74"/>
      <c r="AC30" s="32"/>
      <c r="AD30" s="74"/>
      <c r="AE30" s="74"/>
      <c r="AF30" s="74"/>
      <c r="AG30" s="32"/>
      <c r="AH30" s="74"/>
      <c r="AI30" s="74"/>
      <c r="AJ30" s="74"/>
      <c r="AK30" s="32"/>
      <c r="AL30" s="74"/>
      <c r="AM30" s="74"/>
      <c r="AN30" s="74"/>
      <c r="AO30" s="32"/>
      <c r="AP30" s="74"/>
      <c r="AQ30" s="74"/>
      <c r="AR30" s="74"/>
      <c r="AS30" s="32"/>
      <c r="AT30" s="74"/>
      <c r="AU30" s="74"/>
      <c r="AV30" s="74"/>
      <c r="AW30" s="32"/>
      <c r="AX30" s="74"/>
      <c r="AY30" s="74"/>
      <c r="AZ30" s="74"/>
      <c r="BA30" s="32"/>
      <c r="BB30" s="74"/>
      <c r="BC30" s="74"/>
      <c r="BD30" s="74"/>
      <c r="BE30" s="32"/>
      <c r="BF30" s="74"/>
      <c r="BG30" s="74"/>
      <c r="BH30" s="74"/>
      <c r="BI30" s="32"/>
      <c r="BJ30" s="74"/>
      <c r="BK30" s="74"/>
      <c r="BL30" s="74"/>
      <c r="BM30" s="32"/>
      <c r="BN30" s="74"/>
      <c r="BO30" s="74"/>
      <c r="BP30" s="74"/>
      <c r="BQ30" s="32"/>
      <c r="BR30" s="74"/>
      <c r="BS30" s="74"/>
      <c r="BT30" s="74"/>
      <c r="BU30" s="32"/>
      <c r="BV30" s="74"/>
      <c r="BW30" s="74"/>
      <c r="BX30" s="74"/>
      <c r="BY30" s="32"/>
      <c r="BZ30" s="74"/>
      <c r="CA30" s="74"/>
      <c r="CB30" s="74"/>
      <c r="CC30" s="32"/>
      <c r="CD30" s="74"/>
      <c r="CE30" s="74"/>
      <c r="CF30" s="74"/>
      <c r="CG30" s="32"/>
      <c r="CH30" s="74"/>
      <c r="CI30" s="74"/>
      <c r="CJ30" s="74"/>
      <c r="CK30" s="32"/>
      <c r="CL30" s="74"/>
      <c r="CM30" s="74"/>
      <c r="CN30" s="74"/>
      <c r="CO30" s="32"/>
      <c r="CP30" s="74"/>
      <c r="CQ30" s="74"/>
      <c r="CR30" s="74"/>
      <c r="CS30" s="32"/>
      <c r="CT30" s="74"/>
      <c r="CU30" s="74"/>
      <c r="CV30" s="74"/>
      <c r="CW30" s="32"/>
      <c r="CX30" s="74"/>
      <c r="CY30" s="74"/>
      <c r="CZ30" s="74"/>
      <c r="DA30" s="32"/>
      <c r="DB30" s="74"/>
      <c r="DC30" s="74"/>
      <c r="DD30" s="74"/>
      <c r="DE30" s="32"/>
      <c r="DF30" s="32"/>
      <c r="DG30" s="32"/>
      <c r="DH30" s="32"/>
      <c r="DI30" s="32"/>
      <c r="DJ30" s="32"/>
      <c r="DK30" s="32"/>
      <c r="DL30" s="32"/>
      <c r="DM30" s="32"/>
      <c r="DN30" s="32"/>
      <c r="DO30" s="32"/>
      <c r="DP30" s="40"/>
      <c r="DQ30" s="36"/>
    </row>
    <row r="31" spans="1:121" ht="15.75" x14ac:dyDescent="0.25">
      <c r="A31" s="28"/>
      <c r="B31" s="29" t="s">
        <v>17</v>
      </c>
      <c r="C31" s="30"/>
      <c r="D31" s="30"/>
      <c r="E31" s="30"/>
      <c r="F31" s="92"/>
      <c r="G31" s="77"/>
      <c r="H31" s="77"/>
      <c r="I31" s="40"/>
      <c r="J31" s="77"/>
      <c r="K31" s="77"/>
      <c r="L31" s="77"/>
      <c r="M31" s="40"/>
      <c r="N31" s="77"/>
      <c r="O31" s="77"/>
      <c r="P31" s="77"/>
      <c r="Q31" s="40"/>
      <c r="R31" s="77"/>
      <c r="S31" s="77"/>
      <c r="T31" s="77"/>
      <c r="U31" s="40"/>
      <c r="V31" s="77"/>
      <c r="W31" s="77"/>
      <c r="X31" s="77"/>
      <c r="Y31" s="40"/>
      <c r="Z31" s="77"/>
      <c r="AA31" s="77"/>
      <c r="AB31" s="77"/>
      <c r="AC31" s="40"/>
      <c r="AD31" s="77"/>
      <c r="AE31" s="77"/>
      <c r="AF31" s="77"/>
      <c r="AG31" s="40"/>
      <c r="AH31" s="77"/>
      <c r="AI31" s="77"/>
      <c r="AJ31" s="77"/>
      <c r="AK31" s="40"/>
      <c r="AL31" s="77"/>
      <c r="AM31" s="77"/>
      <c r="AN31" s="77"/>
      <c r="AO31" s="40"/>
      <c r="AP31" s="77"/>
      <c r="AQ31" s="77"/>
      <c r="AR31" s="77"/>
      <c r="AS31" s="40"/>
      <c r="AT31" s="77"/>
      <c r="AU31" s="77"/>
      <c r="AV31" s="77"/>
      <c r="AW31" s="40"/>
      <c r="AX31" s="77"/>
      <c r="AY31" s="77"/>
      <c r="AZ31" s="77"/>
      <c r="BA31" s="40"/>
      <c r="BB31" s="77"/>
      <c r="BC31" s="77"/>
      <c r="BD31" s="77"/>
      <c r="BE31" s="40"/>
      <c r="BF31" s="77"/>
      <c r="BG31" s="77"/>
      <c r="BH31" s="77"/>
      <c r="BI31" s="40"/>
      <c r="BJ31" s="77"/>
      <c r="BK31" s="77"/>
      <c r="BL31" s="77"/>
      <c r="BM31" s="40"/>
      <c r="BN31" s="77"/>
      <c r="BO31" s="77"/>
      <c r="BP31" s="77"/>
      <c r="BQ31" s="40"/>
      <c r="BR31" s="77"/>
      <c r="BS31" s="77"/>
      <c r="BT31" s="77"/>
      <c r="BU31" s="40"/>
      <c r="BV31" s="77"/>
      <c r="BW31" s="77"/>
      <c r="BX31" s="77"/>
      <c r="BY31" s="40"/>
      <c r="BZ31" s="77"/>
      <c r="CA31" s="77"/>
      <c r="CB31" s="77"/>
      <c r="CC31" s="40"/>
      <c r="CD31" s="77"/>
      <c r="CE31" s="77"/>
      <c r="CF31" s="77"/>
      <c r="CG31" s="40"/>
      <c r="CH31" s="77"/>
      <c r="CI31" s="77"/>
      <c r="CJ31" s="77"/>
      <c r="CK31" s="40"/>
      <c r="CL31" s="77"/>
      <c r="CM31" s="77"/>
      <c r="CN31" s="77"/>
      <c r="CO31" s="40"/>
      <c r="CP31" s="77"/>
      <c r="CQ31" s="77"/>
      <c r="CR31" s="77"/>
      <c r="CS31" s="40"/>
      <c r="CT31" s="77"/>
      <c r="CU31" s="77"/>
      <c r="CV31" s="77"/>
      <c r="CW31" s="40"/>
      <c r="CX31" s="77"/>
      <c r="CY31" s="77"/>
      <c r="CZ31" s="77"/>
      <c r="DA31" s="40"/>
      <c r="DB31" s="77"/>
      <c r="DC31" s="77"/>
      <c r="DD31" s="77"/>
      <c r="DE31" s="40"/>
      <c r="DF31" s="40"/>
      <c r="DG31" s="40"/>
      <c r="DH31" s="40"/>
      <c r="DI31" s="40"/>
      <c r="DJ31" s="40"/>
      <c r="DK31" s="40"/>
      <c r="DL31" s="40"/>
      <c r="DM31" s="40"/>
      <c r="DN31" s="40"/>
      <c r="DO31" s="40"/>
      <c r="DP31" s="40"/>
      <c r="DQ31" s="36"/>
    </row>
    <row r="32" spans="1:121" ht="15.75" x14ac:dyDescent="0.25">
      <c r="A32" s="28"/>
      <c r="B32" s="33" t="s">
        <v>1</v>
      </c>
      <c r="C32" s="99"/>
      <c r="D32" s="99"/>
      <c r="E32" s="99"/>
      <c r="F32" s="95"/>
      <c r="G32" s="73"/>
      <c r="H32" s="73"/>
      <c r="I32" s="42"/>
      <c r="J32" s="73"/>
      <c r="K32" s="73"/>
      <c r="L32" s="73"/>
      <c r="M32" s="42"/>
      <c r="N32" s="73"/>
      <c r="O32" s="73"/>
      <c r="P32" s="73"/>
      <c r="Q32" s="42"/>
      <c r="R32" s="73"/>
      <c r="S32" s="73"/>
      <c r="T32" s="73"/>
      <c r="U32" s="42"/>
      <c r="V32" s="73"/>
      <c r="W32" s="73"/>
      <c r="X32" s="73"/>
      <c r="Y32" s="42"/>
      <c r="Z32" s="73"/>
      <c r="AA32" s="73"/>
      <c r="AB32" s="73"/>
      <c r="AC32" s="42"/>
      <c r="AD32" s="73"/>
      <c r="AE32" s="73"/>
      <c r="AF32" s="73"/>
      <c r="AG32" s="42"/>
      <c r="AH32" s="73"/>
      <c r="AI32" s="73"/>
      <c r="AJ32" s="73"/>
      <c r="AK32" s="42"/>
      <c r="AL32" s="73"/>
      <c r="AM32" s="73"/>
      <c r="AN32" s="73"/>
      <c r="AO32" s="42"/>
      <c r="AP32" s="73"/>
      <c r="AQ32" s="73"/>
      <c r="AR32" s="73"/>
      <c r="AS32" s="42"/>
      <c r="AT32" s="73"/>
      <c r="AU32" s="73"/>
      <c r="AV32" s="73"/>
      <c r="AW32" s="42"/>
      <c r="AX32" s="73"/>
      <c r="AY32" s="73"/>
      <c r="AZ32" s="73"/>
      <c r="BA32" s="42"/>
      <c r="BB32" s="73"/>
      <c r="BC32" s="73"/>
      <c r="BD32" s="73"/>
      <c r="BE32" s="42"/>
      <c r="BF32" s="73"/>
      <c r="BG32" s="73"/>
      <c r="BH32" s="73"/>
      <c r="BI32" s="42"/>
      <c r="BJ32" s="73"/>
      <c r="BK32" s="73"/>
      <c r="BL32" s="73"/>
      <c r="BM32" s="42"/>
      <c r="BN32" s="73"/>
      <c r="BO32" s="73"/>
      <c r="BP32" s="73"/>
      <c r="BQ32" s="42"/>
      <c r="BR32" s="73"/>
      <c r="BS32" s="73"/>
      <c r="BT32" s="73"/>
      <c r="BU32" s="42"/>
      <c r="BV32" s="73"/>
      <c r="BW32" s="73"/>
      <c r="BX32" s="73"/>
      <c r="BY32" s="42"/>
      <c r="BZ32" s="73"/>
      <c r="CA32" s="73"/>
      <c r="CB32" s="73"/>
      <c r="CC32" s="42"/>
      <c r="CD32" s="73"/>
      <c r="CE32" s="73"/>
      <c r="CF32" s="73"/>
      <c r="CG32" s="42"/>
      <c r="CH32" s="73"/>
      <c r="CI32" s="73"/>
      <c r="CJ32" s="73"/>
      <c r="CK32" s="42"/>
      <c r="CL32" s="73"/>
      <c r="CM32" s="73"/>
      <c r="CN32" s="73"/>
      <c r="CO32" s="42"/>
      <c r="CP32" s="73"/>
      <c r="CQ32" s="73"/>
      <c r="CR32" s="73"/>
      <c r="CS32" s="42"/>
      <c r="CT32" s="73"/>
      <c r="CU32" s="73"/>
      <c r="CV32" s="73"/>
      <c r="CW32" s="42"/>
      <c r="CX32" s="73"/>
      <c r="CY32" s="73"/>
      <c r="CZ32" s="73"/>
      <c r="DA32" s="42"/>
      <c r="DB32" s="73"/>
      <c r="DC32" s="73"/>
      <c r="DD32" s="73"/>
      <c r="DE32" s="42"/>
      <c r="DF32" s="42"/>
      <c r="DG32" s="42"/>
      <c r="DH32" s="42"/>
      <c r="DI32" s="42"/>
      <c r="DJ32" s="42"/>
      <c r="DK32" s="42"/>
      <c r="DL32" s="42"/>
      <c r="DM32" s="42"/>
      <c r="DN32" s="42"/>
      <c r="DO32" s="42"/>
      <c r="DP32" s="42"/>
      <c r="DQ32" s="36"/>
    </row>
    <row r="33" spans="1:121" ht="15.75" x14ac:dyDescent="0.25">
      <c r="A33" s="28"/>
      <c r="B33" s="29" t="s">
        <v>2</v>
      </c>
      <c r="C33" s="30"/>
      <c r="D33" s="30"/>
      <c r="E33" s="30"/>
      <c r="F33" s="92"/>
      <c r="G33" s="74"/>
      <c r="H33" s="74"/>
      <c r="I33" s="32"/>
      <c r="J33" s="74"/>
      <c r="K33" s="74"/>
      <c r="L33" s="74"/>
      <c r="M33" s="32"/>
      <c r="N33" s="74"/>
      <c r="O33" s="74"/>
      <c r="P33" s="74"/>
      <c r="Q33" s="32"/>
      <c r="R33" s="74"/>
      <c r="S33" s="74"/>
      <c r="T33" s="74"/>
      <c r="U33" s="32"/>
      <c r="V33" s="74"/>
      <c r="W33" s="74"/>
      <c r="X33" s="74"/>
      <c r="Y33" s="32"/>
      <c r="Z33" s="74"/>
      <c r="AA33" s="74"/>
      <c r="AB33" s="74"/>
      <c r="AC33" s="32"/>
      <c r="AD33" s="74"/>
      <c r="AE33" s="74"/>
      <c r="AF33" s="74"/>
      <c r="AG33" s="32"/>
      <c r="AH33" s="74"/>
      <c r="AI33" s="74"/>
      <c r="AJ33" s="74"/>
      <c r="AK33" s="32"/>
      <c r="AL33" s="74"/>
      <c r="AM33" s="74"/>
      <c r="AN33" s="74"/>
      <c r="AO33" s="32"/>
      <c r="AP33" s="74"/>
      <c r="AQ33" s="74"/>
      <c r="AR33" s="74"/>
      <c r="AS33" s="32"/>
      <c r="AT33" s="74"/>
      <c r="AU33" s="74"/>
      <c r="AV33" s="74"/>
      <c r="AW33" s="32"/>
      <c r="AX33" s="74"/>
      <c r="AY33" s="74"/>
      <c r="AZ33" s="74"/>
      <c r="BA33" s="32"/>
      <c r="BB33" s="74"/>
      <c r="BC33" s="74"/>
      <c r="BD33" s="74"/>
      <c r="BE33" s="32"/>
      <c r="BF33" s="74"/>
      <c r="BG33" s="74"/>
      <c r="BH33" s="74"/>
      <c r="BI33" s="32"/>
      <c r="BJ33" s="74"/>
      <c r="BK33" s="74"/>
      <c r="BL33" s="74"/>
      <c r="BM33" s="32"/>
      <c r="BN33" s="74"/>
      <c r="BO33" s="74"/>
      <c r="BP33" s="74"/>
      <c r="BQ33" s="32"/>
      <c r="BR33" s="74"/>
      <c r="BS33" s="74"/>
      <c r="BT33" s="74"/>
      <c r="BU33" s="32"/>
      <c r="BV33" s="74"/>
      <c r="BW33" s="74"/>
      <c r="BX33" s="74"/>
      <c r="BY33" s="32"/>
      <c r="BZ33" s="74"/>
      <c r="CA33" s="74"/>
      <c r="CB33" s="74"/>
      <c r="CC33" s="32"/>
      <c r="CD33" s="74"/>
      <c r="CE33" s="74"/>
      <c r="CF33" s="74"/>
      <c r="CG33" s="32"/>
      <c r="CH33" s="74"/>
      <c r="CI33" s="74"/>
      <c r="CJ33" s="74"/>
      <c r="CK33" s="32"/>
      <c r="CL33" s="74"/>
      <c r="CM33" s="74"/>
      <c r="CN33" s="74"/>
      <c r="CO33" s="32"/>
      <c r="CP33" s="74"/>
      <c r="CQ33" s="74"/>
      <c r="CR33" s="74"/>
      <c r="CS33" s="32"/>
      <c r="CT33" s="74"/>
      <c r="CU33" s="74"/>
      <c r="CV33" s="74"/>
      <c r="CW33" s="32"/>
      <c r="CX33" s="74"/>
      <c r="CY33" s="74"/>
      <c r="CZ33" s="74"/>
      <c r="DA33" s="32"/>
      <c r="DB33" s="74"/>
      <c r="DC33" s="74"/>
      <c r="DD33" s="74"/>
      <c r="DE33" s="32"/>
      <c r="DF33" s="32"/>
      <c r="DG33" s="32"/>
      <c r="DH33" s="32"/>
      <c r="DI33" s="32"/>
      <c r="DJ33" s="32"/>
      <c r="DK33" s="32"/>
      <c r="DL33" s="32"/>
      <c r="DM33" s="32"/>
      <c r="DN33" s="32"/>
      <c r="DO33" s="32"/>
      <c r="DP33" s="32"/>
      <c r="DQ33" s="36"/>
    </row>
    <row r="34" spans="1:121" ht="15.75" x14ac:dyDescent="0.25">
      <c r="A34" s="28"/>
      <c r="B34" s="29" t="s">
        <v>50</v>
      </c>
      <c r="C34" s="30"/>
      <c r="D34" s="30"/>
      <c r="E34" s="30"/>
      <c r="F34" s="92"/>
      <c r="G34" s="74"/>
      <c r="H34" s="74"/>
      <c r="I34" s="32"/>
      <c r="J34" s="74"/>
      <c r="K34" s="74"/>
      <c r="L34" s="74"/>
      <c r="M34" s="32"/>
      <c r="N34" s="74"/>
      <c r="O34" s="74"/>
      <c r="P34" s="74"/>
      <c r="Q34" s="32"/>
      <c r="R34" s="74"/>
      <c r="S34" s="74"/>
      <c r="T34" s="74"/>
      <c r="U34" s="32"/>
      <c r="V34" s="74"/>
      <c r="W34" s="74"/>
      <c r="X34" s="74"/>
      <c r="Y34" s="32"/>
      <c r="Z34" s="74"/>
      <c r="AA34" s="74"/>
      <c r="AB34" s="74"/>
      <c r="AC34" s="32"/>
      <c r="AD34" s="74"/>
      <c r="AE34" s="74"/>
      <c r="AF34" s="74"/>
      <c r="AG34" s="32"/>
      <c r="AH34" s="74"/>
      <c r="AI34" s="74"/>
      <c r="AJ34" s="74"/>
      <c r="AK34" s="32"/>
      <c r="AL34" s="74"/>
      <c r="AM34" s="74"/>
      <c r="AN34" s="74"/>
      <c r="AO34" s="32"/>
      <c r="AP34" s="74"/>
      <c r="AQ34" s="74"/>
      <c r="AR34" s="74"/>
      <c r="AS34" s="32"/>
      <c r="AT34" s="74"/>
      <c r="AU34" s="74"/>
      <c r="AV34" s="74"/>
      <c r="AW34" s="32"/>
      <c r="AX34" s="74"/>
      <c r="AY34" s="74"/>
      <c r="AZ34" s="74"/>
      <c r="BA34" s="32"/>
      <c r="BB34" s="74"/>
      <c r="BC34" s="74"/>
      <c r="BD34" s="74"/>
      <c r="BE34" s="32"/>
      <c r="BF34" s="74"/>
      <c r="BG34" s="74"/>
      <c r="BH34" s="74"/>
      <c r="BI34" s="32"/>
      <c r="BJ34" s="74"/>
      <c r="BK34" s="74"/>
      <c r="BL34" s="74"/>
      <c r="BM34" s="32"/>
      <c r="BN34" s="74"/>
      <c r="BO34" s="74"/>
      <c r="BP34" s="74"/>
      <c r="BQ34" s="32"/>
      <c r="BR34" s="74"/>
      <c r="BS34" s="74"/>
      <c r="BT34" s="74"/>
      <c r="BU34" s="32"/>
      <c r="BV34" s="74"/>
      <c r="BW34" s="74"/>
      <c r="BX34" s="74"/>
      <c r="BY34" s="32"/>
      <c r="BZ34" s="74"/>
      <c r="CA34" s="74"/>
      <c r="CB34" s="74"/>
      <c r="CC34" s="32"/>
      <c r="CD34" s="74"/>
      <c r="CE34" s="74"/>
      <c r="CF34" s="74"/>
      <c r="CG34" s="32"/>
      <c r="CH34" s="74"/>
      <c r="CI34" s="74"/>
      <c r="CJ34" s="74"/>
      <c r="CK34" s="32"/>
      <c r="CL34" s="74"/>
      <c r="CM34" s="74"/>
      <c r="CN34" s="74"/>
      <c r="CO34" s="32"/>
      <c r="CP34" s="74"/>
      <c r="CQ34" s="74"/>
      <c r="CR34" s="74"/>
      <c r="CS34" s="32"/>
      <c r="CT34" s="74"/>
      <c r="CU34" s="74"/>
      <c r="CV34" s="74"/>
      <c r="CW34" s="32"/>
      <c r="CX34" s="74"/>
      <c r="CY34" s="74"/>
      <c r="CZ34" s="74"/>
      <c r="DA34" s="32"/>
      <c r="DB34" s="74"/>
      <c r="DC34" s="74"/>
      <c r="DD34" s="74"/>
      <c r="DE34" s="32"/>
      <c r="DF34" s="32"/>
      <c r="DG34" s="32"/>
      <c r="DH34" s="32"/>
      <c r="DI34" s="32"/>
      <c r="DJ34" s="32"/>
      <c r="DK34" s="32"/>
      <c r="DL34" s="32"/>
      <c r="DM34" s="32"/>
      <c r="DN34" s="32"/>
      <c r="DO34" s="32"/>
      <c r="DP34" s="32"/>
      <c r="DQ34" s="36"/>
    </row>
    <row r="35" spans="1:121" ht="15.75" x14ac:dyDescent="0.25">
      <c r="A35" s="28"/>
      <c r="B35" s="162" t="s">
        <v>183</v>
      </c>
      <c r="C35" s="30"/>
      <c r="D35" s="86"/>
      <c r="E35" s="86"/>
      <c r="F35" s="92"/>
      <c r="G35" s="74"/>
      <c r="H35" s="74"/>
      <c r="I35" s="32"/>
      <c r="J35" s="74"/>
      <c r="K35" s="74"/>
      <c r="L35" s="74"/>
      <c r="M35" s="32"/>
      <c r="N35" s="74"/>
      <c r="O35" s="74"/>
      <c r="P35" s="74"/>
      <c r="Q35" s="32"/>
      <c r="R35" s="74"/>
      <c r="S35" s="74"/>
      <c r="T35" s="74"/>
      <c r="U35" s="32"/>
      <c r="V35" s="74"/>
      <c r="W35" s="74"/>
      <c r="X35" s="74"/>
      <c r="Y35" s="32"/>
      <c r="Z35" s="74"/>
      <c r="AA35" s="74"/>
      <c r="AB35" s="74"/>
      <c r="AC35" s="32"/>
      <c r="AD35" s="74"/>
      <c r="AE35" s="74"/>
      <c r="AF35" s="74"/>
      <c r="AG35" s="32"/>
      <c r="AH35" s="74"/>
      <c r="AI35" s="74"/>
      <c r="AJ35" s="74"/>
      <c r="AK35" s="32"/>
      <c r="AL35" s="74"/>
      <c r="AM35" s="74"/>
      <c r="AN35" s="74"/>
      <c r="AO35" s="32"/>
      <c r="AP35" s="74"/>
      <c r="AQ35" s="74"/>
      <c r="AR35" s="74"/>
      <c r="AS35" s="32"/>
      <c r="AT35" s="74"/>
      <c r="AU35" s="74"/>
      <c r="AV35" s="74"/>
      <c r="AW35" s="32"/>
      <c r="AX35" s="74"/>
      <c r="AY35" s="74"/>
      <c r="AZ35" s="74"/>
      <c r="BA35" s="32"/>
      <c r="BB35" s="74"/>
      <c r="BC35" s="74"/>
      <c r="BD35" s="74"/>
      <c r="BE35" s="32"/>
      <c r="BF35" s="74"/>
      <c r="BG35" s="74"/>
      <c r="BH35" s="74"/>
      <c r="BI35" s="32"/>
      <c r="BJ35" s="74"/>
      <c r="BK35" s="74"/>
      <c r="BL35" s="74"/>
      <c r="BM35" s="32"/>
      <c r="BN35" s="74"/>
      <c r="BO35" s="74"/>
      <c r="BP35" s="74"/>
      <c r="BQ35" s="32"/>
      <c r="BR35" s="74"/>
      <c r="BS35" s="74"/>
      <c r="BT35" s="74"/>
      <c r="BU35" s="32"/>
      <c r="BV35" s="74"/>
      <c r="BW35" s="74"/>
      <c r="BX35" s="74"/>
      <c r="BY35" s="32"/>
      <c r="BZ35" s="74"/>
      <c r="CA35" s="74"/>
      <c r="CB35" s="74"/>
      <c r="CC35" s="32"/>
      <c r="CD35" s="74"/>
      <c r="CE35" s="74"/>
      <c r="CF35" s="74"/>
      <c r="CG35" s="32"/>
      <c r="CH35" s="74"/>
      <c r="CI35" s="74"/>
      <c r="CJ35" s="74"/>
      <c r="CK35" s="32"/>
      <c r="CL35" s="74"/>
      <c r="CM35" s="74"/>
      <c r="CN35" s="74"/>
      <c r="CO35" s="32"/>
      <c r="CP35" s="74"/>
      <c r="CQ35" s="74"/>
      <c r="CR35" s="74"/>
      <c r="CS35" s="32"/>
      <c r="CT35" s="74"/>
      <c r="CU35" s="74"/>
      <c r="CV35" s="74"/>
      <c r="CW35" s="32"/>
      <c r="CX35" s="74"/>
      <c r="CY35" s="74"/>
      <c r="CZ35" s="74"/>
      <c r="DA35" s="32"/>
      <c r="DB35" s="74"/>
      <c r="DC35" s="74"/>
      <c r="DD35" s="74"/>
      <c r="DE35" s="32"/>
      <c r="DF35" s="32"/>
      <c r="DG35" s="32"/>
      <c r="DH35" s="32"/>
      <c r="DI35" s="32"/>
      <c r="DJ35" s="32"/>
      <c r="DK35" s="32"/>
      <c r="DL35" s="32"/>
      <c r="DM35" s="32"/>
      <c r="DN35" s="32"/>
      <c r="DO35" s="32"/>
      <c r="DP35" s="32"/>
      <c r="DQ35" s="36"/>
    </row>
    <row r="36" spans="1:121" s="154" customFormat="1" ht="15.75" x14ac:dyDescent="0.25">
      <c r="A36" s="150"/>
      <c r="B36" s="33" t="s">
        <v>164</v>
      </c>
      <c r="C36" s="99"/>
      <c r="D36" s="97"/>
      <c r="E36" s="97"/>
      <c r="F36" s="95"/>
      <c r="G36" s="151"/>
      <c r="H36" s="151"/>
      <c r="I36" s="152"/>
      <c r="J36" s="151"/>
      <c r="K36" s="151"/>
      <c r="L36" s="151"/>
      <c r="M36" s="152"/>
      <c r="N36" s="151"/>
      <c r="O36" s="151"/>
      <c r="P36" s="151"/>
      <c r="Q36" s="152"/>
      <c r="R36" s="151"/>
      <c r="S36" s="151"/>
      <c r="T36" s="151"/>
      <c r="U36" s="152"/>
      <c r="V36" s="151"/>
      <c r="W36" s="151"/>
      <c r="X36" s="151"/>
      <c r="Y36" s="152"/>
      <c r="Z36" s="151"/>
      <c r="AA36" s="151"/>
      <c r="AB36" s="151"/>
      <c r="AC36" s="152"/>
      <c r="AD36" s="151"/>
      <c r="AE36" s="151"/>
      <c r="AF36" s="151"/>
      <c r="AG36" s="152"/>
      <c r="AH36" s="151"/>
      <c r="AI36" s="151"/>
      <c r="AJ36" s="151"/>
      <c r="AK36" s="152"/>
      <c r="AL36" s="151"/>
      <c r="AM36" s="151"/>
      <c r="AN36" s="151"/>
      <c r="AO36" s="152"/>
      <c r="AP36" s="151"/>
      <c r="AQ36" s="151"/>
      <c r="AR36" s="151"/>
      <c r="AS36" s="152"/>
      <c r="AT36" s="151"/>
      <c r="AU36" s="151"/>
      <c r="AV36" s="151"/>
      <c r="AW36" s="152"/>
      <c r="AX36" s="151"/>
      <c r="AY36" s="151"/>
      <c r="AZ36" s="151"/>
      <c r="BA36" s="152"/>
      <c r="BB36" s="151"/>
      <c r="BC36" s="151"/>
      <c r="BD36" s="151"/>
      <c r="BE36" s="152"/>
      <c r="BF36" s="151"/>
      <c r="BG36" s="151"/>
      <c r="BH36" s="151"/>
      <c r="BI36" s="152"/>
      <c r="BJ36" s="151"/>
      <c r="BK36" s="151"/>
      <c r="BL36" s="151"/>
      <c r="BM36" s="152"/>
      <c r="BN36" s="151"/>
      <c r="BO36" s="151"/>
      <c r="BP36" s="151"/>
      <c r="BQ36" s="152"/>
      <c r="BR36" s="151"/>
      <c r="BS36" s="151"/>
      <c r="BT36" s="151"/>
      <c r="BU36" s="152"/>
      <c r="BV36" s="151"/>
      <c r="BW36" s="151"/>
      <c r="BX36" s="151"/>
      <c r="BY36" s="152"/>
      <c r="BZ36" s="151"/>
      <c r="CA36" s="151"/>
      <c r="CB36" s="151"/>
      <c r="CC36" s="152"/>
      <c r="CD36" s="151"/>
      <c r="CE36" s="151"/>
      <c r="CF36" s="151"/>
      <c r="CG36" s="152"/>
      <c r="CH36" s="151"/>
      <c r="CI36" s="151"/>
      <c r="CJ36" s="151"/>
      <c r="CK36" s="152"/>
      <c r="CL36" s="151"/>
      <c r="CM36" s="151"/>
      <c r="CN36" s="151"/>
      <c r="CO36" s="152"/>
      <c r="CP36" s="151"/>
      <c r="CQ36" s="151"/>
      <c r="CR36" s="151"/>
      <c r="CS36" s="152"/>
      <c r="CT36" s="151"/>
      <c r="CU36" s="151"/>
      <c r="CV36" s="151"/>
      <c r="CW36" s="152"/>
      <c r="CX36" s="151"/>
      <c r="CY36" s="151"/>
      <c r="CZ36" s="151"/>
      <c r="DA36" s="152"/>
      <c r="DB36" s="151"/>
      <c r="DC36" s="151"/>
      <c r="DD36" s="151"/>
      <c r="DE36" s="152"/>
      <c r="DF36" s="152"/>
      <c r="DG36" s="152"/>
      <c r="DH36" s="152"/>
      <c r="DI36" s="152"/>
      <c r="DJ36" s="152"/>
      <c r="DK36" s="152"/>
      <c r="DL36" s="152"/>
      <c r="DM36" s="152"/>
      <c r="DN36" s="152"/>
      <c r="DO36" s="152"/>
      <c r="DP36" s="152"/>
      <c r="DQ36" s="153"/>
    </row>
    <row r="37" spans="1:121" ht="15.75" x14ac:dyDescent="0.25">
      <c r="A37" s="28"/>
      <c r="B37" s="29" t="s">
        <v>165</v>
      </c>
      <c r="C37" s="30"/>
      <c r="D37" s="86"/>
      <c r="E37" s="86"/>
      <c r="F37" s="92"/>
      <c r="G37" s="74"/>
      <c r="H37" s="74"/>
      <c r="I37" s="32"/>
      <c r="J37" s="74"/>
      <c r="K37" s="74"/>
      <c r="L37" s="74"/>
      <c r="M37" s="32"/>
      <c r="N37" s="74"/>
      <c r="O37" s="74"/>
      <c r="P37" s="74"/>
      <c r="Q37" s="32"/>
      <c r="R37" s="74"/>
      <c r="S37" s="74"/>
      <c r="T37" s="74"/>
      <c r="U37" s="32"/>
      <c r="V37" s="74"/>
      <c r="W37" s="74"/>
      <c r="X37" s="74"/>
      <c r="Y37" s="32"/>
      <c r="Z37" s="74"/>
      <c r="AA37" s="74"/>
      <c r="AB37" s="74"/>
      <c r="AC37" s="32"/>
      <c r="AD37" s="74"/>
      <c r="AE37" s="74"/>
      <c r="AF37" s="74"/>
      <c r="AG37" s="32"/>
      <c r="AH37" s="74"/>
      <c r="AI37" s="74"/>
      <c r="AJ37" s="74"/>
      <c r="AK37" s="32"/>
      <c r="AL37" s="74"/>
      <c r="AM37" s="74"/>
      <c r="AN37" s="74"/>
      <c r="AO37" s="32"/>
      <c r="AP37" s="74"/>
      <c r="AQ37" s="74"/>
      <c r="AR37" s="74"/>
      <c r="AS37" s="32"/>
      <c r="AT37" s="74"/>
      <c r="AU37" s="74"/>
      <c r="AV37" s="74"/>
      <c r="AW37" s="32"/>
      <c r="AX37" s="74"/>
      <c r="AY37" s="74"/>
      <c r="AZ37" s="74"/>
      <c r="BA37" s="32"/>
      <c r="BB37" s="74"/>
      <c r="BC37" s="74"/>
      <c r="BD37" s="74"/>
      <c r="BE37" s="32"/>
      <c r="BF37" s="74"/>
      <c r="BG37" s="74"/>
      <c r="BH37" s="74"/>
      <c r="BI37" s="32"/>
      <c r="BJ37" s="74"/>
      <c r="BK37" s="74"/>
      <c r="BL37" s="74"/>
      <c r="BM37" s="32"/>
      <c r="BN37" s="74"/>
      <c r="BO37" s="74"/>
      <c r="BP37" s="74"/>
      <c r="BQ37" s="32"/>
      <c r="BR37" s="74"/>
      <c r="BS37" s="74"/>
      <c r="BT37" s="74"/>
      <c r="BU37" s="32"/>
      <c r="BV37" s="74"/>
      <c r="BW37" s="74"/>
      <c r="BX37" s="74"/>
      <c r="BY37" s="32"/>
      <c r="BZ37" s="74"/>
      <c r="CA37" s="74"/>
      <c r="CB37" s="74"/>
      <c r="CC37" s="32"/>
      <c r="CD37" s="74"/>
      <c r="CE37" s="74"/>
      <c r="CF37" s="74"/>
      <c r="CG37" s="32"/>
      <c r="CH37" s="74"/>
      <c r="CI37" s="74"/>
      <c r="CJ37" s="74"/>
      <c r="CK37" s="32"/>
      <c r="CL37" s="74"/>
      <c r="CM37" s="74"/>
      <c r="CN37" s="74"/>
      <c r="CO37" s="32"/>
      <c r="CP37" s="74"/>
      <c r="CQ37" s="74"/>
      <c r="CR37" s="74"/>
      <c r="CS37" s="32"/>
      <c r="CT37" s="74"/>
      <c r="CU37" s="74"/>
      <c r="CV37" s="74"/>
      <c r="CW37" s="32"/>
      <c r="CX37" s="74"/>
      <c r="CY37" s="74"/>
      <c r="CZ37" s="74"/>
      <c r="DA37" s="32"/>
      <c r="DB37" s="74"/>
      <c r="DC37" s="74"/>
      <c r="DD37" s="74"/>
      <c r="DE37" s="32"/>
      <c r="DF37" s="32"/>
      <c r="DG37" s="32"/>
      <c r="DH37" s="32"/>
      <c r="DI37" s="32"/>
      <c r="DJ37" s="32"/>
      <c r="DK37" s="32"/>
      <c r="DL37" s="32"/>
      <c r="DM37" s="32"/>
      <c r="DN37" s="32"/>
      <c r="DO37" s="32"/>
      <c r="DP37" s="32"/>
      <c r="DQ37" s="36"/>
    </row>
    <row r="38" spans="1:121" ht="15.75" x14ac:dyDescent="0.25">
      <c r="A38" s="28"/>
      <c r="B38" s="33" t="s">
        <v>33</v>
      </c>
      <c r="C38" s="99"/>
      <c r="D38" s="99"/>
      <c r="E38" s="99"/>
      <c r="F38" s="95"/>
      <c r="G38" s="73"/>
      <c r="H38" s="73"/>
      <c r="I38" s="42"/>
      <c r="J38" s="73"/>
      <c r="K38" s="73"/>
      <c r="L38" s="73"/>
      <c r="M38" s="42"/>
      <c r="N38" s="73"/>
      <c r="O38" s="73"/>
      <c r="P38" s="73"/>
      <c r="Q38" s="42"/>
      <c r="R38" s="73"/>
      <c r="S38" s="73"/>
      <c r="T38" s="73"/>
      <c r="U38" s="42"/>
      <c r="V38" s="73"/>
      <c r="W38" s="73"/>
      <c r="X38" s="73"/>
      <c r="Y38" s="42"/>
      <c r="Z38" s="73"/>
      <c r="AA38" s="73"/>
      <c r="AB38" s="73"/>
      <c r="AC38" s="42"/>
      <c r="AD38" s="73"/>
      <c r="AE38" s="73"/>
      <c r="AF38" s="73"/>
      <c r="AG38" s="42"/>
      <c r="AH38" s="73"/>
      <c r="AI38" s="73"/>
      <c r="AJ38" s="73"/>
      <c r="AK38" s="42"/>
      <c r="AL38" s="73"/>
      <c r="AM38" s="73"/>
      <c r="AN38" s="73"/>
      <c r="AO38" s="42"/>
      <c r="AP38" s="73"/>
      <c r="AQ38" s="73"/>
      <c r="AR38" s="73"/>
      <c r="AS38" s="42"/>
      <c r="AT38" s="73"/>
      <c r="AU38" s="73"/>
      <c r="AV38" s="73"/>
      <c r="AW38" s="42"/>
      <c r="AX38" s="73"/>
      <c r="AY38" s="73"/>
      <c r="AZ38" s="73"/>
      <c r="BA38" s="42"/>
      <c r="BB38" s="73"/>
      <c r="BC38" s="73"/>
      <c r="BD38" s="73"/>
      <c r="BE38" s="42"/>
      <c r="BF38" s="73"/>
      <c r="BG38" s="73"/>
      <c r="BH38" s="73"/>
      <c r="BI38" s="42"/>
      <c r="BJ38" s="73"/>
      <c r="BK38" s="73"/>
      <c r="BL38" s="73"/>
      <c r="BM38" s="42"/>
      <c r="BN38" s="73"/>
      <c r="BO38" s="73"/>
      <c r="BP38" s="73"/>
      <c r="BQ38" s="42"/>
      <c r="BR38" s="73"/>
      <c r="BS38" s="73"/>
      <c r="BT38" s="73"/>
      <c r="BU38" s="42"/>
      <c r="BV38" s="73"/>
      <c r="BW38" s="73"/>
      <c r="BX38" s="73"/>
      <c r="BY38" s="42"/>
      <c r="BZ38" s="73"/>
      <c r="CA38" s="73"/>
      <c r="CB38" s="73"/>
      <c r="CC38" s="42"/>
      <c r="CD38" s="73"/>
      <c r="CE38" s="73"/>
      <c r="CF38" s="73"/>
      <c r="CG38" s="42"/>
      <c r="CH38" s="73"/>
      <c r="CI38" s="73"/>
      <c r="CJ38" s="73"/>
      <c r="CK38" s="42"/>
      <c r="CL38" s="73"/>
      <c r="CM38" s="73"/>
      <c r="CN38" s="73"/>
      <c r="CO38" s="42"/>
      <c r="CP38" s="73"/>
      <c r="CQ38" s="73"/>
      <c r="CR38" s="73"/>
      <c r="CS38" s="42"/>
      <c r="CT38" s="73"/>
      <c r="CU38" s="73"/>
      <c r="CV38" s="73"/>
      <c r="CW38" s="42"/>
      <c r="CX38" s="73"/>
      <c r="CY38" s="73"/>
      <c r="CZ38" s="73"/>
      <c r="DA38" s="42"/>
      <c r="DB38" s="73"/>
      <c r="DC38" s="73"/>
      <c r="DD38" s="73"/>
      <c r="DE38" s="42"/>
      <c r="DF38" s="42"/>
      <c r="DG38" s="42"/>
      <c r="DH38" s="42"/>
      <c r="DI38" s="42"/>
      <c r="DJ38" s="42"/>
      <c r="DK38" s="42"/>
      <c r="DL38" s="42"/>
      <c r="DM38" s="42"/>
      <c r="DN38" s="42"/>
      <c r="DO38" s="42"/>
      <c r="DP38" s="42"/>
      <c r="DQ38" s="36"/>
    </row>
    <row r="39" spans="1:121" ht="14.1" customHeight="1" x14ac:dyDescent="0.25">
      <c r="A39" s="28"/>
      <c r="B39" s="33"/>
      <c r="C39" s="30"/>
      <c r="D39" s="86"/>
      <c r="E39" s="86"/>
      <c r="F39" s="92"/>
      <c r="G39" s="77"/>
      <c r="H39" s="77"/>
      <c r="I39" s="40"/>
      <c r="J39" s="77"/>
      <c r="K39" s="77"/>
      <c r="L39" s="77"/>
      <c r="M39" s="40"/>
      <c r="N39" s="72"/>
      <c r="O39" s="72"/>
      <c r="P39" s="77"/>
      <c r="Q39" s="40"/>
      <c r="R39" s="77"/>
      <c r="S39" s="77"/>
      <c r="T39" s="77"/>
      <c r="U39" s="40"/>
      <c r="V39" s="77"/>
      <c r="W39" s="77"/>
      <c r="X39" s="77"/>
      <c r="Y39" s="40"/>
      <c r="Z39" s="77"/>
      <c r="AA39" s="77"/>
      <c r="AB39" s="77"/>
      <c r="AC39" s="40"/>
      <c r="AD39" s="72"/>
      <c r="AE39" s="72"/>
      <c r="AF39" s="77"/>
      <c r="AG39" s="40"/>
      <c r="AH39" s="77"/>
      <c r="AI39" s="77"/>
      <c r="AJ39" s="77"/>
      <c r="AK39" s="40"/>
      <c r="AL39" s="77"/>
      <c r="AM39" s="77"/>
      <c r="AN39" s="77"/>
      <c r="AO39" s="40"/>
      <c r="AP39" s="77"/>
      <c r="AQ39" s="77"/>
      <c r="AR39" s="77"/>
      <c r="AS39" s="40"/>
      <c r="AT39" s="72"/>
      <c r="AU39" s="72"/>
      <c r="AV39" s="77"/>
      <c r="AW39" s="40"/>
      <c r="AX39" s="77"/>
      <c r="AY39" s="77"/>
      <c r="AZ39" s="77"/>
      <c r="BA39" s="40"/>
      <c r="BB39" s="77"/>
      <c r="BC39" s="77"/>
      <c r="BD39" s="77"/>
      <c r="BE39" s="40"/>
      <c r="BF39" s="77"/>
      <c r="BG39" s="77"/>
      <c r="BH39" s="77"/>
      <c r="BI39" s="40"/>
      <c r="BJ39" s="72"/>
      <c r="BK39" s="72"/>
      <c r="BL39" s="77"/>
      <c r="BM39" s="40"/>
      <c r="BN39" s="77"/>
      <c r="BO39" s="77"/>
      <c r="BP39" s="77"/>
      <c r="BQ39" s="40"/>
      <c r="BR39" s="77"/>
      <c r="BS39" s="77"/>
      <c r="BT39" s="77"/>
      <c r="BU39" s="40"/>
      <c r="BV39" s="77"/>
      <c r="BW39" s="77"/>
      <c r="BX39" s="77"/>
      <c r="BY39" s="40"/>
      <c r="BZ39" s="72"/>
      <c r="CA39" s="72"/>
      <c r="CB39" s="77"/>
      <c r="CC39" s="40"/>
      <c r="CD39" s="77"/>
      <c r="CE39" s="77"/>
      <c r="CF39" s="77"/>
      <c r="CG39" s="40"/>
      <c r="CH39" s="77"/>
      <c r="CI39" s="77"/>
      <c r="CJ39" s="77"/>
      <c r="CK39" s="40"/>
      <c r="CL39" s="77"/>
      <c r="CM39" s="77"/>
      <c r="CN39" s="77"/>
      <c r="CO39" s="40"/>
      <c r="CP39" s="72"/>
      <c r="CQ39" s="72"/>
      <c r="CR39" s="77"/>
      <c r="CS39" s="40"/>
      <c r="CT39" s="77"/>
      <c r="CU39" s="77"/>
      <c r="CV39" s="77"/>
      <c r="CW39" s="40"/>
      <c r="CX39" s="77"/>
      <c r="CY39" s="77"/>
      <c r="CZ39" s="77"/>
      <c r="DA39" s="40"/>
      <c r="DB39" s="77"/>
      <c r="DC39" s="77"/>
      <c r="DD39" s="77"/>
      <c r="DE39" s="40"/>
      <c r="DF39" s="40"/>
      <c r="DG39" s="40"/>
      <c r="DH39" s="40"/>
      <c r="DI39" s="40"/>
      <c r="DJ39" s="40"/>
      <c r="DK39" s="40"/>
      <c r="DL39" s="40"/>
      <c r="DM39" s="40"/>
      <c r="DN39" s="40"/>
      <c r="DO39" s="40"/>
      <c r="DP39" s="40"/>
      <c r="DQ39" s="36"/>
    </row>
    <row r="40" spans="1:121" ht="14.1" customHeight="1" x14ac:dyDescent="0.25">
      <c r="B40" s="5" t="s">
        <v>18</v>
      </c>
      <c r="C40" s="22"/>
      <c r="D40" s="87"/>
      <c r="E40" s="87"/>
      <c r="F40" s="91"/>
      <c r="G40" s="76"/>
      <c r="H40" s="76"/>
      <c r="I40" s="35"/>
      <c r="J40" s="76"/>
      <c r="K40" s="76"/>
      <c r="L40" s="76"/>
      <c r="M40" s="9"/>
      <c r="N40" s="76"/>
      <c r="O40" s="76"/>
      <c r="P40" s="76"/>
      <c r="Q40" s="9"/>
      <c r="R40" s="76"/>
      <c r="S40" s="76"/>
      <c r="T40" s="76"/>
      <c r="U40" s="9"/>
      <c r="V40" s="76"/>
      <c r="W40" s="76"/>
      <c r="X40" s="76"/>
      <c r="Y40" s="35"/>
      <c r="Z40" s="76"/>
      <c r="AA40" s="76"/>
      <c r="AB40" s="76"/>
      <c r="AC40" s="9"/>
      <c r="AD40" s="76"/>
      <c r="AE40" s="76"/>
      <c r="AF40" s="76"/>
      <c r="AG40" s="9"/>
      <c r="AH40" s="76"/>
      <c r="AI40" s="76"/>
      <c r="AJ40" s="76"/>
      <c r="AK40" s="9"/>
      <c r="AL40" s="76"/>
      <c r="AM40" s="76"/>
      <c r="AN40" s="76"/>
      <c r="AO40" s="35"/>
      <c r="AP40" s="76"/>
      <c r="AQ40" s="76"/>
      <c r="AR40" s="76"/>
      <c r="AS40" s="9"/>
      <c r="AT40" s="76"/>
      <c r="AU40" s="76"/>
      <c r="AV40" s="76"/>
      <c r="AW40" s="9"/>
      <c r="AX40" s="76"/>
      <c r="AY40" s="76"/>
      <c r="AZ40" s="76"/>
      <c r="BA40" s="9"/>
      <c r="BB40" s="76"/>
      <c r="BC40" s="76"/>
      <c r="BD40" s="76"/>
      <c r="BE40" s="35"/>
      <c r="BF40" s="76"/>
      <c r="BG40" s="76"/>
      <c r="BH40" s="76"/>
      <c r="BI40" s="9"/>
      <c r="BJ40" s="76"/>
      <c r="BK40" s="76"/>
      <c r="BL40" s="76"/>
      <c r="BM40" s="9"/>
      <c r="BN40" s="76"/>
      <c r="BO40" s="76"/>
      <c r="BP40" s="76"/>
      <c r="BQ40" s="9"/>
      <c r="BR40" s="76"/>
      <c r="BS40" s="76"/>
      <c r="BT40" s="76"/>
      <c r="BU40" s="35"/>
      <c r="BV40" s="76"/>
      <c r="BW40" s="76"/>
      <c r="BX40" s="76"/>
      <c r="BY40" s="9"/>
      <c r="BZ40" s="76"/>
      <c r="CA40" s="76"/>
      <c r="CB40" s="76"/>
      <c r="CC40" s="9"/>
      <c r="CD40" s="76"/>
      <c r="CE40" s="76"/>
      <c r="CF40" s="76"/>
      <c r="CG40" s="9"/>
      <c r="CH40" s="76"/>
      <c r="CI40" s="76"/>
      <c r="CJ40" s="76"/>
      <c r="CK40" s="35"/>
      <c r="CL40" s="76"/>
      <c r="CM40" s="76"/>
      <c r="CN40" s="76"/>
      <c r="CO40" s="9"/>
      <c r="CP40" s="76"/>
      <c r="CQ40" s="76"/>
      <c r="CR40" s="76"/>
      <c r="CS40" s="9"/>
      <c r="CT40" s="76"/>
      <c r="CU40" s="76"/>
      <c r="CV40" s="76"/>
      <c r="CW40" s="9"/>
      <c r="CX40" s="76"/>
      <c r="CY40" s="76"/>
      <c r="CZ40" s="76"/>
      <c r="DA40" s="9"/>
      <c r="DB40" s="76"/>
      <c r="DC40" s="76"/>
      <c r="DD40" s="76"/>
      <c r="DE40" s="9"/>
      <c r="DF40" s="9"/>
      <c r="DG40" s="9"/>
      <c r="DH40" s="9"/>
      <c r="DI40" s="9"/>
      <c r="DJ40" s="9"/>
      <c r="DK40" s="9"/>
      <c r="DL40" s="9"/>
      <c r="DM40" s="9"/>
      <c r="DN40" s="9"/>
      <c r="DO40" s="9"/>
      <c r="DP40" s="9"/>
      <c r="DQ40" s="3"/>
    </row>
    <row r="41" spans="1:121" ht="14.1" customHeight="1" x14ac:dyDescent="0.25">
      <c r="B41" s="5"/>
      <c r="C41" s="5"/>
      <c r="D41" s="5"/>
      <c r="E41" s="5"/>
      <c r="F41" s="93"/>
      <c r="G41" s="78"/>
      <c r="H41" s="78"/>
      <c r="I41" s="29"/>
      <c r="J41" s="78"/>
      <c r="K41" s="78"/>
      <c r="L41" s="78"/>
      <c r="M41" s="5"/>
      <c r="N41" s="78"/>
      <c r="O41" s="98"/>
      <c r="P41" s="78"/>
      <c r="Q41" s="7"/>
      <c r="R41" s="78"/>
      <c r="S41" s="78"/>
      <c r="T41" s="78"/>
      <c r="U41" s="7"/>
      <c r="V41" s="78"/>
      <c r="W41" s="78"/>
      <c r="X41" s="78"/>
      <c r="Y41" s="29"/>
      <c r="Z41" s="78"/>
      <c r="AA41" s="78"/>
      <c r="AB41" s="78"/>
      <c r="AC41" s="5"/>
      <c r="AD41" s="78"/>
      <c r="AE41" s="98"/>
      <c r="AF41" s="78"/>
      <c r="AG41" s="7"/>
      <c r="AH41" s="78"/>
      <c r="AI41" s="78"/>
      <c r="AJ41" s="78"/>
      <c r="AK41" s="7"/>
      <c r="AL41" s="78"/>
      <c r="AM41" s="78"/>
      <c r="AN41" s="78"/>
      <c r="AO41" s="29"/>
      <c r="AP41" s="78"/>
      <c r="AQ41" s="78"/>
      <c r="AR41" s="78"/>
      <c r="AS41" s="5"/>
      <c r="AT41" s="78"/>
      <c r="AU41" s="98"/>
      <c r="AV41" s="78"/>
      <c r="AW41" s="7"/>
      <c r="AX41" s="78"/>
      <c r="AY41" s="78"/>
      <c r="AZ41" s="78"/>
      <c r="BA41" s="7"/>
      <c r="BB41" s="78"/>
      <c r="BC41" s="78"/>
      <c r="BD41" s="78"/>
      <c r="BE41" s="29"/>
      <c r="BF41" s="78"/>
      <c r="BG41" s="78"/>
      <c r="BH41" s="78"/>
      <c r="BI41" s="5"/>
      <c r="BJ41" s="78"/>
      <c r="BK41" s="98"/>
      <c r="BL41" s="78"/>
      <c r="BM41" s="7"/>
      <c r="BN41" s="78"/>
      <c r="BO41" s="78"/>
      <c r="BP41" s="78"/>
      <c r="BQ41" s="7"/>
      <c r="BR41" s="78"/>
      <c r="BS41" s="78"/>
      <c r="BT41" s="78"/>
      <c r="BU41" s="29"/>
      <c r="BV41" s="78"/>
      <c r="BW41" s="78"/>
      <c r="BX41" s="78"/>
      <c r="BY41" s="5"/>
      <c r="BZ41" s="78"/>
      <c r="CA41" s="98"/>
      <c r="CB41" s="78"/>
      <c r="CC41" s="5"/>
      <c r="CD41" s="78"/>
      <c r="CE41" s="78"/>
      <c r="CF41" s="78"/>
      <c r="CG41" s="7"/>
      <c r="CH41" s="78"/>
      <c r="CI41" s="78"/>
      <c r="CJ41" s="78"/>
      <c r="CK41" s="29"/>
      <c r="CL41" s="78"/>
      <c r="CM41" s="78"/>
      <c r="CN41" s="78"/>
      <c r="CO41" s="5"/>
      <c r="CP41" s="78"/>
      <c r="CQ41" s="98"/>
      <c r="CR41" s="78"/>
      <c r="CS41" s="5"/>
      <c r="CT41" s="78"/>
      <c r="CU41" s="78"/>
      <c r="CV41" s="78"/>
      <c r="CW41" s="7"/>
      <c r="CX41" s="78"/>
      <c r="CY41" s="78"/>
      <c r="CZ41" s="78"/>
      <c r="DA41" s="5"/>
      <c r="DB41" s="78"/>
      <c r="DC41" s="78"/>
      <c r="DD41" s="78"/>
      <c r="DE41" s="5"/>
      <c r="DF41" s="5"/>
      <c r="DG41" s="5"/>
      <c r="DH41" s="5"/>
      <c r="DI41" s="5"/>
      <c r="DJ41" s="5"/>
      <c r="DK41" s="5"/>
      <c r="DL41" s="5"/>
      <c r="DM41" s="5"/>
      <c r="DN41" s="5"/>
      <c r="DO41" s="5"/>
      <c r="DP41" s="3"/>
      <c r="DQ41" s="1"/>
    </row>
    <row r="42" spans="1:121" ht="14.1" customHeight="1" x14ac:dyDescent="0.2">
      <c r="B42" s="310" t="s">
        <v>19</v>
      </c>
      <c r="C42" s="312" t="s">
        <v>32</v>
      </c>
      <c r="D42" s="133"/>
      <c r="E42" s="314" t="s">
        <v>148</v>
      </c>
      <c r="F42" s="316" t="s">
        <v>131</v>
      </c>
      <c r="G42" s="256">
        <v>46174</v>
      </c>
      <c r="H42" s="256">
        <v>46143</v>
      </c>
      <c r="I42" s="308">
        <v>46113</v>
      </c>
      <c r="J42" s="279"/>
      <c r="K42" s="303">
        <v>46082</v>
      </c>
      <c r="L42" s="264">
        <v>46054</v>
      </c>
      <c r="M42" s="277">
        <v>46023</v>
      </c>
      <c r="N42" s="250"/>
      <c r="O42" s="264">
        <v>45992</v>
      </c>
      <c r="P42" s="303">
        <v>45962</v>
      </c>
      <c r="Q42" s="277">
        <v>45931</v>
      </c>
      <c r="R42" s="256"/>
      <c r="S42" s="256">
        <v>45901</v>
      </c>
      <c r="T42" s="256">
        <v>45870</v>
      </c>
      <c r="U42" s="277">
        <v>45839</v>
      </c>
      <c r="V42" s="243"/>
      <c r="W42" s="256">
        <v>45809</v>
      </c>
      <c r="X42" s="256">
        <v>45778</v>
      </c>
      <c r="Y42" s="308">
        <v>45748</v>
      </c>
      <c r="Z42" s="264"/>
      <c r="AA42" s="264">
        <v>45717</v>
      </c>
      <c r="AB42" s="264">
        <v>45689</v>
      </c>
      <c r="AC42" s="277">
        <v>45658</v>
      </c>
      <c r="AD42" s="232"/>
      <c r="AE42" s="264">
        <v>45627</v>
      </c>
      <c r="AF42" s="303">
        <v>45597</v>
      </c>
      <c r="AG42" s="277">
        <v>45566</v>
      </c>
      <c r="AH42" s="256"/>
      <c r="AI42" s="256">
        <v>45536</v>
      </c>
      <c r="AJ42" s="256">
        <v>45505</v>
      </c>
      <c r="AK42" s="277">
        <v>45474</v>
      </c>
      <c r="AL42" s="227"/>
      <c r="AM42" s="256">
        <v>45444</v>
      </c>
      <c r="AN42" s="256">
        <v>45413</v>
      </c>
      <c r="AO42" s="308">
        <v>45383</v>
      </c>
      <c r="AP42" s="264"/>
      <c r="AQ42" s="264">
        <v>45352</v>
      </c>
      <c r="AR42" s="264">
        <v>45323</v>
      </c>
      <c r="AS42" s="277">
        <v>45292</v>
      </c>
      <c r="AT42" s="196"/>
      <c r="AU42" s="264">
        <v>45261</v>
      </c>
      <c r="AV42" s="303">
        <v>45231</v>
      </c>
      <c r="AW42" s="277">
        <v>45200</v>
      </c>
      <c r="AX42" s="256"/>
      <c r="AY42" s="256">
        <v>45170</v>
      </c>
      <c r="AZ42" s="256">
        <v>45139</v>
      </c>
      <c r="BA42" s="277">
        <v>45108</v>
      </c>
      <c r="BB42" s="192"/>
      <c r="BC42" s="256">
        <v>45078</v>
      </c>
      <c r="BD42" s="256">
        <v>45047</v>
      </c>
      <c r="BE42" s="308">
        <v>45017</v>
      </c>
      <c r="BF42" s="264"/>
      <c r="BG42" s="264">
        <v>44986</v>
      </c>
      <c r="BH42" s="264">
        <v>44958</v>
      </c>
      <c r="BI42" s="277">
        <v>44927</v>
      </c>
      <c r="BJ42" s="173"/>
      <c r="BK42" s="264">
        <v>44896</v>
      </c>
      <c r="BL42" s="264">
        <v>44866</v>
      </c>
      <c r="BM42" s="277">
        <v>44835</v>
      </c>
      <c r="BN42" s="256"/>
      <c r="BO42" s="256">
        <v>44805</v>
      </c>
      <c r="BP42" s="256">
        <v>44774</v>
      </c>
      <c r="BQ42" s="277">
        <v>44743</v>
      </c>
      <c r="BR42" s="169"/>
      <c r="BS42" s="256">
        <v>44713</v>
      </c>
      <c r="BT42" s="256">
        <v>44682</v>
      </c>
      <c r="BU42" s="308">
        <v>44652</v>
      </c>
      <c r="BV42" s="264"/>
      <c r="BW42" s="264">
        <v>44621</v>
      </c>
      <c r="BX42" s="264">
        <v>44593</v>
      </c>
      <c r="BY42" s="277">
        <v>44562</v>
      </c>
      <c r="BZ42" s="159"/>
      <c r="CA42" s="264">
        <v>44531</v>
      </c>
      <c r="CB42" s="264">
        <v>44501</v>
      </c>
      <c r="CC42" s="277">
        <v>44470</v>
      </c>
      <c r="CD42" s="156"/>
      <c r="CE42" s="256">
        <v>44440</v>
      </c>
      <c r="CF42" s="256">
        <v>44409</v>
      </c>
      <c r="CG42" s="277">
        <v>44378</v>
      </c>
      <c r="CH42" s="130"/>
      <c r="CI42" s="256">
        <v>44348</v>
      </c>
      <c r="CJ42" s="256">
        <v>44317</v>
      </c>
      <c r="CK42" s="308">
        <v>44287</v>
      </c>
      <c r="CL42" s="264"/>
      <c r="CM42" s="264">
        <v>44256</v>
      </c>
      <c r="CN42" s="264">
        <v>44228</v>
      </c>
      <c r="CO42" s="277">
        <v>44197</v>
      </c>
      <c r="CP42" s="100"/>
      <c r="CQ42" s="264">
        <v>44166</v>
      </c>
      <c r="CR42" s="264">
        <v>44136</v>
      </c>
      <c r="CS42" s="277">
        <v>44105</v>
      </c>
      <c r="CT42" s="103"/>
      <c r="CU42" s="256">
        <v>44075</v>
      </c>
      <c r="CV42" s="256">
        <v>44044</v>
      </c>
      <c r="CW42" s="277">
        <v>44013</v>
      </c>
      <c r="CX42" s="103"/>
      <c r="CY42" s="256">
        <v>43983</v>
      </c>
      <c r="CZ42" s="256">
        <v>43952</v>
      </c>
      <c r="DA42" s="285">
        <v>43922</v>
      </c>
      <c r="DB42" s="264"/>
      <c r="DC42" s="264">
        <v>43891</v>
      </c>
      <c r="DD42" s="264">
        <v>43862</v>
      </c>
      <c r="DE42" s="285">
        <v>43831</v>
      </c>
      <c r="DF42" s="285">
        <v>43739</v>
      </c>
      <c r="DG42" s="277">
        <v>43647</v>
      </c>
      <c r="DH42" s="277">
        <v>43556</v>
      </c>
      <c r="DI42" s="277">
        <v>43466</v>
      </c>
      <c r="DJ42" s="277">
        <v>43374</v>
      </c>
      <c r="DK42" s="277">
        <v>43282</v>
      </c>
      <c r="DL42" s="277">
        <v>43191</v>
      </c>
      <c r="DM42" s="277">
        <v>43101</v>
      </c>
      <c r="DN42" s="277">
        <v>43009</v>
      </c>
      <c r="DO42" s="277">
        <v>42917</v>
      </c>
      <c r="DP42" s="277">
        <v>42826</v>
      </c>
      <c r="DQ42" s="277">
        <v>42736</v>
      </c>
    </row>
    <row r="43" spans="1:121" ht="14.1" customHeight="1" x14ac:dyDescent="0.2">
      <c r="B43" s="311"/>
      <c r="C43" s="313"/>
      <c r="D43" s="134"/>
      <c r="E43" s="315"/>
      <c r="F43" s="317"/>
      <c r="G43" s="307"/>
      <c r="H43" s="307"/>
      <c r="I43" s="309"/>
      <c r="J43" s="280"/>
      <c r="K43" s="304"/>
      <c r="L43" s="268"/>
      <c r="M43" s="278"/>
      <c r="N43" s="252"/>
      <c r="O43" s="268"/>
      <c r="P43" s="304"/>
      <c r="Q43" s="278"/>
      <c r="R43" s="307"/>
      <c r="S43" s="307"/>
      <c r="T43" s="307"/>
      <c r="U43" s="278"/>
      <c r="V43" s="245"/>
      <c r="W43" s="307"/>
      <c r="X43" s="307"/>
      <c r="Y43" s="309"/>
      <c r="Z43" s="268"/>
      <c r="AA43" s="268"/>
      <c r="AB43" s="268"/>
      <c r="AC43" s="278"/>
      <c r="AD43" s="233"/>
      <c r="AE43" s="268"/>
      <c r="AF43" s="304"/>
      <c r="AG43" s="278"/>
      <c r="AH43" s="307"/>
      <c r="AI43" s="307"/>
      <c r="AJ43" s="307"/>
      <c r="AK43" s="278"/>
      <c r="AL43" s="229"/>
      <c r="AM43" s="307"/>
      <c r="AN43" s="307"/>
      <c r="AO43" s="309"/>
      <c r="AP43" s="268"/>
      <c r="AQ43" s="268"/>
      <c r="AR43" s="268"/>
      <c r="AS43" s="278"/>
      <c r="AT43" s="198"/>
      <c r="AU43" s="268"/>
      <c r="AV43" s="304"/>
      <c r="AW43" s="278"/>
      <c r="AX43" s="307"/>
      <c r="AY43" s="307"/>
      <c r="AZ43" s="307"/>
      <c r="BA43" s="278"/>
      <c r="BB43" s="194"/>
      <c r="BC43" s="307"/>
      <c r="BD43" s="307"/>
      <c r="BE43" s="309"/>
      <c r="BF43" s="268"/>
      <c r="BG43" s="268"/>
      <c r="BH43" s="268"/>
      <c r="BI43" s="278"/>
      <c r="BJ43" s="174"/>
      <c r="BK43" s="268"/>
      <c r="BL43" s="268"/>
      <c r="BM43" s="278"/>
      <c r="BN43" s="307"/>
      <c r="BO43" s="307"/>
      <c r="BP43" s="307"/>
      <c r="BQ43" s="278"/>
      <c r="BR43" s="171"/>
      <c r="BS43" s="307"/>
      <c r="BT43" s="307"/>
      <c r="BU43" s="309"/>
      <c r="BV43" s="268"/>
      <c r="BW43" s="268"/>
      <c r="BX43" s="268"/>
      <c r="BY43" s="278"/>
      <c r="BZ43" s="161"/>
      <c r="CA43" s="268"/>
      <c r="CB43" s="268"/>
      <c r="CC43" s="278"/>
      <c r="CD43" s="158"/>
      <c r="CE43" s="307"/>
      <c r="CF43" s="307"/>
      <c r="CG43" s="278"/>
      <c r="CH43" s="131"/>
      <c r="CI43" s="307"/>
      <c r="CJ43" s="307"/>
      <c r="CK43" s="309"/>
      <c r="CL43" s="268"/>
      <c r="CM43" s="268"/>
      <c r="CN43" s="268"/>
      <c r="CO43" s="278"/>
      <c r="CP43" s="102"/>
      <c r="CQ43" s="268"/>
      <c r="CR43" s="268"/>
      <c r="CS43" s="278"/>
      <c r="CT43" s="105"/>
      <c r="CU43" s="307"/>
      <c r="CV43" s="307"/>
      <c r="CW43" s="278"/>
      <c r="CX43" s="105"/>
      <c r="CY43" s="307"/>
      <c r="CZ43" s="307"/>
      <c r="DA43" s="286"/>
      <c r="DB43" s="268"/>
      <c r="DC43" s="268"/>
      <c r="DD43" s="268"/>
      <c r="DE43" s="286"/>
      <c r="DF43" s="286"/>
      <c r="DG43" s="278"/>
      <c r="DH43" s="278"/>
      <c r="DI43" s="287"/>
      <c r="DJ43" s="287"/>
      <c r="DK43" s="287"/>
      <c r="DL43" s="278"/>
      <c r="DM43" s="287"/>
      <c r="DN43" s="287"/>
      <c r="DO43" s="287"/>
      <c r="DP43" s="287"/>
      <c r="DQ43" s="287"/>
    </row>
    <row r="44" spans="1:121" ht="9" customHeight="1" x14ac:dyDescent="0.2">
      <c r="B44" s="4" t="s">
        <v>8</v>
      </c>
      <c r="C44" s="21"/>
      <c r="D44" s="88"/>
      <c r="E44" s="88"/>
      <c r="F44" s="94"/>
      <c r="G44" s="79"/>
      <c r="H44" s="79"/>
      <c r="I44" s="39"/>
      <c r="J44" s="79"/>
      <c r="K44" s="79"/>
      <c r="L44" s="79"/>
      <c r="M44" s="10"/>
      <c r="N44" s="79"/>
      <c r="O44" s="79"/>
      <c r="P44" s="79"/>
      <c r="Q44" s="10"/>
      <c r="R44" s="79"/>
      <c r="S44" s="79"/>
      <c r="T44" s="79"/>
      <c r="U44" s="10"/>
      <c r="V44" s="79"/>
      <c r="W44" s="79"/>
      <c r="X44" s="79"/>
      <c r="Y44" s="39"/>
      <c r="Z44" s="79"/>
      <c r="AA44" s="79"/>
      <c r="AB44" s="79"/>
      <c r="AC44" s="10"/>
      <c r="AD44" s="79"/>
      <c r="AE44" s="79"/>
      <c r="AF44" s="79"/>
      <c r="AG44" s="10"/>
      <c r="AH44" s="79"/>
      <c r="AI44" s="79"/>
      <c r="AJ44" s="79"/>
      <c r="AK44" s="10"/>
      <c r="AL44" s="79"/>
      <c r="AM44" s="79"/>
      <c r="AN44" s="79"/>
      <c r="AO44" s="39"/>
      <c r="AP44" s="79"/>
      <c r="AQ44" s="79"/>
      <c r="AR44" s="79"/>
      <c r="AS44" s="10"/>
      <c r="AT44" s="79"/>
      <c r="AU44" s="79"/>
      <c r="AV44" s="79"/>
      <c r="AW44" s="10"/>
      <c r="AX44" s="79"/>
      <c r="AY44" s="79"/>
      <c r="AZ44" s="79"/>
      <c r="BA44" s="10"/>
      <c r="BB44" s="79"/>
      <c r="BC44" s="79"/>
      <c r="BD44" s="79"/>
      <c r="BE44" s="39"/>
      <c r="BF44" s="79"/>
      <c r="BG44" s="79"/>
      <c r="BH44" s="79"/>
      <c r="BI44" s="10"/>
      <c r="BJ44" s="79"/>
      <c r="BK44" s="79"/>
      <c r="BL44" s="79"/>
      <c r="BM44" s="10"/>
      <c r="BN44" s="79"/>
      <c r="BO44" s="79"/>
      <c r="BP44" s="79"/>
      <c r="BQ44" s="10"/>
      <c r="BR44" s="79"/>
      <c r="BS44" s="79"/>
      <c r="BT44" s="79"/>
      <c r="BU44" s="39"/>
      <c r="BV44" s="79"/>
      <c r="BW44" s="79"/>
      <c r="BX44" s="79"/>
      <c r="BY44" s="10"/>
      <c r="BZ44" s="79"/>
      <c r="CA44" s="79"/>
      <c r="CB44" s="79"/>
      <c r="CC44" s="10"/>
      <c r="CD44" s="79"/>
      <c r="CE44" s="79"/>
      <c r="CF44" s="79"/>
      <c r="CG44" s="10"/>
      <c r="CH44" s="79"/>
      <c r="CI44" s="79"/>
      <c r="CJ44" s="79"/>
      <c r="CK44" s="39"/>
      <c r="CL44" s="79"/>
      <c r="CM44" s="79"/>
      <c r="CN44" s="79"/>
      <c r="CO44" s="10"/>
      <c r="CP44" s="79"/>
      <c r="CQ44" s="79"/>
      <c r="CR44" s="79"/>
      <c r="CS44" s="10"/>
      <c r="CT44" s="79"/>
      <c r="CU44" s="79"/>
      <c r="CV44" s="79"/>
      <c r="CW44" s="10"/>
      <c r="CX44" s="79"/>
      <c r="CY44" s="79"/>
      <c r="CZ44" s="79"/>
      <c r="DA44" s="10"/>
      <c r="DB44" s="79"/>
      <c r="DC44" s="79"/>
      <c r="DD44" s="79"/>
      <c r="DE44" s="10"/>
      <c r="DF44" s="10"/>
      <c r="DG44" s="10"/>
      <c r="DH44" s="10"/>
      <c r="DI44" s="10"/>
      <c r="DJ44" s="10"/>
      <c r="DK44" s="10"/>
      <c r="DL44" s="10"/>
      <c r="DM44" s="10"/>
      <c r="DN44" s="10"/>
      <c r="DO44" s="10"/>
      <c r="DP44" s="10"/>
      <c r="DQ44" s="10"/>
    </row>
    <row r="45" spans="1:121" ht="14.1" customHeight="1" x14ac:dyDescent="0.2">
      <c r="B45" s="19" t="s">
        <v>20</v>
      </c>
      <c r="C45" s="96"/>
      <c r="D45" s="96"/>
      <c r="E45" s="96"/>
      <c r="F45" s="95"/>
      <c r="G45" s="80"/>
      <c r="H45" s="80"/>
      <c r="I45" s="125"/>
      <c r="J45" s="80"/>
      <c r="K45" s="80"/>
      <c r="L45" s="80"/>
      <c r="M45" s="16"/>
      <c r="N45" s="80"/>
      <c r="O45" s="80"/>
      <c r="P45" s="80"/>
      <c r="Q45" s="16"/>
      <c r="R45" s="80"/>
      <c r="S45" s="80"/>
      <c r="T45" s="80"/>
      <c r="U45" s="16"/>
      <c r="V45" s="80"/>
      <c r="W45" s="80"/>
      <c r="X45" s="80"/>
      <c r="Y45" s="125"/>
      <c r="Z45" s="80"/>
      <c r="AA45" s="80"/>
      <c r="AB45" s="80"/>
      <c r="AC45" s="16"/>
      <c r="AD45" s="80"/>
      <c r="AE45" s="80"/>
      <c r="AF45" s="80"/>
      <c r="AG45" s="16"/>
      <c r="AH45" s="80"/>
      <c r="AI45" s="80"/>
      <c r="AJ45" s="80"/>
      <c r="AK45" s="16"/>
      <c r="AL45" s="80"/>
      <c r="AM45" s="80"/>
      <c r="AN45" s="80"/>
      <c r="AO45" s="125"/>
      <c r="AP45" s="80"/>
      <c r="AQ45" s="80"/>
      <c r="AR45" s="80"/>
      <c r="AS45" s="16"/>
      <c r="AT45" s="80"/>
      <c r="AU45" s="80"/>
      <c r="AV45" s="80"/>
      <c r="AW45" s="16"/>
      <c r="AX45" s="80"/>
      <c r="AY45" s="80"/>
      <c r="AZ45" s="80"/>
      <c r="BA45" s="16"/>
      <c r="BB45" s="80"/>
      <c r="BC45" s="80"/>
      <c r="BD45" s="80"/>
      <c r="BE45" s="125"/>
      <c r="BF45" s="80"/>
      <c r="BG45" s="80"/>
      <c r="BH45" s="80"/>
      <c r="BI45" s="16"/>
      <c r="BJ45" s="80"/>
      <c r="BK45" s="80"/>
      <c r="BL45" s="80"/>
      <c r="BM45" s="16"/>
      <c r="BN45" s="80"/>
      <c r="BO45" s="80"/>
      <c r="BP45" s="80"/>
      <c r="BQ45" s="16"/>
      <c r="BR45" s="80"/>
      <c r="BS45" s="80"/>
      <c r="BT45" s="80"/>
      <c r="BU45" s="125"/>
      <c r="BV45" s="80"/>
      <c r="BW45" s="80"/>
      <c r="BX45" s="80"/>
      <c r="BY45" s="16"/>
      <c r="BZ45" s="80"/>
      <c r="CA45" s="80"/>
      <c r="CB45" s="80"/>
      <c r="CC45" s="16"/>
      <c r="CD45" s="80"/>
      <c r="CE45" s="80"/>
      <c r="CF45" s="80"/>
      <c r="CG45" s="16"/>
      <c r="CH45" s="80"/>
      <c r="CI45" s="80"/>
      <c r="CJ45" s="80"/>
      <c r="CK45" s="125"/>
      <c r="CL45" s="80"/>
      <c r="CM45" s="80"/>
      <c r="CN45" s="80"/>
      <c r="CO45" s="16"/>
      <c r="CP45" s="80"/>
      <c r="CQ45" s="80"/>
      <c r="CR45" s="80"/>
      <c r="CS45" s="16"/>
      <c r="CT45" s="80"/>
      <c r="CU45" s="80"/>
      <c r="CV45" s="80"/>
      <c r="CW45" s="16"/>
      <c r="CX45" s="80"/>
      <c r="CY45" s="80"/>
      <c r="CZ45" s="80"/>
      <c r="DA45" s="16"/>
      <c r="DB45" s="80"/>
      <c r="DC45" s="80"/>
      <c r="DD45" s="80"/>
      <c r="DE45" s="16"/>
      <c r="DF45" s="16"/>
      <c r="DG45" s="16"/>
      <c r="DH45" s="16"/>
      <c r="DI45" s="16"/>
      <c r="DJ45" s="15"/>
      <c r="DK45" s="15"/>
      <c r="DL45" s="15"/>
      <c r="DM45" s="16"/>
      <c r="DN45" s="16"/>
      <c r="DO45" s="16"/>
      <c r="DP45" s="16"/>
      <c r="DQ45" s="16"/>
    </row>
    <row r="46" spans="1:121" ht="14.1" customHeight="1" x14ac:dyDescent="0.2">
      <c r="B46" s="20" t="s">
        <v>24</v>
      </c>
      <c r="C46" s="96"/>
      <c r="D46" s="96"/>
      <c r="E46" s="96"/>
      <c r="F46" s="95"/>
      <c r="G46" s="81"/>
      <c r="H46" s="81"/>
      <c r="I46" s="43"/>
      <c r="J46" s="81"/>
      <c r="K46" s="81"/>
      <c r="L46" s="81"/>
      <c r="M46" s="15"/>
      <c r="N46" s="81"/>
      <c r="O46" s="81"/>
      <c r="P46" s="81"/>
      <c r="Q46" s="15"/>
      <c r="R46" s="81"/>
      <c r="S46" s="81"/>
      <c r="T46" s="81"/>
      <c r="U46" s="15"/>
      <c r="V46" s="81"/>
      <c r="W46" s="81"/>
      <c r="X46" s="81"/>
      <c r="Y46" s="43"/>
      <c r="Z46" s="81"/>
      <c r="AA46" s="81"/>
      <c r="AB46" s="81"/>
      <c r="AC46" s="15"/>
      <c r="AD46" s="81"/>
      <c r="AE46" s="81"/>
      <c r="AF46" s="81"/>
      <c r="AG46" s="15"/>
      <c r="AH46" s="81"/>
      <c r="AI46" s="81"/>
      <c r="AJ46" s="81"/>
      <c r="AK46" s="15"/>
      <c r="AL46" s="81"/>
      <c r="AM46" s="81"/>
      <c r="AN46" s="81"/>
      <c r="AO46" s="43"/>
      <c r="AP46" s="81"/>
      <c r="AQ46" s="81"/>
      <c r="AR46" s="81"/>
      <c r="AS46" s="15"/>
      <c r="AT46" s="81"/>
      <c r="AU46" s="81"/>
      <c r="AV46" s="81"/>
      <c r="AW46" s="15"/>
      <c r="AX46" s="81"/>
      <c r="AY46" s="81"/>
      <c r="AZ46" s="81"/>
      <c r="BA46" s="15"/>
      <c r="BB46" s="81"/>
      <c r="BC46" s="81"/>
      <c r="BD46" s="81"/>
      <c r="BE46" s="43"/>
      <c r="BF46" s="81"/>
      <c r="BG46" s="81"/>
      <c r="BH46" s="81"/>
      <c r="BI46" s="15"/>
      <c r="BJ46" s="81"/>
      <c r="BK46" s="81"/>
      <c r="BL46" s="81"/>
      <c r="BM46" s="15"/>
      <c r="BN46" s="81"/>
      <c r="BO46" s="81"/>
      <c r="BP46" s="81"/>
      <c r="BQ46" s="15"/>
      <c r="BR46" s="81"/>
      <c r="BS46" s="81"/>
      <c r="BT46" s="81"/>
      <c r="BU46" s="43"/>
      <c r="BV46" s="81"/>
      <c r="BW46" s="81"/>
      <c r="BX46" s="81"/>
      <c r="BY46" s="15"/>
      <c r="BZ46" s="81"/>
      <c r="CA46" s="81"/>
      <c r="CB46" s="81"/>
      <c r="CC46" s="15"/>
      <c r="CD46" s="81"/>
      <c r="CE46" s="81"/>
      <c r="CF46" s="81"/>
      <c r="CG46" s="15"/>
      <c r="CH46" s="81"/>
      <c r="CI46" s="81"/>
      <c r="CJ46" s="81"/>
      <c r="CK46" s="43"/>
      <c r="CL46" s="81"/>
      <c r="CM46" s="81"/>
      <c r="CN46" s="81"/>
      <c r="CO46" s="15"/>
      <c r="CP46" s="81"/>
      <c r="CQ46" s="81"/>
      <c r="CR46" s="81"/>
      <c r="CS46" s="15"/>
      <c r="CT46" s="81"/>
      <c r="CU46" s="81"/>
      <c r="CV46" s="81"/>
      <c r="CW46" s="15"/>
      <c r="CX46" s="81"/>
      <c r="CY46" s="81"/>
      <c r="CZ46" s="81"/>
      <c r="DA46" s="15"/>
      <c r="DB46" s="81"/>
      <c r="DC46" s="81"/>
      <c r="DD46" s="81"/>
      <c r="DE46" s="15"/>
      <c r="DF46" s="15"/>
      <c r="DG46" s="15"/>
      <c r="DH46" s="15"/>
      <c r="DI46" s="15"/>
      <c r="DJ46" s="15"/>
      <c r="DK46" s="15"/>
      <c r="DL46" s="15"/>
      <c r="DM46" s="15"/>
      <c r="DN46" s="15"/>
      <c r="DO46" s="15"/>
      <c r="DP46" s="15"/>
      <c r="DQ46" s="15"/>
    </row>
    <row r="47" spans="1:121" ht="14.1" customHeight="1" x14ac:dyDescent="0.2">
      <c r="B47" s="13" t="s">
        <v>26</v>
      </c>
      <c r="C47" s="22"/>
      <c r="D47" s="22"/>
      <c r="E47" s="22"/>
      <c r="F47" s="92"/>
      <c r="G47" s="82"/>
      <c r="H47" s="82"/>
      <c r="I47" s="126"/>
      <c r="J47" s="82"/>
      <c r="K47" s="82"/>
      <c r="L47" s="82"/>
      <c r="M47" s="17"/>
      <c r="N47" s="82"/>
      <c r="O47" s="82"/>
      <c r="P47" s="82"/>
      <c r="Q47" s="17"/>
      <c r="R47" s="82"/>
      <c r="S47" s="82"/>
      <c r="T47" s="82"/>
      <c r="U47" s="17"/>
      <c r="V47" s="82"/>
      <c r="W47" s="82"/>
      <c r="X47" s="82"/>
      <c r="Y47" s="126"/>
      <c r="Z47" s="82"/>
      <c r="AA47" s="82"/>
      <c r="AB47" s="82"/>
      <c r="AC47" s="17"/>
      <c r="AD47" s="82"/>
      <c r="AE47" s="82"/>
      <c r="AF47" s="82"/>
      <c r="AG47" s="17"/>
      <c r="AH47" s="82"/>
      <c r="AI47" s="82"/>
      <c r="AJ47" s="82"/>
      <c r="AK47" s="17"/>
      <c r="AL47" s="82"/>
      <c r="AM47" s="82"/>
      <c r="AN47" s="82"/>
      <c r="AO47" s="126"/>
      <c r="AP47" s="82"/>
      <c r="AQ47" s="82"/>
      <c r="AR47" s="82"/>
      <c r="AS47" s="17"/>
      <c r="AT47" s="82"/>
      <c r="AU47" s="82"/>
      <c r="AV47" s="82"/>
      <c r="AW47" s="17"/>
      <c r="AX47" s="82"/>
      <c r="AY47" s="82"/>
      <c r="AZ47" s="82"/>
      <c r="BA47" s="17"/>
      <c r="BB47" s="82"/>
      <c r="BC47" s="82"/>
      <c r="BD47" s="82"/>
      <c r="BE47" s="126"/>
      <c r="BF47" s="82"/>
      <c r="BG47" s="82"/>
      <c r="BH47" s="82"/>
      <c r="BI47" s="17"/>
      <c r="BJ47" s="82"/>
      <c r="BK47" s="82"/>
      <c r="BL47" s="82"/>
      <c r="BM47" s="17"/>
      <c r="BN47" s="82"/>
      <c r="BO47" s="82"/>
      <c r="BP47" s="82"/>
      <c r="BQ47" s="17"/>
      <c r="BR47" s="82"/>
      <c r="BS47" s="82"/>
      <c r="BT47" s="82"/>
      <c r="BU47" s="126"/>
      <c r="BV47" s="82"/>
      <c r="BW47" s="82"/>
      <c r="BX47" s="82"/>
      <c r="BY47" s="17"/>
      <c r="BZ47" s="82"/>
      <c r="CA47" s="82"/>
      <c r="CB47" s="82"/>
      <c r="CC47" s="17"/>
      <c r="CD47" s="82"/>
      <c r="CE47" s="82"/>
      <c r="CF47" s="82"/>
      <c r="CG47" s="17"/>
      <c r="CH47" s="82"/>
      <c r="CI47" s="82"/>
      <c r="CJ47" s="82"/>
      <c r="CK47" s="126"/>
      <c r="CL47" s="82"/>
      <c r="CM47" s="82"/>
      <c r="CN47" s="82"/>
      <c r="CO47" s="17"/>
      <c r="CP47" s="82"/>
      <c r="CQ47" s="82"/>
      <c r="CR47" s="82"/>
      <c r="CS47" s="17"/>
      <c r="CT47" s="82"/>
      <c r="CU47" s="82"/>
      <c r="CV47" s="82"/>
      <c r="CW47" s="17"/>
      <c r="CX47" s="82"/>
      <c r="CY47" s="82"/>
      <c r="CZ47" s="82"/>
      <c r="DA47" s="17"/>
      <c r="DB47" s="82"/>
      <c r="DC47" s="82"/>
      <c r="DD47" s="82"/>
      <c r="DE47" s="17"/>
      <c r="DF47" s="17"/>
      <c r="DG47" s="17"/>
      <c r="DH47" s="17"/>
      <c r="DI47" s="17"/>
      <c r="DJ47" s="17"/>
      <c r="DK47" s="17"/>
      <c r="DL47" s="17"/>
      <c r="DM47" s="17"/>
      <c r="DN47" s="17"/>
      <c r="DO47" s="17"/>
      <c r="DP47" s="17"/>
      <c r="DQ47" s="17"/>
    </row>
    <row r="48" spans="1:121" ht="14.1" customHeight="1" x14ac:dyDescent="0.2">
      <c r="B48" s="14" t="s">
        <v>25</v>
      </c>
      <c r="C48" s="22"/>
      <c r="D48" s="22"/>
      <c r="E48" s="22"/>
      <c r="F48" s="92"/>
      <c r="G48" s="82"/>
      <c r="H48" s="82"/>
      <c r="I48" s="126"/>
      <c r="J48" s="82"/>
      <c r="K48" s="82"/>
      <c r="L48" s="82"/>
      <c r="M48" s="17"/>
      <c r="N48" s="82"/>
      <c r="O48" s="82"/>
      <c r="P48" s="82"/>
      <c r="Q48" s="17"/>
      <c r="R48" s="82"/>
      <c r="S48" s="82"/>
      <c r="T48" s="82"/>
      <c r="U48" s="17"/>
      <c r="V48" s="82"/>
      <c r="W48" s="82"/>
      <c r="X48" s="82"/>
      <c r="Y48" s="126"/>
      <c r="Z48" s="82"/>
      <c r="AA48" s="82"/>
      <c r="AB48" s="82"/>
      <c r="AC48" s="17"/>
      <c r="AD48" s="82"/>
      <c r="AE48" s="82"/>
      <c r="AF48" s="82"/>
      <c r="AG48" s="17"/>
      <c r="AH48" s="82"/>
      <c r="AI48" s="82"/>
      <c r="AJ48" s="82"/>
      <c r="AK48" s="17"/>
      <c r="AL48" s="82"/>
      <c r="AM48" s="82"/>
      <c r="AN48" s="82"/>
      <c r="AO48" s="126"/>
      <c r="AP48" s="82"/>
      <c r="AQ48" s="82"/>
      <c r="AR48" s="82"/>
      <c r="AS48" s="17"/>
      <c r="AT48" s="82"/>
      <c r="AU48" s="82"/>
      <c r="AV48" s="82"/>
      <c r="AW48" s="17"/>
      <c r="AX48" s="82"/>
      <c r="AY48" s="82"/>
      <c r="AZ48" s="82"/>
      <c r="BA48" s="17"/>
      <c r="BB48" s="82"/>
      <c r="BC48" s="82"/>
      <c r="BD48" s="82"/>
      <c r="BE48" s="126"/>
      <c r="BF48" s="82"/>
      <c r="BG48" s="82"/>
      <c r="BH48" s="82"/>
      <c r="BI48" s="17"/>
      <c r="BJ48" s="82"/>
      <c r="BK48" s="82"/>
      <c r="BL48" s="82"/>
      <c r="BM48" s="17"/>
      <c r="BN48" s="82"/>
      <c r="BO48" s="82"/>
      <c r="BP48" s="82"/>
      <c r="BQ48" s="17"/>
      <c r="BR48" s="82"/>
      <c r="BS48" s="82"/>
      <c r="BT48" s="82"/>
      <c r="BU48" s="126"/>
      <c r="BV48" s="82"/>
      <c r="BW48" s="82"/>
      <c r="BX48" s="82"/>
      <c r="BY48" s="17"/>
      <c r="BZ48" s="82"/>
      <c r="CA48" s="82"/>
      <c r="CB48" s="82"/>
      <c r="CC48" s="17"/>
      <c r="CD48" s="82"/>
      <c r="CE48" s="82"/>
      <c r="CF48" s="82"/>
      <c r="CG48" s="17"/>
      <c r="CH48" s="82"/>
      <c r="CI48" s="82"/>
      <c r="CJ48" s="82"/>
      <c r="CK48" s="126"/>
      <c r="CL48" s="82"/>
      <c r="CM48" s="82"/>
      <c r="CN48" s="82"/>
      <c r="CO48" s="17"/>
      <c r="CP48" s="82"/>
      <c r="CQ48" s="82"/>
      <c r="CR48" s="82"/>
      <c r="CS48" s="17"/>
      <c r="CT48" s="82"/>
      <c r="CU48" s="82"/>
      <c r="CV48" s="82"/>
      <c r="CW48" s="17"/>
      <c r="CX48" s="82"/>
      <c r="CY48" s="82"/>
      <c r="CZ48" s="82"/>
      <c r="DA48" s="17"/>
      <c r="DB48" s="82"/>
      <c r="DC48" s="82"/>
      <c r="DD48" s="82"/>
      <c r="DE48" s="17"/>
      <c r="DF48" s="17"/>
      <c r="DG48" s="17"/>
      <c r="DH48" s="17"/>
      <c r="DI48" s="17"/>
      <c r="DJ48" s="17"/>
      <c r="DK48" s="17"/>
      <c r="DL48" s="17"/>
      <c r="DM48" s="17"/>
      <c r="DN48" s="17"/>
      <c r="DO48" s="17"/>
      <c r="DP48" s="17"/>
      <c r="DQ48" s="17"/>
    </row>
    <row r="49" spans="2:121" ht="14.1" customHeight="1" x14ac:dyDescent="0.2">
      <c r="B49" s="13" t="s">
        <v>30</v>
      </c>
      <c r="C49" s="22"/>
      <c r="D49" s="22"/>
      <c r="E49" s="22"/>
      <c r="F49" s="92"/>
      <c r="G49" s="83"/>
      <c r="H49" s="83"/>
      <c r="I49" s="71"/>
      <c r="J49" s="83"/>
      <c r="K49" s="83"/>
      <c r="L49" s="83"/>
      <c r="M49" s="23"/>
      <c r="N49" s="83"/>
      <c r="O49" s="83"/>
      <c r="P49" s="83"/>
      <c r="Q49" s="23"/>
      <c r="R49" s="83"/>
      <c r="S49" s="83"/>
      <c r="T49" s="83"/>
      <c r="U49" s="23"/>
      <c r="V49" s="83"/>
      <c r="W49" s="83"/>
      <c r="X49" s="83"/>
      <c r="Y49" s="71"/>
      <c r="Z49" s="83"/>
      <c r="AA49" s="83"/>
      <c r="AB49" s="83"/>
      <c r="AC49" s="23"/>
      <c r="AD49" s="83"/>
      <c r="AE49" s="83"/>
      <c r="AF49" s="83"/>
      <c r="AG49" s="23"/>
      <c r="AH49" s="83"/>
      <c r="AI49" s="83"/>
      <c r="AJ49" s="83"/>
      <c r="AK49" s="23"/>
      <c r="AL49" s="83"/>
      <c r="AM49" s="83"/>
      <c r="AN49" s="83"/>
      <c r="AO49" s="71"/>
      <c r="AP49" s="83"/>
      <c r="AQ49" s="83"/>
      <c r="AR49" s="83"/>
      <c r="AS49" s="23"/>
      <c r="AT49" s="83"/>
      <c r="AU49" s="83"/>
      <c r="AV49" s="83"/>
      <c r="AW49" s="23"/>
      <c r="AX49" s="83"/>
      <c r="AY49" s="83"/>
      <c r="AZ49" s="83"/>
      <c r="BA49" s="23"/>
      <c r="BB49" s="83"/>
      <c r="BC49" s="83"/>
      <c r="BD49" s="83"/>
      <c r="BE49" s="71"/>
      <c r="BF49" s="83"/>
      <c r="BG49" s="83"/>
      <c r="BH49" s="83"/>
      <c r="BI49" s="23"/>
      <c r="BJ49" s="83"/>
      <c r="BK49" s="83"/>
      <c r="BL49" s="83"/>
      <c r="BM49" s="23"/>
      <c r="BN49" s="83"/>
      <c r="BO49" s="83"/>
      <c r="BP49" s="83"/>
      <c r="BQ49" s="23"/>
      <c r="BR49" s="83"/>
      <c r="BS49" s="83"/>
      <c r="BT49" s="83"/>
      <c r="BU49" s="71"/>
      <c r="BV49" s="83"/>
      <c r="BW49" s="83"/>
      <c r="BX49" s="83"/>
      <c r="BY49" s="23"/>
      <c r="BZ49" s="83"/>
      <c r="CA49" s="83"/>
      <c r="CB49" s="83"/>
      <c r="CC49" s="23"/>
      <c r="CD49" s="83"/>
      <c r="CE49" s="83"/>
      <c r="CF49" s="83"/>
      <c r="CG49" s="23"/>
      <c r="CH49" s="83"/>
      <c r="CI49" s="83"/>
      <c r="CJ49" s="83"/>
      <c r="CK49" s="71"/>
      <c r="CL49" s="83"/>
      <c r="CM49" s="83"/>
      <c r="CN49" s="83"/>
      <c r="CO49" s="23"/>
      <c r="CP49" s="83"/>
      <c r="CQ49" s="83"/>
      <c r="CR49" s="83"/>
      <c r="CS49" s="23"/>
      <c r="CT49" s="83"/>
      <c r="CU49" s="83"/>
      <c r="CV49" s="83"/>
      <c r="CW49" s="23"/>
      <c r="CX49" s="83"/>
      <c r="CY49" s="83"/>
      <c r="CZ49" s="83"/>
      <c r="DA49" s="23"/>
      <c r="DB49" s="83"/>
      <c r="DC49" s="83"/>
      <c r="DD49" s="83"/>
      <c r="DE49" s="23"/>
      <c r="DF49" s="23"/>
      <c r="DG49" s="23"/>
      <c r="DH49" s="23"/>
      <c r="DI49" s="23"/>
      <c r="DJ49" s="23"/>
      <c r="DK49" s="23"/>
      <c r="DL49" s="23"/>
      <c r="DM49" s="23"/>
      <c r="DN49" s="23"/>
      <c r="DO49" s="23"/>
      <c r="DP49" s="23"/>
      <c r="DQ49" s="23"/>
    </row>
    <row r="50" spans="2:121" ht="14.1" customHeight="1" x14ac:dyDescent="0.2">
      <c r="B50" s="13" t="s">
        <v>31</v>
      </c>
      <c r="C50" s="22"/>
      <c r="D50" s="22"/>
      <c r="E50" s="22"/>
      <c r="F50" s="92"/>
      <c r="G50" s="84"/>
      <c r="H50" s="84"/>
      <c r="I50" s="127"/>
      <c r="J50" s="84"/>
      <c r="K50" s="84"/>
      <c r="L50" s="84"/>
      <c r="M50" s="24"/>
      <c r="N50" s="84"/>
      <c r="O50" s="84"/>
      <c r="P50" s="84"/>
      <c r="Q50" s="24"/>
      <c r="R50" s="84"/>
      <c r="S50" s="84"/>
      <c r="T50" s="84"/>
      <c r="U50" s="24"/>
      <c r="V50" s="84"/>
      <c r="W50" s="84"/>
      <c r="X50" s="84"/>
      <c r="Y50" s="127"/>
      <c r="Z50" s="84"/>
      <c r="AA50" s="84"/>
      <c r="AB50" s="84"/>
      <c r="AC50" s="24"/>
      <c r="AD50" s="84"/>
      <c r="AE50" s="84"/>
      <c r="AF50" s="84"/>
      <c r="AG50" s="24"/>
      <c r="AH50" s="84"/>
      <c r="AI50" s="84"/>
      <c r="AJ50" s="84"/>
      <c r="AK50" s="24"/>
      <c r="AL50" s="84"/>
      <c r="AM50" s="84"/>
      <c r="AN50" s="84"/>
      <c r="AO50" s="127"/>
      <c r="AP50" s="84"/>
      <c r="AQ50" s="84"/>
      <c r="AR50" s="84"/>
      <c r="AS50" s="24"/>
      <c r="AT50" s="84"/>
      <c r="AU50" s="84"/>
      <c r="AV50" s="84"/>
      <c r="AW50" s="24"/>
      <c r="AX50" s="84"/>
      <c r="AY50" s="84"/>
      <c r="AZ50" s="84"/>
      <c r="BA50" s="24"/>
      <c r="BB50" s="84"/>
      <c r="BC50" s="84"/>
      <c r="BD50" s="84"/>
      <c r="BE50" s="127"/>
      <c r="BF50" s="84"/>
      <c r="BG50" s="84"/>
      <c r="BH50" s="84"/>
      <c r="BI50" s="24"/>
      <c r="BJ50" s="84"/>
      <c r="BK50" s="84"/>
      <c r="BL50" s="84"/>
      <c r="BM50" s="24"/>
      <c r="BN50" s="84"/>
      <c r="BO50" s="84"/>
      <c r="BP50" s="84"/>
      <c r="BQ50" s="24"/>
      <c r="BR50" s="84"/>
      <c r="BS50" s="84"/>
      <c r="BT50" s="84"/>
      <c r="BU50" s="127"/>
      <c r="BV50" s="84"/>
      <c r="BW50" s="84"/>
      <c r="BX50" s="84"/>
      <c r="BY50" s="24"/>
      <c r="BZ50" s="84"/>
      <c r="CA50" s="84"/>
      <c r="CB50" s="84"/>
      <c r="CC50" s="24"/>
      <c r="CD50" s="84"/>
      <c r="CE50" s="84"/>
      <c r="CF50" s="84"/>
      <c r="CG50" s="24"/>
      <c r="CH50" s="84"/>
      <c r="CI50" s="84"/>
      <c r="CJ50" s="84"/>
      <c r="CK50" s="127"/>
      <c r="CL50" s="84"/>
      <c r="CM50" s="84"/>
      <c r="CN50" s="84"/>
      <c r="CO50" s="24"/>
      <c r="CP50" s="84"/>
      <c r="CQ50" s="84"/>
      <c r="CR50" s="84"/>
      <c r="CS50" s="24"/>
      <c r="CT50" s="84"/>
      <c r="CU50" s="84"/>
      <c r="CV50" s="84"/>
      <c r="CW50" s="24"/>
      <c r="CX50" s="84"/>
      <c r="CY50" s="84"/>
      <c r="CZ50" s="84"/>
      <c r="DA50" s="24"/>
      <c r="DB50" s="84"/>
      <c r="DC50" s="84"/>
      <c r="DD50" s="84"/>
      <c r="DE50" s="24"/>
      <c r="DF50" s="24"/>
      <c r="DG50" s="24"/>
      <c r="DH50" s="24"/>
      <c r="DI50" s="24"/>
      <c r="DJ50" s="24"/>
      <c r="DK50" s="24"/>
      <c r="DL50" s="24"/>
      <c r="DM50" s="24"/>
      <c r="DN50" s="24"/>
      <c r="DO50" s="24"/>
      <c r="DP50" s="24"/>
      <c r="DQ50" s="24"/>
    </row>
    <row r="51" spans="2:121" ht="14.1" customHeight="1" x14ac:dyDescent="0.2">
      <c r="B51" s="20" t="s">
        <v>27</v>
      </c>
      <c r="C51" s="96"/>
      <c r="D51" s="96"/>
      <c r="E51" s="96"/>
      <c r="F51" s="95"/>
      <c r="G51" s="81"/>
      <c r="H51" s="81"/>
      <c r="I51" s="43"/>
      <c r="J51" s="81"/>
      <c r="K51" s="81"/>
      <c r="L51" s="81"/>
      <c r="M51" s="15"/>
      <c r="N51" s="81"/>
      <c r="O51" s="81"/>
      <c r="P51" s="81"/>
      <c r="Q51" s="15"/>
      <c r="R51" s="81"/>
      <c r="S51" s="81"/>
      <c r="T51" s="81"/>
      <c r="U51" s="15"/>
      <c r="V51" s="81"/>
      <c r="W51" s="81"/>
      <c r="X51" s="81"/>
      <c r="Y51" s="43"/>
      <c r="Z51" s="81"/>
      <c r="AA51" s="81"/>
      <c r="AB51" s="81"/>
      <c r="AC51" s="15"/>
      <c r="AD51" s="81"/>
      <c r="AE51" s="81"/>
      <c r="AF51" s="81"/>
      <c r="AG51" s="15"/>
      <c r="AH51" s="81"/>
      <c r="AI51" s="81"/>
      <c r="AJ51" s="81"/>
      <c r="AK51" s="15"/>
      <c r="AL51" s="81"/>
      <c r="AM51" s="81"/>
      <c r="AN51" s="81"/>
      <c r="AO51" s="43"/>
      <c r="AP51" s="81"/>
      <c r="AQ51" s="81"/>
      <c r="AR51" s="81"/>
      <c r="AS51" s="15"/>
      <c r="AT51" s="81"/>
      <c r="AU51" s="81"/>
      <c r="AV51" s="81"/>
      <c r="AW51" s="15"/>
      <c r="AX51" s="81"/>
      <c r="AY51" s="81"/>
      <c r="AZ51" s="81"/>
      <c r="BA51" s="15"/>
      <c r="BB51" s="81"/>
      <c r="BC51" s="81"/>
      <c r="BD51" s="81"/>
      <c r="BE51" s="43"/>
      <c r="BF51" s="81"/>
      <c r="BG51" s="81"/>
      <c r="BH51" s="81"/>
      <c r="BI51" s="15"/>
      <c r="BJ51" s="81"/>
      <c r="BK51" s="81"/>
      <c r="BL51" s="81"/>
      <c r="BM51" s="15"/>
      <c r="BN51" s="81"/>
      <c r="BO51" s="81"/>
      <c r="BP51" s="81"/>
      <c r="BQ51" s="15"/>
      <c r="BR51" s="81"/>
      <c r="BS51" s="81"/>
      <c r="BT51" s="81"/>
      <c r="BU51" s="43"/>
      <c r="BV51" s="81"/>
      <c r="BW51" s="81"/>
      <c r="BX51" s="81"/>
      <c r="BY51" s="15"/>
      <c r="BZ51" s="81"/>
      <c r="CA51" s="81"/>
      <c r="CB51" s="81"/>
      <c r="CC51" s="15"/>
      <c r="CD51" s="81"/>
      <c r="CE51" s="81"/>
      <c r="CF51" s="81"/>
      <c r="CG51" s="15"/>
      <c r="CH51" s="81"/>
      <c r="CI51" s="81"/>
      <c r="CJ51" s="81"/>
      <c r="CK51" s="43"/>
      <c r="CL51" s="81"/>
      <c r="CM51" s="81"/>
      <c r="CN51" s="81"/>
      <c r="CO51" s="15"/>
      <c r="CP51" s="81"/>
      <c r="CQ51" s="81"/>
      <c r="CR51" s="81"/>
      <c r="CS51" s="15"/>
      <c r="CT51" s="81"/>
      <c r="CU51" s="81"/>
      <c r="CV51" s="81"/>
      <c r="CW51" s="15"/>
      <c r="CX51" s="81"/>
      <c r="CY51" s="81"/>
      <c r="CZ51" s="81"/>
      <c r="DA51" s="15"/>
      <c r="DB51" s="81"/>
      <c r="DC51" s="81"/>
      <c r="DD51" s="81"/>
      <c r="DE51" s="15"/>
      <c r="DF51" s="15"/>
      <c r="DG51" s="15"/>
      <c r="DH51" s="15"/>
      <c r="DI51" s="15"/>
      <c r="DJ51" s="15"/>
      <c r="DK51" s="15"/>
      <c r="DL51" s="15"/>
      <c r="DM51" s="15"/>
      <c r="DN51" s="15"/>
      <c r="DO51" s="15"/>
      <c r="DP51" s="15"/>
      <c r="DQ51" s="15"/>
    </row>
    <row r="52" spans="2:121" ht="14.1" customHeight="1" x14ac:dyDescent="0.2">
      <c r="B52" s="18" t="s">
        <v>29</v>
      </c>
      <c r="C52" s="22"/>
      <c r="D52" s="22"/>
      <c r="E52" s="22"/>
      <c r="F52" s="92"/>
      <c r="G52" s="82"/>
      <c r="H52" s="82"/>
      <c r="I52" s="126"/>
      <c r="J52" s="82"/>
      <c r="K52" s="82"/>
      <c r="L52" s="82"/>
      <c r="M52" s="17"/>
      <c r="N52" s="82"/>
      <c r="O52" s="82"/>
      <c r="P52" s="82"/>
      <c r="Q52" s="17"/>
      <c r="R52" s="82"/>
      <c r="S52" s="82"/>
      <c r="T52" s="82"/>
      <c r="U52" s="17"/>
      <c r="V52" s="82"/>
      <c r="W52" s="82"/>
      <c r="X52" s="82"/>
      <c r="Y52" s="126"/>
      <c r="Z52" s="82"/>
      <c r="AA52" s="82"/>
      <c r="AB52" s="82"/>
      <c r="AC52" s="17"/>
      <c r="AD52" s="82"/>
      <c r="AE52" s="82"/>
      <c r="AF52" s="82"/>
      <c r="AG52" s="17"/>
      <c r="AH52" s="82"/>
      <c r="AI52" s="82"/>
      <c r="AJ52" s="82"/>
      <c r="AK52" s="17"/>
      <c r="AL52" s="82"/>
      <c r="AM52" s="82"/>
      <c r="AN52" s="82"/>
      <c r="AO52" s="126"/>
      <c r="AP52" s="82"/>
      <c r="AQ52" s="82"/>
      <c r="AR52" s="82"/>
      <c r="AS52" s="17"/>
      <c r="AT52" s="82"/>
      <c r="AU52" s="82"/>
      <c r="AV52" s="82"/>
      <c r="AW52" s="17"/>
      <c r="AX52" s="82"/>
      <c r="AY52" s="82"/>
      <c r="AZ52" s="82"/>
      <c r="BA52" s="17"/>
      <c r="BB52" s="82"/>
      <c r="BC52" s="82"/>
      <c r="BD52" s="82"/>
      <c r="BE52" s="126"/>
      <c r="BF52" s="82"/>
      <c r="BG52" s="82"/>
      <c r="BH52" s="82"/>
      <c r="BI52" s="17"/>
      <c r="BJ52" s="82"/>
      <c r="BK52" s="82"/>
      <c r="BL52" s="82"/>
      <c r="BM52" s="17"/>
      <c r="BN52" s="82"/>
      <c r="BO52" s="82"/>
      <c r="BP52" s="82"/>
      <c r="BQ52" s="17"/>
      <c r="BR52" s="82"/>
      <c r="BS52" s="82"/>
      <c r="BT52" s="82"/>
      <c r="BU52" s="126"/>
      <c r="BV52" s="82"/>
      <c r="BW52" s="82"/>
      <c r="BX52" s="82"/>
      <c r="BY52" s="17"/>
      <c r="BZ52" s="82"/>
      <c r="CA52" s="82"/>
      <c r="CB52" s="82"/>
      <c r="CC52" s="17"/>
      <c r="CD52" s="82"/>
      <c r="CE52" s="82"/>
      <c r="CF52" s="82"/>
      <c r="CG52" s="17"/>
      <c r="CH52" s="82"/>
      <c r="CI52" s="82"/>
      <c r="CJ52" s="82"/>
      <c r="CK52" s="126"/>
      <c r="CL52" s="82"/>
      <c r="CM52" s="82"/>
      <c r="CN52" s="82"/>
      <c r="CO52" s="17"/>
      <c r="CP52" s="82"/>
      <c r="CQ52" s="82"/>
      <c r="CR52" s="82"/>
      <c r="CS52" s="17"/>
      <c r="CT52" s="82"/>
      <c r="CU52" s="82"/>
      <c r="CV52" s="82"/>
      <c r="CW52" s="17"/>
      <c r="CX52" s="82"/>
      <c r="CY52" s="82"/>
      <c r="CZ52" s="82"/>
      <c r="DA52" s="17"/>
      <c r="DB52" s="82"/>
      <c r="DC52" s="82"/>
      <c r="DD52" s="82"/>
      <c r="DE52" s="17"/>
      <c r="DF52" s="17"/>
      <c r="DG52" s="17"/>
      <c r="DH52" s="17"/>
      <c r="DI52" s="17"/>
      <c r="DJ52" s="17"/>
      <c r="DK52" s="17"/>
      <c r="DL52" s="17"/>
      <c r="DM52" s="17"/>
      <c r="DN52" s="17"/>
      <c r="DO52" s="17"/>
      <c r="DP52" s="17"/>
      <c r="DQ52" s="17"/>
    </row>
    <row r="53" spans="2:121" ht="14.1" customHeight="1" x14ac:dyDescent="0.2">
      <c r="B53" s="18" t="s">
        <v>28</v>
      </c>
      <c r="C53" s="22"/>
      <c r="D53" s="22"/>
      <c r="E53" s="22"/>
      <c r="F53" s="92"/>
      <c r="G53" s="82"/>
      <c r="H53" s="82"/>
      <c r="I53" s="126"/>
      <c r="J53" s="82"/>
      <c r="K53" s="82"/>
      <c r="L53" s="82"/>
      <c r="M53" s="17"/>
      <c r="N53" s="82"/>
      <c r="O53" s="82"/>
      <c r="P53" s="82"/>
      <c r="Q53" s="17"/>
      <c r="R53" s="82"/>
      <c r="S53" s="82"/>
      <c r="T53" s="82"/>
      <c r="U53" s="17"/>
      <c r="V53" s="82"/>
      <c r="W53" s="82"/>
      <c r="X53" s="82"/>
      <c r="Y53" s="126"/>
      <c r="Z53" s="82"/>
      <c r="AA53" s="82"/>
      <c r="AB53" s="82"/>
      <c r="AC53" s="17"/>
      <c r="AD53" s="82"/>
      <c r="AE53" s="82"/>
      <c r="AF53" s="82"/>
      <c r="AG53" s="17"/>
      <c r="AH53" s="82"/>
      <c r="AI53" s="82"/>
      <c r="AJ53" s="82"/>
      <c r="AK53" s="17"/>
      <c r="AL53" s="82"/>
      <c r="AM53" s="82"/>
      <c r="AN53" s="82"/>
      <c r="AO53" s="126"/>
      <c r="AP53" s="82"/>
      <c r="AQ53" s="82"/>
      <c r="AR53" s="82"/>
      <c r="AS53" s="17"/>
      <c r="AT53" s="82"/>
      <c r="AU53" s="82"/>
      <c r="AV53" s="82"/>
      <c r="AW53" s="17"/>
      <c r="AX53" s="82"/>
      <c r="AY53" s="82"/>
      <c r="AZ53" s="82"/>
      <c r="BA53" s="17"/>
      <c r="BB53" s="82"/>
      <c r="BC53" s="82"/>
      <c r="BD53" s="82"/>
      <c r="BE53" s="126"/>
      <c r="BF53" s="82"/>
      <c r="BG53" s="82"/>
      <c r="BH53" s="82"/>
      <c r="BI53" s="17"/>
      <c r="BJ53" s="82"/>
      <c r="BK53" s="82"/>
      <c r="BL53" s="82"/>
      <c r="BM53" s="17"/>
      <c r="BN53" s="82"/>
      <c r="BO53" s="82"/>
      <c r="BP53" s="82"/>
      <c r="BQ53" s="17"/>
      <c r="BR53" s="82"/>
      <c r="BS53" s="82"/>
      <c r="BT53" s="82"/>
      <c r="BU53" s="126"/>
      <c r="BV53" s="82"/>
      <c r="BW53" s="82"/>
      <c r="BX53" s="82"/>
      <c r="BY53" s="17"/>
      <c r="BZ53" s="82"/>
      <c r="CA53" s="82"/>
      <c r="CB53" s="82"/>
      <c r="CC53" s="17"/>
      <c r="CD53" s="82"/>
      <c r="CE53" s="82"/>
      <c r="CF53" s="82"/>
      <c r="CG53" s="17"/>
      <c r="CH53" s="82"/>
      <c r="CI53" s="82"/>
      <c r="CJ53" s="82"/>
      <c r="CK53" s="126"/>
      <c r="CL53" s="82"/>
      <c r="CM53" s="82"/>
      <c r="CN53" s="82"/>
      <c r="CO53" s="17"/>
      <c r="CP53" s="82"/>
      <c r="CQ53" s="82"/>
      <c r="CR53" s="82"/>
      <c r="CS53" s="17"/>
      <c r="CT53" s="82"/>
      <c r="CU53" s="82"/>
      <c r="CV53" s="82"/>
      <c r="CW53" s="17"/>
      <c r="CX53" s="82"/>
      <c r="CY53" s="82"/>
      <c r="CZ53" s="82"/>
      <c r="DA53" s="17"/>
      <c r="DB53" s="82"/>
      <c r="DC53" s="82"/>
      <c r="DD53" s="82"/>
      <c r="DE53" s="17"/>
      <c r="DF53" s="17"/>
      <c r="DG53" s="17"/>
      <c r="DH53" s="17"/>
      <c r="DI53" s="17"/>
      <c r="DJ53" s="17"/>
      <c r="DK53" s="17"/>
      <c r="DL53" s="17"/>
      <c r="DM53" s="17"/>
      <c r="DN53" s="17"/>
      <c r="DO53" s="17"/>
      <c r="DP53" s="17"/>
      <c r="DQ53" s="17"/>
    </row>
    <row r="54" spans="2:121" ht="14.1" customHeight="1" x14ac:dyDescent="0.2">
      <c r="B54" s="18"/>
      <c r="C54" s="22"/>
      <c r="D54" s="22"/>
      <c r="E54" s="22"/>
      <c r="F54" s="92"/>
      <c r="G54" s="82"/>
      <c r="H54" s="82"/>
      <c r="I54" s="126"/>
      <c r="J54" s="82"/>
      <c r="K54" s="82"/>
      <c r="L54" s="82"/>
      <c r="M54" s="17"/>
      <c r="N54" s="82"/>
      <c r="O54" s="82"/>
      <c r="P54" s="82"/>
      <c r="Q54" s="17"/>
      <c r="R54" s="82"/>
      <c r="S54" s="82"/>
      <c r="T54" s="82"/>
      <c r="U54" s="17"/>
      <c r="V54" s="82"/>
      <c r="W54" s="82"/>
      <c r="X54" s="82"/>
      <c r="Y54" s="126"/>
      <c r="Z54" s="82"/>
      <c r="AA54" s="82"/>
      <c r="AB54" s="82"/>
      <c r="AC54" s="17"/>
      <c r="AD54" s="82"/>
      <c r="AE54" s="82"/>
      <c r="AF54" s="82"/>
      <c r="AG54" s="17"/>
      <c r="AH54" s="82"/>
      <c r="AI54" s="82"/>
      <c r="AJ54" s="82"/>
      <c r="AK54" s="17"/>
      <c r="AL54" s="82"/>
      <c r="AM54" s="82"/>
      <c r="AN54" s="82"/>
      <c r="AO54" s="126"/>
      <c r="AP54" s="82"/>
      <c r="AQ54" s="82"/>
      <c r="AR54" s="82"/>
      <c r="AS54" s="17"/>
      <c r="AT54" s="82"/>
      <c r="AU54" s="82"/>
      <c r="AV54" s="82"/>
      <c r="AW54" s="17"/>
      <c r="AX54" s="82"/>
      <c r="AY54" s="82"/>
      <c r="AZ54" s="82"/>
      <c r="BA54" s="17"/>
      <c r="BB54" s="82"/>
      <c r="BC54" s="82"/>
      <c r="BD54" s="82"/>
      <c r="BE54" s="126"/>
      <c r="BF54" s="82"/>
      <c r="BG54" s="82"/>
      <c r="BH54" s="82"/>
      <c r="BI54" s="17"/>
      <c r="BJ54" s="82"/>
      <c r="BK54" s="82"/>
      <c r="BL54" s="82"/>
      <c r="BM54" s="17"/>
      <c r="BN54" s="82"/>
      <c r="BO54" s="82"/>
      <c r="BP54" s="82"/>
      <c r="BQ54" s="17"/>
      <c r="BR54" s="82"/>
      <c r="BS54" s="82"/>
      <c r="BT54" s="82"/>
      <c r="BU54" s="126"/>
      <c r="BV54" s="82"/>
      <c r="BW54" s="82"/>
      <c r="BX54" s="82"/>
      <c r="BY54" s="17"/>
      <c r="BZ54" s="82"/>
      <c r="CA54" s="82"/>
      <c r="CB54" s="82"/>
      <c r="CC54" s="17"/>
      <c r="CD54" s="82"/>
      <c r="CE54" s="82"/>
      <c r="CF54" s="82"/>
      <c r="CG54" s="17"/>
      <c r="CH54" s="82"/>
      <c r="CI54" s="82"/>
      <c r="CJ54" s="82"/>
      <c r="CK54" s="126"/>
      <c r="CL54" s="82"/>
      <c r="CM54" s="82"/>
      <c r="CN54" s="82"/>
      <c r="CO54" s="17"/>
      <c r="CP54" s="82"/>
      <c r="CQ54" s="82"/>
      <c r="CR54" s="82"/>
      <c r="CS54" s="17"/>
      <c r="CT54" s="82"/>
      <c r="CU54" s="82"/>
      <c r="CV54" s="82"/>
      <c r="CW54" s="17"/>
      <c r="CX54" s="82"/>
      <c r="CY54" s="82"/>
      <c r="CZ54" s="82"/>
      <c r="DA54" s="17"/>
      <c r="DB54" s="82"/>
      <c r="DC54" s="82"/>
      <c r="DD54" s="82"/>
      <c r="DE54" s="17"/>
      <c r="DF54" s="17"/>
      <c r="DG54" s="17"/>
      <c r="DH54" s="17"/>
      <c r="DI54" s="17"/>
      <c r="DJ54" s="17"/>
      <c r="DK54" s="17"/>
      <c r="DL54" s="17"/>
      <c r="DM54" s="17"/>
      <c r="DN54" s="17"/>
      <c r="DO54" s="17"/>
      <c r="DP54" s="17"/>
      <c r="DQ54" s="17"/>
    </row>
    <row r="55" spans="2:121" ht="14.1" customHeight="1" x14ac:dyDescent="0.2">
      <c r="B55" s="19" t="s">
        <v>181</v>
      </c>
      <c r="C55" s="22"/>
      <c r="D55" s="22"/>
      <c r="E55" s="22"/>
      <c r="F55" s="92"/>
      <c r="G55" s="82"/>
      <c r="H55" s="82"/>
      <c r="I55" s="126"/>
      <c r="J55" s="82"/>
      <c r="K55" s="82"/>
      <c r="L55" s="82"/>
      <c r="M55" s="17"/>
      <c r="N55" s="82"/>
      <c r="O55" s="82"/>
      <c r="P55" s="82"/>
      <c r="Q55" s="17"/>
      <c r="R55" s="82"/>
      <c r="S55" s="82"/>
      <c r="T55" s="82"/>
      <c r="U55" s="17"/>
      <c r="V55" s="82"/>
      <c r="W55" s="82"/>
      <c r="X55" s="82"/>
      <c r="Y55" s="126"/>
      <c r="Z55" s="82"/>
      <c r="AA55" s="82"/>
      <c r="AB55" s="82"/>
      <c r="AC55" s="17"/>
      <c r="AD55" s="82"/>
      <c r="AE55" s="82"/>
      <c r="AF55" s="82"/>
      <c r="AG55" s="17"/>
      <c r="AH55" s="82"/>
      <c r="AI55" s="82"/>
      <c r="AJ55" s="82"/>
      <c r="AK55" s="17"/>
      <c r="AL55" s="82"/>
      <c r="AM55" s="82"/>
      <c r="AN55" s="82"/>
      <c r="AO55" s="126"/>
      <c r="AP55" s="82"/>
      <c r="AQ55" s="82"/>
      <c r="AR55" s="82"/>
      <c r="AS55" s="17"/>
      <c r="AT55" s="82"/>
      <c r="AU55" s="82"/>
      <c r="AV55" s="82"/>
      <c r="AW55" s="17"/>
      <c r="AX55" s="82"/>
      <c r="AY55" s="82"/>
      <c r="AZ55" s="82"/>
      <c r="BA55" s="17"/>
      <c r="BB55" s="82"/>
      <c r="BC55" s="82"/>
      <c r="BD55" s="82"/>
      <c r="BE55" s="126"/>
      <c r="BF55" s="82"/>
      <c r="BG55" s="82"/>
      <c r="BH55" s="82"/>
      <c r="BI55" s="17"/>
      <c r="BJ55" s="82"/>
      <c r="BK55" s="82"/>
      <c r="BL55" s="82"/>
      <c r="BM55" s="17"/>
      <c r="BN55" s="82"/>
      <c r="BO55" s="82"/>
      <c r="BP55" s="82"/>
      <c r="BQ55" s="17"/>
      <c r="BR55" s="82"/>
      <c r="BS55" s="82"/>
      <c r="BT55" s="82"/>
      <c r="BU55" s="126"/>
      <c r="BV55" s="82"/>
      <c r="BW55" s="82"/>
      <c r="BX55" s="82"/>
      <c r="BY55" s="17"/>
      <c r="BZ55" s="82"/>
      <c r="CA55" s="82"/>
      <c r="CB55" s="82"/>
      <c r="CC55" s="17"/>
      <c r="CD55" s="82"/>
      <c r="CE55" s="82"/>
      <c r="CF55" s="82"/>
      <c r="CG55" s="17"/>
      <c r="CH55" s="82"/>
      <c r="CI55" s="82"/>
      <c r="CJ55" s="82"/>
      <c r="CK55" s="126"/>
      <c r="CL55" s="82"/>
      <c r="CM55" s="82"/>
      <c r="CN55" s="82"/>
      <c r="CO55" s="17"/>
      <c r="CP55" s="82"/>
      <c r="CQ55" s="82"/>
      <c r="CR55" s="82"/>
      <c r="CS55" s="17"/>
      <c r="CT55" s="82"/>
      <c r="CU55" s="82"/>
      <c r="CV55" s="82"/>
      <c r="CW55" s="17"/>
      <c r="CX55" s="82"/>
      <c r="CY55" s="82"/>
      <c r="CZ55" s="82"/>
      <c r="DA55" s="17"/>
      <c r="DB55" s="82"/>
      <c r="DC55" s="82"/>
      <c r="DD55" s="82"/>
      <c r="DE55" s="17"/>
      <c r="DF55" s="17"/>
      <c r="DG55" s="17"/>
      <c r="DH55" s="17"/>
      <c r="DI55" s="17"/>
      <c r="DJ55" s="17"/>
      <c r="DK55" s="17"/>
      <c r="DL55" s="17"/>
      <c r="DM55" s="17"/>
      <c r="DN55" s="17"/>
      <c r="DO55" s="17"/>
      <c r="DP55" s="17"/>
      <c r="DQ55" s="17"/>
    </row>
    <row r="56" spans="2:121" ht="14.1" customHeight="1" x14ac:dyDescent="0.2">
      <c r="B56" s="147" t="s">
        <v>159</v>
      </c>
      <c r="C56" s="22"/>
      <c r="D56" s="22"/>
      <c r="E56" s="22"/>
      <c r="F56" s="92"/>
      <c r="G56" s="82"/>
      <c r="H56" s="82"/>
      <c r="I56" s="126"/>
      <c r="J56" s="82"/>
      <c r="K56" s="82"/>
      <c r="L56" s="82"/>
      <c r="M56" s="17"/>
      <c r="N56" s="82"/>
      <c r="O56" s="82"/>
      <c r="P56" s="82"/>
      <c r="Q56" s="17"/>
      <c r="R56" s="82"/>
      <c r="S56" s="82"/>
      <c r="T56" s="82"/>
      <c r="U56" s="17"/>
      <c r="V56" s="82"/>
      <c r="W56" s="82"/>
      <c r="X56" s="82"/>
      <c r="Y56" s="126"/>
      <c r="Z56" s="82"/>
      <c r="AA56" s="82"/>
      <c r="AB56" s="82"/>
      <c r="AC56" s="17"/>
      <c r="AD56" s="82"/>
      <c r="AE56" s="82"/>
      <c r="AF56" s="82"/>
      <c r="AG56" s="17"/>
      <c r="AH56" s="82"/>
      <c r="AI56" s="82"/>
      <c r="AJ56" s="82"/>
      <c r="AK56" s="17"/>
      <c r="AL56" s="82"/>
      <c r="AM56" s="82"/>
      <c r="AN56" s="82"/>
      <c r="AO56" s="126"/>
      <c r="AP56" s="82"/>
      <c r="AQ56" s="82"/>
      <c r="AR56" s="82"/>
      <c r="AS56" s="17"/>
      <c r="AT56" s="82"/>
      <c r="AU56" s="82"/>
      <c r="AV56" s="82"/>
      <c r="AW56" s="17"/>
      <c r="AX56" s="82"/>
      <c r="AY56" s="82"/>
      <c r="AZ56" s="82"/>
      <c r="BA56" s="17"/>
      <c r="BB56" s="82"/>
      <c r="BC56" s="82"/>
      <c r="BD56" s="82"/>
      <c r="BE56" s="126"/>
      <c r="BF56" s="82"/>
      <c r="BG56" s="82"/>
      <c r="BH56" s="82"/>
      <c r="BI56" s="17"/>
      <c r="BJ56" s="82"/>
      <c r="BK56" s="82"/>
      <c r="BL56" s="82"/>
      <c r="BM56" s="17"/>
      <c r="BN56" s="82"/>
      <c r="BO56" s="82"/>
      <c r="BP56" s="82"/>
      <c r="BQ56" s="17"/>
      <c r="BR56" s="82"/>
      <c r="BS56" s="82"/>
      <c r="BT56" s="82"/>
      <c r="BU56" s="126"/>
      <c r="BV56" s="82"/>
      <c r="BW56" s="82"/>
      <c r="BX56" s="82"/>
      <c r="BY56" s="17"/>
      <c r="BZ56" s="82"/>
      <c r="CA56" s="82"/>
      <c r="CB56" s="82"/>
      <c r="CC56" s="17"/>
      <c r="CD56" s="82"/>
      <c r="CE56" s="82"/>
      <c r="CF56" s="82"/>
      <c r="CG56" s="17"/>
      <c r="CH56" s="82"/>
      <c r="CI56" s="82"/>
      <c r="CJ56" s="82"/>
      <c r="CK56" s="126"/>
      <c r="CL56" s="82"/>
      <c r="CM56" s="82"/>
      <c r="CN56" s="82"/>
      <c r="CO56" s="17"/>
      <c r="CP56" s="82"/>
      <c r="CQ56" s="82"/>
      <c r="CR56" s="82"/>
      <c r="CS56" s="17"/>
      <c r="CT56" s="82"/>
      <c r="CU56" s="82"/>
      <c r="CV56" s="82"/>
      <c r="CW56" s="17"/>
      <c r="CX56" s="82"/>
      <c r="CY56" s="82"/>
      <c r="CZ56" s="82"/>
      <c r="DA56" s="17"/>
      <c r="DB56" s="82"/>
      <c r="DC56" s="82"/>
      <c r="DD56" s="82"/>
      <c r="DE56" s="17"/>
      <c r="DF56" s="17"/>
      <c r="DG56" s="17"/>
      <c r="DH56" s="17"/>
      <c r="DI56" s="17"/>
      <c r="DJ56" s="17"/>
      <c r="DK56" s="17"/>
      <c r="DL56" s="17"/>
      <c r="DM56" s="17"/>
      <c r="DN56" s="17"/>
      <c r="DO56" s="17"/>
      <c r="DP56" s="17"/>
      <c r="DQ56" s="17"/>
    </row>
    <row r="57" spans="2:121" ht="13.9" customHeight="1" x14ac:dyDescent="0.2">
      <c r="B57" s="147" t="s">
        <v>162</v>
      </c>
      <c r="C57" s="22"/>
      <c r="D57" s="22"/>
      <c r="E57" s="22"/>
      <c r="F57" s="92"/>
      <c r="G57" s="82"/>
      <c r="H57" s="82"/>
      <c r="I57" s="126"/>
      <c r="J57" s="82"/>
      <c r="K57" s="82"/>
      <c r="L57" s="82"/>
      <c r="M57" s="17"/>
      <c r="N57" s="82"/>
      <c r="O57" s="82"/>
      <c r="P57" s="82"/>
      <c r="Q57" s="17"/>
      <c r="R57" s="82"/>
      <c r="S57" s="82"/>
      <c r="T57" s="82"/>
      <c r="U57" s="17"/>
      <c r="V57" s="82"/>
      <c r="W57" s="82"/>
      <c r="X57" s="82"/>
      <c r="Y57" s="126"/>
      <c r="Z57" s="82"/>
      <c r="AA57" s="82"/>
      <c r="AB57" s="82"/>
      <c r="AC57" s="17"/>
      <c r="AD57" s="82"/>
      <c r="AE57" s="82"/>
      <c r="AF57" s="82"/>
      <c r="AG57" s="17"/>
      <c r="AH57" s="82"/>
      <c r="AI57" s="82"/>
      <c r="AJ57" s="82"/>
      <c r="AK57" s="17"/>
      <c r="AL57" s="82"/>
      <c r="AM57" s="82"/>
      <c r="AN57" s="82"/>
      <c r="AO57" s="126"/>
      <c r="AP57" s="82"/>
      <c r="AQ57" s="82"/>
      <c r="AR57" s="82"/>
      <c r="AS57" s="17"/>
      <c r="AT57" s="82"/>
      <c r="AU57" s="82"/>
      <c r="AV57" s="82"/>
      <c r="AW57" s="17"/>
      <c r="AX57" s="82"/>
      <c r="AY57" s="82"/>
      <c r="AZ57" s="82"/>
      <c r="BA57" s="17"/>
      <c r="BB57" s="82"/>
      <c r="BC57" s="82"/>
      <c r="BD57" s="82"/>
      <c r="BE57" s="126"/>
      <c r="BF57" s="82"/>
      <c r="BG57" s="82"/>
      <c r="BH57" s="82"/>
      <c r="BI57" s="17"/>
      <c r="BJ57" s="82"/>
      <c r="BK57" s="82"/>
      <c r="BL57" s="82"/>
      <c r="BM57" s="17"/>
      <c r="BN57" s="82"/>
      <c r="BO57" s="82"/>
      <c r="BP57" s="82"/>
      <c r="BQ57" s="17"/>
      <c r="BR57" s="82"/>
      <c r="BS57" s="82"/>
      <c r="BT57" s="82"/>
      <c r="BU57" s="126"/>
      <c r="BV57" s="82"/>
      <c r="BW57" s="82"/>
      <c r="BX57" s="82"/>
      <c r="BY57" s="17"/>
      <c r="BZ57" s="82"/>
      <c r="CA57" s="82"/>
      <c r="CB57" s="82"/>
      <c r="CC57" s="17"/>
      <c r="CD57" s="82"/>
      <c r="CE57" s="82"/>
      <c r="CF57" s="82"/>
      <c r="CG57" s="17"/>
      <c r="CH57" s="82"/>
      <c r="CI57" s="82"/>
      <c r="CJ57" s="82"/>
      <c r="CK57" s="126"/>
      <c r="CL57" s="82"/>
      <c r="CM57" s="82"/>
      <c r="CN57" s="82"/>
      <c r="CO57" s="17"/>
      <c r="CP57" s="82"/>
      <c r="CQ57" s="82"/>
      <c r="CR57" s="82"/>
      <c r="CS57" s="17"/>
      <c r="CT57" s="82"/>
      <c r="CU57" s="82"/>
      <c r="CV57" s="82"/>
      <c r="CW57" s="17"/>
      <c r="CX57" s="82"/>
      <c r="CY57" s="82"/>
      <c r="CZ57" s="82"/>
      <c r="DA57" s="17"/>
      <c r="DB57" s="82"/>
      <c r="DC57" s="82"/>
      <c r="DD57" s="82"/>
      <c r="DE57" s="17"/>
      <c r="DF57" s="17"/>
      <c r="DG57" s="17"/>
      <c r="DH57" s="17"/>
      <c r="DI57" s="17"/>
      <c r="DJ57" s="17"/>
      <c r="DK57" s="17"/>
      <c r="DL57" s="17"/>
      <c r="DM57" s="17"/>
      <c r="DN57" s="17"/>
      <c r="DO57" s="17"/>
      <c r="DP57" s="17"/>
      <c r="DQ57" s="17"/>
    </row>
    <row r="58" spans="2:121" ht="14.1" customHeight="1" x14ac:dyDescent="0.2">
      <c r="B58" s="18"/>
      <c r="C58" s="22"/>
      <c r="D58" s="22"/>
      <c r="E58" s="22"/>
      <c r="F58" s="92"/>
      <c r="G58" s="82"/>
      <c r="H58" s="82"/>
      <c r="I58" s="126"/>
      <c r="J58" s="82"/>
      <c r="K58" s="82"/>
      <c r="L58" s="82"/>
      <c r="M58" s="17"/>
      <c r="N58" s="82"/>
      <c r="O58" s="82"/>
      <c r="P58" s="82"/>
      <c r="Q58" s="17"/>
      <c r="R58" s="82"/>
      <c r="S58" s="82"/>
      <c r="T58" s="82"/>
      <c r="U58" s="17"/>
      <c r="V58" s="82"/>
      <c r="W58" s="82"/>
      <c r="X58" s="82"/>
      <c r="Y58" s="126"/>
      <c r="Z58" s="82"/>
      <c r="AA58" s="82"/>
      <c r="AB58" s="82"/>
      <c r="AC58" s="17"/>
      <c r="AD58" s="82"/>
      <c r="AE58" s="82"/>
      <c r="AF58" s="82"/>
      <c r="AG58" s="17"/>
      <c r="AH58" s="82"/>
      <c r="AI58" s="82"/>
      <c r="AJ58" s="82"/>
      <c r="AK58" s="17"/>
      <c r="AL58" s="82"/>
      <c r="AM58" s="82"/>
      <c r="AN58" s="82"/>
      <c r="AO58" s="126"/>
      <c r="AP58" s="82"/>
      <c r="AQ58" s="82"/>
      <c r="AR58" s="82"/>
      <c r="AS58" s="17"/>
      <c r="AT58" s="82"/>
      <c r="AU58" s="82"/>
      <c r="AV58" s="82"/>
      <c r="AW58" s="17"/>
      <c r="AX58" s="82"/>
      <c r="AY58" s="82"/>
      <c r="AZ58" s="82"/>
      <c r="BA58" s="17"/>
      <c r="BB58" s="82"/>
      <c r="BC58" s="82"/>
      <c r="BD58" s="82"/>
      <c r="BE58" s="126"/>
      <c r="BF58" s="82"/>
      <c r="BG58" s="82"/>
      <c r="BH58" s="82"/>
      <c r="BI58" s="17"/>
      <c r="BJ58" s="82"/>
      <c r="BK58" s="82"/>
      <c r="BL58" s="82"/>
      <c r="BM58" s="17"/>
      <c r="BN58" s="82"/>
      <c r="BO58" s="82"/>
      <c r="BP58" s="82"/>
      <c r="BQ58" s="17"/>
      <c r="BR58" s="82"/>
      <c r="BS58" s="82"/>
      <c r="BT58" s="82"/>
      <c r="BU58" s="126"/>
      <c r="BV58" s="82"/>
      <c r="BW58" s="82"/>
      <c r="BX58" s="82"/>
      <c r="BY58" s="17"/>
      <c r="BZ58" s="82"/>
      <c r="CA58" s="82"/>
      <c r="CB58" s="82"/>
      <c r="CC58" s="17"/>
      <c r="CD58" s="82"/>
      <c r="CE58" s="82"/>
      <c r="CF58" s="82"/>
      <c r="CG58" s="17"/>
      <c r="CH58" s="82"/>
      <c r="CI58" s="82"/>
      <c r="CJ58" s="82"/>
      <c r="CK58" s="126"/>
      <c r="CL58" s="82"/>
      <c r="CM58" s="82"/>
      <c r="CN58" s="82"/>
      <c r="CO58" s="17"/>
      <c r="CP58" s="82"/>
      <c r="CQ58" s="82"/>
      <c r="CR58" s="82"/>
      <c r="CS58" s="17"/>
      <c r="CT58" s="82"/>
      <c r="CU58" s="82"/>
      <c r="CV58" s="82"/>
      <c r="CW58" s="17"/>
      <c r="CX58" s="82"/>
      <c r="CY58" s="82"/>
      <c r="CZ58" s="82"/>
      <c r="DA58" s="17"/>
      <c r="DB58" s="82"/>
      <c r="DC58" s="82"/>
      <c r="DD58" s="82"/>
      <c r="DE58" s="17"/>
      <c r="DF58" s="17"/>
      <c r="DG58" s="17"/>
      <c r="DH58" s="17"/>
      <c r="DI58" s="17"/>
      <c r="DJ58" s="17"/>
      <c r="DK58" s="17"/>
      <c r="DL58" s="17"/>
      <c r="DM58" s="17"/>
      <c r="DN58" s="17"/>
      <c r="DO58" s="17"/>
      <c r="DP58" s="17"/>
      <c r="DQ58" s="17"/>
    </row>
    <row r="59" spans="2:121" ht="14.1" customHeight="1" x14ac:dyDescent="0.2">
      <c r="B59" s="19" t="s">
        <v>155</v>
      </c>
      <c r="C59" s="22"/>
      <c r="D59" s="22"/>
      <c r="E59" s="22"/>
      <c r="F59" s="92"/>
      <c r="G59" s="82"/>
      <c r="H59" s="82"/>
      <c r="I59" s="126"/>
      <c r="J59" s="82"/>
      <c r="K59" s="82"/>
      <c r="L59" s="82"/>
      <c r="M59" s="17"/>
      <c r="N59" s="82"/>
      <c r="O59" s="82"/>
      <c r="P59" s="82"/>
      <c r="Q59" s="17"/>
      <c r="R59" s="82"/>
      <c r="S59" s="82"/>
      <c r="T59" s="82"/>
      <c r="U59" s="17"/>
      <c r="V59" s="82"/>
      <c r="W59" s="82"/>
      <c r="X59" s="82"/>
      <c r="Y59" s="126"/>
      <c r="Z59" s="82"/>
      <c r="AA59" s="82"/>
      <c r="AB59" s="82"/>
      <c r="AC59" s="17"/>
      <c r="AD59" s="82"/>
      <c r="AE59" s="82"/>
      <c r="AF59" s="82"/>
      <c r="AG59" s="17"/>
      <c r="AH59" s="82"/>
      <c r="AI59" s="82"/>
      <c r="AJ59" s="82"/>
      <c r="AK59" s="17"/>
      <c r="AL59" s="82"/>
      <c r="AM59" s="82"/>
      <c r="AN59" s="82"/>
      <c r="AO59" s="126"/>
      <c r="AP59" s="82"/>
      <c r="AQ59" s="82"/>
      <c r="AR59" s="82"/>
      <c r="AS59" s="17"/>
      <c r="AT59" s="82"/>
      <c r="AU59" s="82"/>
      <c r="AV59" s="82"/>
      <c r="AW59" s="17"/>
      <c r="AX59" s="82"/>
      <c r="AY59" s="82"/>
      <c r="AZ59" s="82"/>
      <c r="BA59" s="17"/>
      <c r="BB59" s="82"/>
      <c r="BC59" s="82"/>
      <c r="BD59" s="82"/>
      <c r="BE59" s="126"/>
      <c r="BF59" s="82"/>
      <c r="BG59" s="82"/>
      <c r="BH59" s="82"/>
      <c r="BI59" s="17"/>
      <c r="BJ59" s="82"/>
      <c r="BK59" s="82"/>
      <c r="BL59" s="82"/>
      <c r="BM59" s="17"/>
      <c r="BN59" s="82"/>
      <c r="BO59" s="82"/>
      <c r="BP59" s="82"/>
      <c r="BQ59" s="17"/>
      <c r="BR59" s="82"/>
      <c r="BS59" s="82"/>
      <c r="BT59" s="82"/>
      <c r="BU59" s="126"/>
      <c r="BV59" s="82"/>
      <c r="BW59" s="82"/>
      <c r="BX59" s="82"/>
      <c r="BY59" s="17"/>
      <c r="BZ59" s="82"/>
      <c r="CA59" s="82"/>
      <c r="CB59" s="82"/>
      <c r="CC59" s="17"/>
      <c r="CD59" s="82"/>
      <c r="CE59" s="82"/>
      <c r="CF59" s="82"/>
      <c r="CG59" s="17"/>
      <c r="CH59" s="82"/>
      <c r="CI59" s="82"/>
      <c r="CJ59" s="82"/>
      <c r="CK59" s="126"/>
      <c r="CL59" s="82"/>
      <c r="CM59" s="82"/>
      <c r="CN59" s="82"/>
      <c r="CO59" s="17"/>
      <c r="CP59" s="82"/>
      <c r="CQ59" s="82"/>
      <c r="CR59" s="82"/>
      <c r="CS59" s="17"/>
      <c r="CT59" s="82"/>
      <c r="CU59" s="82"/>
      <c r="CV59" s="82"/>
      <c r="CW59" s="17"/>
      <c r="CX59" s="82"/>
      <c r="CY59" s="82"/>
      <c r="CZ59" s="82"/>
      <c r="DA59" s="17"/>
      <c r="DB59" s="82"/>
      <c r="DC59" s="82"/>
      <c r="DD59" s="82"/>
      <c r="DE59" s="17"/>
      <c r="DF59" s="17"/>
      <c r="DG59" s="17"/>
      <c r="DH59" s="17"/>
      <c r="DI59" s="17"/>
      <c r="DJ59" s="17"/>
      <c r="DK59" s="17"/>
      <c r="DL59" s="17"/>
      <c r="DM59" s="17"/>
      <c r="DN59" s="17"/>
      <c r="DO59" s="17"/>
      <c r="DP59" s="17"/>
      <c r="DQ59" s="17"/>
    </row>
    <row r="60" spans="2:121" ht="14.1" customHeight="1" x14ac:dyDescent="0.2">
      <c r="B60" s="147" t="s">
        <v>159</v>
      </c>
      <c r="C60" s="22"/>
      <c r="D60" s="22"/>
      <c r="E60" s="22"/>
      <c r="F60" s="92"/>
      <c r="G60" s="82"/>
      <c r="H60" s="82"/>
      <c r="I60" s="126"/>
      <c r="J60" s="82"/>
      <c r="K60" s="82"/>
      <c r="L60" s="82"/>
      <c r="M60" s="17"/>
      <c r="N60" s="82"/>
      <c r="O60" s="82"/>
      <c r="P60" s="82"/>
      <c r="Q60" s="17"/>
      <c r="R60" s="82"/>
      <c r="S60" s="82"/>
      <c r="T60" s="82"/>
      <c r="U60" s="17"/>
      <c r="V60" s="82"/>
      <c r="W60" s="82"/>
      <c r="X60" s="82"/>
      <c r="Y60" s="126"/>
      <c r="Z60" s="82"/>
      <c r="AA60" s="82"/>
      <c r="AB60" s="82"/>
      <c r="AC60" s="17"/>
      <c r="AD60" s="82"/>
      <c r="AE60" s="82"/>
      <c r="AF60" s="82"/>
      <c r="AG60" s="17"/>
      <c r="AH60" s="82"/>
      <c r="AI60" s="82"/>
      <c r="AJ60" s="82"/>
      <c r="AK60" s="17"/>
      <c r="AL60" s="82"/>
      <c r="AM60" s="82"/>
      <c r="AN60" s="82"/>
      <c r="AO60" s="126"/>
      <c r="AP60" s="82"/>
      <c r="AQ60" s="82"/>
      <c r="AR60" s="82"/>
      <c r="AS60" s="17"/>
      <c r="AT60" s="82"/>
      <c r="AU60" s="82"/>
      <c r="AV60" s="82"/>
      <c r="AW60" s="17"/>
      <c r="AX60" s="82"/>
      <c r="AY60" s="82"/>
      <c r="AZ60" s="82"/>
      <c r="BA60" s="17"/>
      <c r="BB60" s="82"/>
      <c r="BC60" s="82"/>
      <c r="BD60" s="82"/>
      <c r="BE60" s="126"/>
      <c r="BF60" s="82"/>
      <c r="BG60" s="82"/>
      <c r="BH60" s="82"/>
      <c r="BI60" s="17"/>
      <c r="BJ60" s="82"/>
      <c r="BK60" s="82"/>
      <c r="BL60" s="82"/>
      <c r="BM60" s="17"/>
      <c r="BN60" s="82"/>
      <c r="BO60" s="82"/>
      <c r="BP60" s="82"/>
      <c r="BQ60" s="17"/>
      <c r="BR60" s="82"/>
      <c r="BS60" s="82"/>
      <c r="BT60" s="82"/>
      <c r="BU60" s="126"/>
      <c r="BV60" s="82"/>
      <c r="BW60" s="82"/>
      <c r="BX60" s="82"/>
      <c r="BY60" s="17"/>
      <c r="BZ60" s="82"/>
      <c r="CA60" s="82"/>
      <c r="CB60" s="82"/>
      <c r="CC60" s="17"/>
      <c r="CD60" s="82"/>
      <c r="CE60" s="82"/>
      <c r="CF60" s="82"/>
      <c r="CG60" s="17"/>
      <c r="CH60" s="82"/>
      <c r="CI60" s="82"/>
      <c r="CJ60" s="82"/>
      <c r="CK60" s="126"/>
      <c r="CL60" s="82"/>
      <c r="CM60" s="82"/>
      <c r="CN60" s="82"/>
      <c r="CO60" s="17"/>
      <c r="CP60" s="82"/>
      <c r="CQ60" s="82"/>
      <c r="CR60" s="82"/>
      <c r="CS60" s="17"/>
      <c r="CT60" s="82"/>
      <c r="CU60" s="82"/>
      <c r="CV60" s="82"/>
      <c r="CW60" s="17"/>
      <c r="CX60" s="82"/>
      <c r="CY60" s="82"/>
      <c r="CZ60" s="82"/>
      <c r="DA60" s="17"/>
      <c r="DB60" s="82"/>
      <c r="DC60" s="82"/>
      <c r="DD60" s="82"/>
      <c r="DE60" s="17"/>
      <c r="DF60" s="17"/>
      <c r="DG60" s="17"/>
      <c r="DH60" s="17"/>
      <c r="DI60" s="17"/>
      <c r="DJ60" s="17"/>
      <c r="DK60" s="17"/>
      <c r="DL60" s="17"/>
      <c r="DM60" s="17"/>
      <c r="DN60" s="17"/>
      <c r="DO60" s="17"/>
      <c r="DP60" s="17"/>
      <c r="DQ60" s="17"/>
    </row>
    <row r="61" spans="2:121" ht="14.1" customHeight="1" x14ac:dyDescent="0.2">
      <c r="B61" s="18" t="s">
        <v>157</v>
      </c>
      <c r="C61" s="22"/>
      <c r="D61" s="22"/>
      <c r="E61" s="22"/>
      <c r="F61" s="92"/>
      <c r="G61" s="82"/>
      <c r="H61" s="82"/>
      <c r="I61" s="126"/>
      <c r="J61" s="82"/>
      <c r="K61" s="82"/>
      <c r="L61" s="82"/>
      <c r="M61" s="17"/>
      <c r="N61" s="82"/>
      <c r="O61" s="82"/>
      <c r="P61" s="82"/>
      <c r="Q61" s="17"/>
      <c r="R61" s="82"/>
      <c r="S61" s="82"/>
      <c r="T61" s="82"/>
      <c r="U61" s="17"/>
      <c r="V61" s="82"/>
      <c r="W61" s="82"/>
      <c r="X61" s="82"/>
      <c r="Y61" s="126"/>
      <c r="Z61" s="82"/>
      <c r="AA61" s="82"/>
      <c r="AB61" s="82"/>
      <c r="AC61" s="17"/>
      <c r="AD61" s="82"/>
      <c r="AE61" s="82"/>
      <c r="AF61" s="82"/>
      <c r="AG61" s="17"/>
      <c r="AH61" s="82"/>
      <c r="AI61" s="82"/>
      <c r="AJ61" s="82"/>
      <c r="AK61" s="17"/>
      <c r="AL61" s="82"/>
      <c r="AM61" s="82"/>
      <c r="AN61" s="82"/>
      <c r="AO61" s="126"/>
      <c r="AP61" s="82"/>
      <c r="AQ61" s="82"/>
      <c r="AR61" s="82"/>
      <c r="AS61" s="17"/>
      <c r="AT61" s="82"/>
      <c r="AU61" s="82"/>
      <c r="AV61" s="82"/>
      <c r="AW61" s="17"/>
      <c r="AX61" s="82"/>
      <c r="AY61" s="82"/>
      <c r="AZ61" s="82"/>
      <c r="BA61" s="17"/>
      <c r="BB61" s="82"/>
      <c r="BC61" s="82"/>
      <c r="BD61" s="82"/>
      <c r="BE61" s="126"/>
      <c r="BF61" s="82"/>
      <c r="BG61" s="82"/>
      <c r="BH61" s="82"/>
      <c r="BI61" s="17"/>
      <c r="BJ61" s="82"/>
      <c r="BK61" s="82"/>
      <c r="BL61" s="82"/>
      <c r="BM61" s="17"/>
      <c r="BN61" s="82"/>
      <c r="BO61" s="82"/>
      <c r="BP61" s="82"/>
      <c r="BQ61" s="17"/>
      <c r="BR61" s="82"/>
      <c r="BS61" s="82"/>
      <c r="BT61" s="82"/>
      <c r="BU61" s="126"/>
      <c r="BV61" s="82"/>
      <c r="BW61" s="82"/>
      <c r="BX61" s="82"/>
      <c r="BY61" s="17"/>
      <c r="BZ61" s="82"/>
      <c r="CA61" s="82"/>
      <c r="CB61" s="82"/>
      <c r="CC61" s="17"/>
      <c r="CD61" s="82"/>
      <c r="CE61" s="82"/>
      <c r="CF61" s="82"/>
      <c r="CG61" s="17"/>
      <c r="CH61" s="82"/>
      <c r="CI61" s="82"/>
      <c r="CJ61" s="82"/>
      <c r="CK61" s="126"/>
      <c r="CL61" s="82"/>
      <c r="CM61" s="82"/>
      <c r="CN61" s="82"/>
      <c r="CO61" s="17"/>
      <c r="CP61" s="82"/>
      <c r="CQ61" s="82"/>
      <c r="CR61" s="82"/>
      <c r="CS61" s="17"/>
      <c r="CT61" s="82"/>
      <c r="CU61" s="82"/>
      <c r="CV61" s="82"/>
      <c r="CW61" s="17"/>
      <c r="CX61" s="82"/>
      <c r="CY61" s="82"/>
      <c r="CZ61" s="82"/>
      <c r="DA61" s="17"/>
      <c r="DB61" s="82"/>
      <c r="DC61" s="82"/>
      <c r="DD61" s="82"/>
      <c r="DE61" s="17"/>
      <c r="DF61" s="17"/>
      <c r="DG61" s="17"/>
      <c r="DH61" s="17"/>
      <c r="DI61" s="17"/>
      <c r="DJ61" s="17"/>
      <c r="DK61" s="17"/>
      <c r="DL61" s="17"/>
      <c r="DM61" s="17"/>
      <c r="DN61" s="17"/>
      <c r="DO61" s="17"/>
      <c r="DP61" s="17"/>
      <c r="DQ61" s="17"/>
    </row>
    <row r="62" spans="2:121" ht="14.1" customHeight="1" x14ac:dyDescent="0.2">
      <c r="B62" s="18" t="s">
        <v>156</v>
      </c>
      <c r="C62" s="22"/>
      <c r="D62" s="22"/>
      <c r="E62" s="22"/>
      <c r="F62" s="92"/>
      <c r="G62" s="82"/>
      <c r="H62" s="82"/>
      <c r="I62" s="126"/>
      <c r="J62" s="82"/>
      <c r="K62" s="82"/>
      <c r="L62" s="82"/>
      <c r="M62" s="17"/>
      <c r="N62" s="82"/>
      <c r="O62" s="82"/>
      <c r="P62" s="82"/>
      <c r="Q62" s="17"/>
      <c r="R62" s="82"/>
      <c r="S62" s="82"/>
      <c r="T62" s="82"/>
      <c r="U62" s="17"/>
      <c r="V62" s="82"/>
      <c r="W62" s="82"/>
      <c r="X62" s="82"/>
      <c r="Y62" s="126"/>
      <c r="Z62" s="82"/>
      <c r="AA62" s="82"/>
      <c r="AB62" s="82"/>
      <c r="AC62" s="17"/>
      <c r="AD62" s="82"/>
      <c r="AE62" s="82"/>
      <c r="AF62" s="82"/>
      <c r="AG62" s="17"/>
      <c r="AH62" s="82"/>
      <c r="AI62" s="82"/>
      <c r="AJ62" s="82"/>
      <c r="AK62" s="17"/>
      <c r="AL62" s="82"/>
      <c r="AM62" s="82"/>
      <c r="AN62" s="82"/>
      <c r="AO62" s="126"/>
      <c r="AP62" s="82"/>
      <c r="AQ62" s="82"/>
      <c r="AR62" s="82"/>
      <c r="AS62" s="17"/>
      <c r="AT62" s="82"/>
      <c r="AU62" s="82"/>
      <c r="AV62" s="82"/>
      <c r="AW62" s="17"/>
      <c r="AX62" s="82"/>
      <c r="AY62" s="82"/>
      <c r="AZ62" s="82"/>
      <c r="BA62" s="17"/>
      <c r="BB62" s="82"/>
      <c r="BC62" s="82"/>
      <c r="BD62" s="82"/>
      <c r="BE62" s="126"/>
      <c r="BF62" s="82"/>
      <c r="BG62" s="82"/>
      <c r="BH62" s="82"/>
      <c r="BI62" s="17"/>
      <c r="BJ62" s="82"/>
      <c r="BK62" s="82"/>
      <c r="BL62" s="82"/>
      <c r="BM62" s="17"/>
      <c r="BN62" s="82"/>
      <c r="BO62" s="82"/>
      <c r="BP62" s="82"/>
      <c r="BQ62" s="17"/>
      <c r="BR62" s="82"/>
      <c r="BS62" s="82"/>
      <c r="BT62" s="82"/>
      <c r="BU62" s="126"/>
      <c r="BV62" s="82"/>
      <c r="BW62" s="82"/>
      <c r="BX62" s="82"/>
      <c r="BY62" s="17"/>
      <c r="BZ62" s="82"/>
      <c r="CA62" s="82"/>
      <c r="CB62" s="82"/>
      <c r="CC62" s="17"/>
      <c r="CD62" s="82"/>
      <c r="CE62" s="82"/>
      <c r="CF62" s="82"/>
      <c r="CG62" s="17"/>
      <c r="CH62" s="82"/>
      <c r="CI62" s="82"/>
      <c r="CJ62" s="82"/>
      <c r="CK62" s="126"/>
      <c r="CL62" s="82"/>
      <c r="CM62" s="82"/>
      <c r="CN62" s="82"/>
      <c r="CO62" s="17"/>
      <c r="CP62" s="82"/>
      <c r="CQ62" s="82"/>
      <c r="CR62" s="82"/>
      <c r="CS62" s="17"/>
      <c r="CT62" s="82"/>
      <c r="CU62" s="82"/>
      <c r="CV62" s="82"/>
      <c r="CW62" s="17"/>
      <c r="CX62" s="82"/>
      <c r="CY62" s="82"/>
      <c r="CZ62" s="82"/>
      <c r="DA62" s="17"/>
      <c r="DB62" s="82"/>
      <c r="DC62" s="82"/>
      <c r="DD62" s="82"/>
      <c r="DE62" s="17"/>
      <c r="DF62" s="17"/>
      <c r="DG62" s="17"/>
      <c r="DH62" s="17"/>
      <c r="DI62" s="17"/>
      <c r="DJ62" s="17"/>
      <c r="DK62" s="17"/>
      <c r="DL62" s="17"/>
      <c r="DM62" s="17"/>
      <c r="DN62" s="17"/>
      <c r="DO62" s="17"/>
      <c r="DP62" s="17"/>
      <c r="DQ62" s="17"/>
    </row>
    <row r="63" spans="2:121" ht="13.9" customHeight="1" x14ac:dyDescent="0.2">
      <c r="B63" s="147" t="s">
        <v>162</v>
      </c>
      <c r="C63" s="22"/>
      <c r="D63" s="22"/>
      <c r="E63" s="22"/>
      <c r="F63" s="92"/>
      <c r="G63" s="82"/>
      <c r="H63" s="82"/>
      <c r="I63" s="126"/>
      <c r="J63" s="82"/>
      <c r="K63" s="82"/>
      <c r="L63" s="82"/>
      <c r="M63" s="17"/>
      <c r="N63" s="82"/>
      <c r="O63" s="82"/>
      <c r="P63" s="82"/>
      <c r="Q63" s="17"/>
      <c r="R63" s="82"/>
      <c r="S63" s="82"/>
      <c r="T63" s="82"/>
      <c r="U63" s="17"/>
      <c r="V63" s="82"/>
      <c r="W63" s="82"/>
      <c r="X63" s="82"/>
      <c r="Y63" s="126"/>
      <c r="Z63" s="82"/>
      <c r="AA63" s="82"/>
      <c r="AB63" s="82"/>
      <c r="AC63" s="17"/>
      <c r="AD63" s="82"/>
      <c r="AE63" s="82"/>
      <c r="AF63" s="82"/>
      <c r="AG63" s="17"/>
      <c r="AH63" s="82"/>
      <c r="AI63" s="82"/>
      <c r="AJ63" s="82"/>
      <c r="AK63" s="17"/>
      <c r="AL63" s="82"/>
      <c r="AM63" s="82"/>
      <c r="AN63" s="82"/>
      <c r="AO63" s="126"/>
      <c r="AP63" s="82"/>
      <c r="AQ63" s="82"/>
      <c r="AR63" s="82"/>
      <c r="AS63" s="17"/>
      <c r="AT63" s="82"/>
      <c r="AU63" s="82"/>
      <c r="AV63" s="82"/>
      <c r="AW63" s="17"/>
      <c r="AX63" s="82"/>
      <c r="AY63" s="82"/>
      <c r="AZ63" s="82"/>
      <c r="BA63" s="17"/>
      <c r="BB63" s="82"/>
      <c r="BC63" s="82"/>
      <c r="BD63" s="82"/>
      <c r="BE63" s="126"/>
      <c r="BF63" s="82"/>
      <c r="BG63" s="82"/>
      <c r="BH63" s="82"/>
      <c r="BI63" s="17"/>
      <c r="BJ63" s="82"/>
      <c r="BK63" s="82"/>
      <c r="BL63" s="82"/>
      <c r="BM63" s="17"/>
      <c r="BN63" s="82"/>
      <c r="BO63" s="82"/>
      <c r="BP63" s="82"/>
      <c r="BQ63" s="17"/>
      <c r="BR63" s="82"/>
      <c r="BS63" s="82"/>
      <c r="BT63" s="82"/>
      <c r="BU63" s="126"/>
      <c r="BV63" s="82"/>
      <c r="BW63" s="82"/>
      <c r="BX63" s="82"/>
      <c r="BY63" s="17"/>
      <c r="BZ63" s="82"/>
      <c r="CA63" s="82"/>
      <c r="CB63" s="82"/>
      <c r="CC63" s="17"/>
      <c r="CD63" s="82"/>
      <c r="CE63" s="82"/>
      <c r="CF63" s="82"/>
      <c r="CG63" s="17"/>
      <c r="CH63" s="82"/>
      <c r="CI63" s="82"/>
      <c r="CJ63" s="82"/>
      <c r="CK63" s="126"/>
      <c r="CL63" s="82"/>
      <c r="CM63" s="82"/>
      <c r="CN63" s="82"/>
      <c r="CO63" s="17"/>
      <c r="CP63" s="82"/>
      <c r="CQ63" s="82"/>
      <c r="CR63" s="82"/>
      <c r="CS63" s="17"/>
      <c r="CT63" s="82"/>
      <c r="CU63" s="82"/>
      <c r="CV63" s="82"/>
      <c r="CW63" s="17"/>
      <c r="CX63" s="82"/>
      <c r="CY63" s="82"/>
      <c r="CZ63" s="82"/>
      <c r="DA63" s="17"/>
      <c r="DB63" s="82"/>
      <c r="DC63" s="82"/>
      <c r="DD63" s="82"/>
      <c r="DE63" s="17"/>
      <c r="DF63" s="17"/>
      <c r="DG63" s="17"/>
      <c r="DH63" s="17"/>
      <c r="DI63" s="17"/>
      <c r="DJ63" s="17"/>
      <c r="DK63" s="17"/>
      <c r="DL63" s="17"/>
      <c r="DM63" s="17"/>
      <c r="DN63" s="17"/>
      <c r="DO63" s="17"/>
      <c r="DP63" s="17"/>
      <c r="DQ63" s="17"/>
    </row>
    <row r="64" spans="2:121" ht="14.1" customHeight="1" x14ac:dyDescent="0.2">
      <c r="B64" s="18" t="s">
        <v>157</v>
      </c>
      <c r="C64" s="22"/>
      <c r="D64" s="22"/>
      <c r="E64" s="22"/>
      <c r="F64" s="92"/>
      <c r="G64" s="82"/>
      <c r="H64" s="82"/>
      <c r="I64" s="126"/>
      <c r="J64" s="82"/>
      <c r="K64" s="82"/>
      <c r="L64" s="82"/>
      <c r="M64" s="17"/>
      <c r="N64" s="82"/>
      <c r="O64" s="82"/>
      <c r="P64" s="82"/>
      <c r="Q64" s="17"/>
      <c r="R64" s="82"/>
      <c r="S64" s="82"/>
      <c r="T64" s="82"/>
      <c r="U64" s="17"/>
      <c r="V64" s="82"/>
      <c r="W64" s="82"/>
      <c r="X64" s="82"/>
      <c r="Y64" s="126"/>
      <c r="Z64" s="82"/>
      <c r="AA64" s="82"/>
      <c r="AB64" s="82"/>
      <c r="AC64" s="17"/>
      <c r="AD64" s="82"/>
      <c r="AE64" s="82"/>
      <c r="AF64" s="82"/>
      <c r="AG64" s="17"/>
      <c r="AH64" s="82"/>
      <c r="AI64" s="82"/>
      <c r="AJ64" s="82"/>
      <c r="AK64" s="17"/>
      <c r="AL64" s="82"/>
      <c r="AM64" s="82"/>
      <c r="AN64" s="82"/>
      <c r="AO64" s="126"/>
      <c r="AP64" s="82"/>
      <c r="AQ64" s="82"/>
      <c r="AR64" s="82"/>
      <c r="AS64" s="17"/>
      <c r="AT64" s="82"/>
      <c r="AU64" s="82"/>
      <c r="AV64" s="82"/>
      <c r="AW64" s="17"/>
      <c r="AX64" s="82"/>
      <c r="AY64" s="82"/>
      <c r="AZ64" s="82"/>
      <c r="BA64" s="17"/>
      <c r="BB64" s="82"/>
      <c r="BC64" s="82"/>
      <c r="BD64" s="82"/>
      <c r="BE64" s="126"/>
      <c r="BF64" s="82"/>
      <c r="BG64" s="82"/>
      <c r="BH64" s="82"/>
      <c r="BI64" s="17"/>
      <c r="BJ64" s="82"/>
      <c r="BK64" s="82"/>
      <c r="BL64" s="82"/>
      <c r="BM64" s="17"/>
      <c r="BN64" s="82"/>
      <c r="BO64" s="82"/>
      <c r="BP64" s="82"/>
      <c r="BQ64" s="17"/>
      <c r="BR64" s="82"/>
      <c r="BS64" s="82"/>
      <c r="BT64" s="82"/>
      <c r="BU64" s="126"/>
      <c r="BV64" s="82"/>
      <c r="BW64" s="82"/>
      <c r="BX64" s="82"/>
      <c r="BY64" s="17"/>
      <c r="BZ64" s="82"/>
      <c r="CA64" s="82"/>
      <c r="CB64" s="82"/>
      <c r="CC64" s="17"/>
      <c r="CD64" s="82"/>
      <c r="CE64" s="82"/>
      <c r="CF64" s="82"/>
      <c r="CG64" s="17"/>
      <c r="CH64" s="82"/>
      <c r="CI64" s="82"/>
      <c r="CJ64" s="82"/>
      <c r="CK64" s="126"/>
      <c r="CL64" s="82"/>
      <c r="CM64" s="82"/>
      <c r="CN64" s="82"/>
      <c r="CO64" s="17"/>
      <c r="CP64" s="82"/>
      <c r="CQ64" s="82"/>
      <c r="CR64" s="82"/>
      <c r="CS64" s="17"/>
      <c r="CT64" s="82"/>
      <c r="CU64" s="82"/>
      <c r="CV64" s="82"/>
      <c r="CW64" s="17"/>
      <c r="CX64" s="82"/>
      <c r="CY64" s="82"/>
      <c r="CZ64" s="82"/>
      <c r="DA64" s="17"/>
      <c r="DB64" s="82"/>
      <c r="DC64" s="82"/>
      <c r="DD64" s="82"/>
      <c r="DE64" s="17"/>
      <c r="DF64" s="17"/>
      <c r="DG64" s="17"/>
      <c r="DH64" s="17"/>
      <c r="DI64" s="17"/>
      <c r="DJ64" s="17"/>
      <c r="DK64" s="17"/>
      <c r="DL64" s="17"/>
      <c r="DM64" s="17"/>
      <c r="DN64" s="17"/>
      <c r="DO64" s="17"/>
      <c r="DP64" s="17"/>
      <c r="DQ64" s="17"/>
    </row>
    <row r="65" spans="2:121" ht="14.1" customHeight="1" x14ac:dyDescent="0.2">
      <c r="B65" s="18" t="s">
        <v>156</v>
      </c>
      <c r="C65" s="22"/>
      <c r="D65" s="22"/>
      <c r="E65" s="22"/>
      <c r="F65" s="92"/>
      <c r="G65" s="82"/>
      <c r="H65" s="82"/>
      <c r="I65" s="126"/>
      <c r="J65" s="82"/>
      <c r="K65" s="82"/>
      <c r="L65" s="82"/>
      <c r="M65" s="17"/>
      <c r="N65" s="82"/>
      <c r="O65" s="82"/>
      <c r="P65" s="82"/>
      <c r="Q65" s="17"/>
      <c r="R65" s="82"/>
      <c r="S65" s="82"/>
      <c r="T65" s="82"/>
      <c r="U65" s="17"/>
      <c r="V65" s="82"/>
      <c r="W65" s="82"/>
      <c r="X65" s="82"/>
      <c r="Y65" s="126"/>
      <c r="Z65" s="82"/>
      <c r="AA65" s="82"/>
      <c r="AB65" s="82"/>
      <c r="AC65" s="17"/>
      <c r="AD65" s="82"/>
      <c r="AE65" s="82"/>
      <c r="AF65" s="82"/>
      <c r="AG65" s="17"/>
      <c r="AH65" s="82"/>
      <c r="AI65" s="82"/>
      <c r="AJ65" s="82"/>
      <c r="AK65" s="17"/>
      <c r="AL65" s="82"/>
      <c r="AM65" s="82"/>
      <c r="AN65" s="82"/>
      <c r="AO65" s="126"/>
      <c r="AP65" s="82"/>
      <c r="AQ65" s="82"/>
      <c r="AR65" s="82"/>
      <c r="AS65" s="17"/>
      <c r="AT65" s="82"/>
      <c r="AU65" s="82"/>
      <c r="AV65" s="82"/>
      <c r="AW65" s="17"/>
      <c r="AX65" s="82"/>
      <c r="AY65" s="82"/>
      <c r="AZ65" s="82"/>
      <c r="BA65" s="17"/>
      <c r="BB65" s="82"/>
      <c r="BC65" s="82"/>
      <c r="BD65" s="82"/>
      <c r="BE65" s="126"/>
      <c r="BF65" s="82"/>
      <c r="BG65" s="82"/>
      <c r="BH65" s="82"/>
      <c r="BI65" s="17"/>
      <c r="BJ65" s="82"/>
      <c r="BK65" s="82"/>
      <c r="BL65" s="82"/>
      <c r="BM65" s="17"/>
      <c r="BN65" s="82"/>
      <c r="BO65" s="82"/>
      <c r="BP65" s="82"/>
      <c r="BQ65" s="17"/>
      <c r="BR65" s="82"/>
      <c r="BS65" s="82"/>
      <c r="BT65" s="82"/>
      <c r="BU65" s="126"/>
      <c r="BV65" s="82"/>
      <c r="BW65" s="82"/>
      <c r="BX65" s="82"/>
      <c r="BY65" s="17"/>
      <c r="BZ65" s="82"/>
      <c r="CA65" s="82"/>
      <c r="CB65" s="82"/>
      <c r="CC65" s="17"/>
      <c r="CD65" s="82"/>
      <c r="CE65" s="82"/>
      <c r="CF65" s="82"/>
      <c r="CG65" s="17"/>
      <c r="CH65" s="82"/>
      <c r="CI65" s="82"/>
      <c r="CJ65" s="82"/>
      <c r="CK65" s="126"/>
      <c r="CL65" s="82"/>
      <c r="CM65" s="82"/>
      <c r="CN65" s="82"/>
      <c r="CO65" s="17"/>
      <c r="CP65" s="82"/>
      <c r="CQ65" s="82"/>
      <c r="CR65" s="82"/>
      <c r="CS65" s="17"/>
      <c r="CT65" s="82"/>
      <c r="CU65" s="82"/>
      <c r="CV65" s="82"/>
      <c r="CW65" s="17"/>
      <c r="CX65" s="82"/>
      <c r="CY65" s="82"/>
      <c r="CZ65" s="82"/>
      <c r="DA65" s="17"/>
      <c r="DB65" s="82"/>
      <c r="DC65" s="82"/>
      <c r="DD65" s="82"/>
      <c r="DE65" s="17"/>
      <c r="DF65" s="17"/>
      <c r="DG65" s="17"/>
      <c r="DH65" s="17"/>
      <c r="DI65" s="17"/>
      <c r="DJ65" s="17"/>
      <c r="DK65" s="17"/>
      <c r="DL65" s="17"/>
      <c r="DM65" s="17"/>
      <c r="DN65" s="17"/>
      <c r="DO65" s="17"/>
      <c r="DP65" s="17"/>
      <c r="DQ65" s="17"/>
    </row>
    <row r="66" spans="2:121" ht="14.1" customHeight="1" x14ac:dyDescent="0.2">
      <c r="B66" s="18"/>
      <c r="C66" s="22"/>
      <c r="D66" s="22"/>
      <c r="E66" s="22"/>
      <c r="F66" s="92"/>
      <c r="G66" s="82"/>
      <c r="H66" s="82"/>
      <c r="I66" s="126"/>
      <c r="J66" s="82"/>
      <c r="K66" s="82"/>
      <c r="L66" s="82"/>
      <c r="M66" s="17"/>
      <c r="N66" s="82"/>
      <c r="O66" s="82"/>
      <c r="P66" s="82"/>
      <c r="Q66" s="17"/>
      <c r="R66" s="82"/>
      <c r="S66" s="82"/>
      <c r="T66" s="82"/>
      <c r="U66" s="17"/>
      <c r="V66" s="82"/>
      <c r="W66" s="82"/>
      <c r="X66" s="82"/>
      <c r="Y66" s="126"/>
      <c r="Z66" s="82"/>
      <c r="AA66" s="82"/>
      <c r="AB66" s="82"/>
      <c r="AC66" s="17"/>
      <c r="AD66" s="82"/>
      <c r="AE66" s="82"/>
      <c r="AF66" s="82"/>
      <c r="AG66" s="17"/>
      <c r="AH66" s="82"/>
      <c r="AI66" s="82"/>
      <c r="AJ66" s="82"/>
      <c r="AK66" s="17"/>
      <c r="AL66" s="82"/>
      <c r="AM66" s="82"/>
      <c r="AN66" s="82"/>
      <c r="AO66" s="126"/>
      <c r="AP66" s="82"/>
      <c r="AQ66" s="82"/>
      <c r="AR66" s="82"/>
      <c r="AS66" s="17"/>
      <c r="AT66" s="82"/>
      <c r="AU66" s="82"/>
      <c r="AV66" s="82"/>
      <c r="AW66" s="17"/>
      <c r="AX66" s="82"/>
      <c r="AY66" s="82"/>
      <c r="AZ66" s="82"/>
      <c r="BA66" s="17"/>
      <c r="BB66" s="82"/>
      <c r="BC66" s="82"/>
      <c r="BD66" s="82"/>
      <c r="BE66" s="126"/>
      <c r="BF66" s="82"/>
      <c r="BG66" s="82"/>
      <c r="BH66" s="82"/>
      <c r="BI66" s="17"/>
      <c r="BJ66" s="82"/>
      <c r="BK66" s="82"/>
      <c r="BL66" s="82"/>
      <c r="BM66" s="17"/>
      <c r="BN66" s="82"/>
      <c r="BO66" s="82"/>
      <c r="BP66" s="82"/>
      <c r="BQ66" s="17"/>
      <c r="BR66" s="82"/>
      <c r="BS66" s="82"/>
      <c r="BT66" s="82"/>
      <c r="BU66" s="126"/>
      <c r="BV66" s="82"/>
      <c r="BW66" s="82"/>
      <c r="BX66" s="82"/>
      <c r="BY66" s="17"/>
      <c r="BZ66" s="82"/>
      <c r="CA66" s="82"/>
      <c r="CB66" s="82"/>
      <c r="CC66" s="17"/>
      <c r="CD66" s="82"/>
      <c r="CE66" s="82"/>
      <c r="CF66" s="82"/>
      <c r="CG66" s="17"/>
      <c r="CH66" s="82"/>
      <c r="CI66" s="82"/>
      <c r="CJ66" s="82"/>
      <c r="CK66" s="126"/>
      <c r="CL66" s="82"/>
      <c r="CM66" s="82"/>
      <c r="CN66" s="82"/>
      <c r="CO66" s="17"/>
      <c r="CP66" s="82"/>
      <c r="CQ66" s="82"/>
      <c r="CR66" s="82"/>
      <c r="CS66" s="17"/>
      <c r="CT66" s="82"/>
      <c r="CU66" s="82"/>
      <c r="CV66" s="82"/>
      <c r="CW66" s="17"/>
      <c r="CX66" s="82"/>
      <c r="CY66" s="82"/>
      <c r="CZ66" s="82"/>
      <c r="DA66" s="17"/>
      <c r="DB66" s="82"/>
      <c r="DC66" s="82"/>
      <c r="DD66" s="82"/>
      <c r="DE66" s="17"/>
      <c r="DF66" s="17"/>
      <c r="DG66" s="17"/>
      <c r="DH66" s="17"/>
      <c r="DI66" s="17"/>
      <c r="DJ66" s="17"/>
      <c r="DK66" s="17"/>
      <c r="DL66" s="17"/>
      <c r="DM66" s="17"/>
      <c r="DN66" s="17"/>
      <c r="DO66" s="17"/>
      <c r="DP66" s="17"/>
      <c r="DQ66" s="17"/>
    </row>
    <row r="67" spans="2:121" ht="13.9" customHeight="1" x14ac:dyDescent="0.2">
      <c r="B67" s="20" t="s">
        <v>51</v>
      </c>
      <c r="C67" s="96"/>
      <c r="D67" s="96"/>
      <c r="E67" s="96"/>
      <c r="F67" s="95"/>
      <c r="G67" s="81"/>
      <c r="H67" s="81"/>
      <c r="I67" s="43"/>
      <c r="J67" s="81"/>
      <c r="K67" s="81"/>
      <c r="L67" s="81"/>
      <c r="M67" s="43"/>
      <c r="N67" s="81"/>
      <c r="O67" s="81"/>
      <c r="P67" s="81"/>
      <c r="Q67" s="15"/>
      <c r="R67" s="81"/>
      <c r="S67" s="81"/>
      <c r="T67" s="81"/>
      <c r="U67" s="15"/>
      <c r="V67" s="81"/>
      <c r="W67" s="81"/>
      <c r="X67" s="81"/>
      <c r="Y67" s="43"/>
      <c r="Z67" s="81"/>
      <c r="AA67" s="81"/>
      <c r="AB67" s="81"/>
      <c r="AC67" s="43"/>
      <c r="AD67" s="81"/>
      <c r="AE67" s="81"/>
      <c r="AF67" s="81"/>
      <c r="AG67" s="15"/>
      <c r="AH67" s="81"/>
      <c r="AI67" s="81"/>
      <c r="AJ67" s="81"/>
      <c r="AK67" s="15"/>
      <c r="AL67" s="81"/>
      <c r="AM67" s="81"/>
      <c r="AN67" s="81"/>
      <c r="AO67" s="43"/>
      <c r="AP67" s="81"/>
      <c r="AQ67" s="81"/>
      <c r="AR67" s="81"/>
      <c r="AS67" s="43"/>
      <c r="AT67" s="81"/>
      <c r="AU67" s="81"/>
      <c r="AV67" s="81"/>
      <c r="AW67" s="15"/>
      <c r="AX67" s="81"/>
      <c r="AY67" s="81"/>
      <c r="AZ67" s="81"/>
      <c r="BA67" s="15"/>
      <c r="BB67" s="81"/>
      <c r="BC67" s="81"/>
      <c r="BD67" s="81"/>
      <c r="BE67" s="43"/>
      <c r="BF67" s="81"/>
      <c r="BG67" s="81"/>
      <c r="BH67" s="81"/>
      <c r="BI67" s="43"/>
      <c r="BJ67" s="81"/>
      <c r="BK67" s="81"/>
      <c r="BL67" s="81"/>
      <c r="BM67" s="15"/>
      <c r="BN67" s="81"/>
      <c r="BO67" s="81"/>
      <c r="BP67" s="81"/>
      <c r="BQ67" s="15"/>
      <c r="BR67" s="81"/>
      <c r="BS67" s="81"/>
      <c r="BT67" s="81"/>
      <c r="BU67" s="43"/>
      <c r="BV67" s="81"/>
      <c r="BW67" s="81"/>
      <c r="BX67" s="81"/>
      <c r="BY67" s="43"/>
      <c r="BZ67" s="81"/>
      <c r="CA67" s="81"/>
      <c r="CB67" s="81"/>
      <c r="CC67" s="43"/>
      <c r="CD67" s="81"/>
      <c r="CE67" s="81"/>
      <c r="CF67" s="81"/>
      <c r="CG67" s="15"/>
      <c r="CH67" s="81"/>
      <c r="CI67" s="81"/>
      <c r="CJ67" s="81"/>
      <c r="CK67" s="43"/>
      <c r="CL67" s="81"/>
      <c r="CM67" s="81"/>
      <c r="CN67" s="81"/>
      <c r="CO67" s="43"/>
      <c r="CP67" s="81"/>
      <c r="CQ67" s="81"/>
      <c r="CR67" s="81"/>
      <c r="CS67" s="43"/>
      <c r="CT67" s="81"/>
      <c r="CU67" s="81"/>
      <c r="CV67" s="81"/>
      <c r="CW67" s="15"/>
      <c r="CX67" s="81"/>
      <c r="CY67" s="81"/>
      <c r="CZ67" s="81"/>
      <c r="DA67" s="15"/>
      <c r="DB67" s="81"/>
      <c r="DC67" s="81"/>
      <c r="DD67" s="81"/>
      <c r="DE67" s="15"/>
      <c r="DF67" s="15"/>
      <c r="DG67" s="15"/>
      <c r="DH67" s="15"/>
      <c r="DI67" s="15"/>
      <c r="DJ67" s="15"/>
      <c r="DK67" s="15"/>
      <c r="DL67" s="15"/>
      <c r="DM67" s="15"/>
      <c r="DN67" s="15"/>
      <c r="DO67" s="15"/>
      <c r="DP67" s="15"/>
      <c r="DQ67" s="15"/>
    </row>
    <row r="68" spans="2:121" ht="14.1" customHeight="1" x14ac:dyDescent="0.2">
      <c r="B68" s="20" t="s">
        <v>21</v>
      </c>
      <c r="C68" s="96"/>
      <c r="D68" s="96"/>
      <c r="E68" s="96"/>
      <c r="F68" s="95"/>
      <c r="G68" s="81"/>
      <c r="H68" s="81"/>
      <c r="I68" s="43"/>
      <c r="J68" s="81"/>
      <c r="K68" s="81"/>
      <c r="L68" s="81"/>
      <c r="M68" s="43"/>
      <c r="N68" s="81"/>
      <c r="O68" s="81"/>
      <c r="P68" s="81"/>
      <c r="Q68" s="15"/>
      <c r="R68" s="81"/>
      <c r="S68" s="81"/>
      <c r="T68" s="81"/>
      <c r="U68" s="15"/>
      <c r="V68" s="81"/>
      <c r="W68" s="81"/>
      <c r="X68" s="81"/>
      <c r="Y68" s="43"/>
      <c r="Z68" s="81"/>
      <c r="AA68" s="81"/>
      <c r="AB68" s="81"/>
      <c r="AC68" s="43"/>
      <c r="AD68" s="81"/>
      <c r="AE68" s="81"/>
      <c r="AF68" s="81"/>
      <c r="AG68" s="15"/>
      <c r="AH68" s="81"/>
      <c r="AI68" s="81"/>
      <c r="AJ68" s="81"/>
      <c r="AK68" s="15"/>
      <c r="AL68" s="81"/>
      <c r="AM68" s="81"/>
      <c r="AN68" s="81"/>
      <c r="AO68" s="43"/>
      <c r="AP68" s="81"/>
      <c r="AQ68" s="81"/>
      <c r="AR68" s="81"/>
      <c r="AS68" s="43"/>
      <c r="AT68" s="81"/>
      <c r="AU68" s="81"/>
      <c r="AV68" s="81"/>
      <c r="AW68" s="15"/>
      <c r="AX68" s="81"/>
      <c r="AY68" s="81"/>
      <c r="AZ68" s="81"/>
      <c r="BA68" s="15"/>
      <c r="BB68" s="81"/>
      <c r="BC68" s="81"/>
      <c r="BD68" s="81"/>
      <c r="BE68" s="43"/>
      <c r="BF68" s="81"/>
      <c r="BG68" s="81"/>
      <c r="BH68" s="81"/>
      <c r="BI68" s="43"/>
      <c r="BJ68" s="81"/>
      <c r="BK68" s="81"/>
      <c r="BL68" s="81"/>
      <c r="BM68" s="15"/>
      <c r="BN68" s="81"/>
      <c r="BO68" s="81"/>
      <c r="BP68" s="81"/>
      <c r="BQ68" s="15"/>
      <c r="BR68" s="81"/>
      <c r="BS68" s="81"/>
      <c r="BT68" s="81"/>
      <c r="BU68" s="43"/>
      <c r="BV68" s="81"/>
      <c r="BW68" s="81"/>
      <c r="BX68" s="81"/>
      <c r="BY68" s="43"/>
      <c r="BZ68" s="81"/>
      <c r="CA68" s="81"/>
      <c r="CB68" s="81"/>
      <c r="CC68" s="43"/>
      <c r="CD68" s="81"/>
      <c r="CE68" s="81"/>
      <c r="CF68" s="81"/>
      <c r="CG68" s="15"/>
      <c r="CH68" s="81"/>
      <c r="CI68" s="81"/>
      <c r="CJ68" s="81"/>
      <c r="CK68" s="43"/>
      <c r="CL68" s="81"/>
      <c r="CM68" s="81"/>
      <c r="CN68" s="81"/>
      <c r="CO68" s="43"/>
      <c r="CP68" s="81"/>
      <c r="CQ68" s="81"/>
      <c r="CR68" s="81"/>
      <c r="CS68" s="43"/>
      <c r="CT68" s="81"/>
      <c r="CU68" s="81"/>
      <c r="CV68" s="81"/>
      <c r="CW68" s="15"/>
      <c r="CX68" s="81"/>
      <c r="CY68" s="81"/>
      <c r="CZ68" s="81"/>
      <c r="DA68" s="15"/>
      <c r="DB68" s="81"/>
      <c r="DC68" s="81"/>
      <c r="DD68" s="81"/>
      <c r="DE68" s="15"/>
      <c r="DF68" s="15"/>
      <c r="DG68" s="15"/>
      <c r="DH68" s="15"/>
      <c r="DI68" s="15"/>
      <c r="DJ68" s="15"/>
      <c r="DK68" s="15"/>
      <c r="DL68" s="15"/>
      <c r="DM68" s="15"/>
      <c r="DN68" s="15"/>
      <c r="DO68" s="15"/>
      <c r="DP68" s="15"/>
      <c r="DQ68" s="15"/>
    </row>
    <row r="69" spans="2:121" ht="14.1" customHeight="1" x14ac:dyDescent="0.2">
      <c r="B69" s="2" t="s">
        <v>22</v>
      </c>
      <c r="C69" s="22"/>
      <c r="D69" s="22"/>
      <c r="E69" s="22"/>
      <c r="F69" s="91"/>
      <c r="G69" s="83"/>
      <c r="H69" s="83"/>
      <c r="I69" s="71"/>
      <c r="J69" s="83"/>
      <c r="K69" s="83"/>
      <c r="L69" s="83"/>
      <c r="M69" s="71"/>
      <c r="N69" s="83"/>
      <c r="O69" s="83"/>
      <c r="P69" s="83"/>
      <c r="Q69" s="23"/>
      <c r="R69" s="83"/>
      <c r="S69" s="83"/>
      <c r="T69" s="83"/>
      <c r="U69" s="23"/>
      <c r="V69" s="83"/>
      <c r="W69" s="83"/>
      <c r="X69" s="83"/>
      <c r="Y69" s="71"/>
      <c r="Z69" s="83"/>
      <c r="AA69" s="83"/>
      <c r="AB69" s="83"/>
      <c r="AC69" s="71"/>
      <c r="AD69" s="83"/>
      <c r="AE69" s="83"/>
      <c r="AF69" s="83"/>
      <c r="AG69" s="23"/>
      <c r="AH69" s="83"/>
      <c r="AI69" s="83"/>
      <c r="AJ69" s="83"/>
      <c r="AK69" s="23"/>
      <c r="AL69" s="83"/>
      <c r="AM69" s="83"/>
      <c r="AN69" s="83"/>
      <c r="AO69" s="71"/>
      <c r="AP69" s="83"/>
      <c r="AQ69" s="83"/>
      <c r="AR69" s="83"/>
      <c r="AS69" s="71"/>
      <c r="AT69" s="83"/>
      <c r="AU69" s="83"/>
      <c r="AV69" s="83"/>
      <c r="AW69" s="23"/>
      <c r="AX69" s="83"/>
      <c r="AY69" s="83"/>
      <c r="AZ69" s="83"/>
      <c r="BA69" s="23"/>
      <c r="BB69" s="83"/>
      <c r="BC69" s="83"/>
      <c r="BD69" s="83"/>
      <c r="BE69" s="71"/>
      <c r="BF69" s="83"/>
      <c r="BG69" s="83"/>
      <c r="BH69" s="83"/>
      <c r="BI69" s="71"/>
      <c r="BJ69" s="83"/>
      <c r="BK69" s="83"/>
      <c r="BL69" s="83"/>
      <c r="BM69" s="23"/>
      <c r="BN69" s="83"/>
      <c r="BO69" s="83"/>
      <c r="BP69" s="83"/>
      <c r="BQ69" s="23"/>
      <c r="BR69" s="83"/>
      <c r="BS69" s="83"/>
      <c r="BT69" s="83"/>
      <c r="BU69" s="71"/>
      <c r="BV69" s="83"/>
      <c r="BW69" s="83"/>
      <c r="BX69" s="83"/>
      <c r="BY69" s="71"/>
      <c r="BZ69" s="83"/>
      <c r="CA69" s="83"/>
      <c r="CB69" s="83"/>
      <c r="CC69" s="71"/>
      <c r="CD69" s="83"/>
      <c r="CE69" s="83"/>
      <c r="CF69" s="83"/>
      <c r="CG69" s="23"/>
      <c r="CH69" s="83"/>
      <c r="CI69" s="83"/>
      <c r="CJ69" s="83"/>
      <c r="CK69" s="71"/>
      <c r="CL69" s="83"/>
      <c r="CM69" s="83"/>
      <c r="CN69" s="83"/>
      <c r="CO69" s="71"/>
      <c r="CP69" s="83"/>
      <c r="CQ69" s="83"/>
      <c r="CR69" s="83"/>
      <c r="CS69" s="71"/>
      <c r="CT69" s="83"/>
      <c r="CU69" s="83"/>
      <c r="CV69" s="83"/>
      <c r="CW69" s="23"/>
      <c r="CX69" s="83"/>
      <c r="CY69" s="83"/>
      <c r="CZ69" s="83"/>
      <c r="DA69" s="23"/>
      <c r="DB69" s="83"/>
      <c r="DC69" s="83"/>
      <c r="DD69" s="83"/>
      <c r="DE69" s="23"/>
      <c r="DF69" s="23"/>
      <c r="DG69" s="23"/>
      <c r="DH69" s="23"/>
      <c r="DI69" s="23"/>
      <c r="DJ69" s="23"/>
      <c r="DK69" s="23"/>
      <c r="DL69" s="23"/>
      <c r="DM69" s="23"/>
      <c r="DN69" s="23"/>
      <c r="DO69" s="23"/>
      <c r="DP69" s="23"/>
      <c r="DQ69" s="23"/>
    </row>
    <row r="70" spans="2:121" ht="14.1" customHeight="1" x14ac:dyDescent="0.2">
      <c r="B70" s="2" t="s">
        <v>23</v>
      </c>
      <c r="C70" s="22"/>
      <c r="D70" s="22"/>
      <c r="E70" s="22"/>
      <c r="F70" s="91"/>
      <c r="G70" s="83"/>
      <c r="H70" s="83"/>
      <c r="I70" s="71"/>
      <c r="J70" s="83"/>
      <c r="K70" s="83"/>
      <c r="L70" s="83"/>
      <c r="M70" s="71"/>
      <c r="N70" s="83"/>
      <c r="O70" s="83"/>
      <c r="P70" s="83"/>
      <c r="Q70" s="23"/>
      <c r="R70" s="83"/>
      <c r="S70" s="83"/>
      <c r="T70" s="83"/>
      <c r="U70" s="23"/>
      <c r="V70" s="83"/>
      <c r="W70" s="83"/>
      <c r="X70" s="83"/>
      <c r="Y70" s="71"/>
      <c r="Z70" s="83"/>
      <c r="AA70" s="83"/>
      <c r="AB70" s="83"/>
      <c r="AC70" s="71"/>
      <c r="AD70" s="83"/>
      <c r="AE70" s="83"/>
      <c r="AF70" s="83"/>
      <c r="AG70" s="23"/>
      <c r="AH70" s="83"/>
      <c r="AI70" s="83"/>
      <c r="AJ70" s="83"/>
      <c r="AK70" s="23"/>
      <c r="AL70" s="83"/>
      <c r="AM70" s="83"/>
      <c r="AN70" s="83"/>
      <c r="AO70" s="71"/>
      <c r="AP70" s="83"/>
      <c r="AQ70" s="83"/>
      <c r="AR70" s="83"/>
      <c r="AS70" s="71"/>
      <c r="AT70" s="83"/>
      <c r="AU70" s="83"/>
      <c r="AV70" s="83"/>
      <c r="AW70" s="23"/>
      <c r="AX70" s="83"/>
      <c r="AY70" s="83"/>
      <c r="AZ70" s="83"/>
      <c r="BA70" s="23"/>
      <c r="BB70" s="83"/>
      <c r="BC70" s="83"/>
      <c r="BD70" s="83"/>
      <c r="BE70" s="71"/>
      <c r="BF70" s="83"/>
      <c r="BG70" s="83"/>
      <c r="BH70" s="83"/>
      <c r="BI70" s="71"/>
      <c r="BJ70" s="83"/>
      <c r="BK70" s="83"/>
      <c r="BL70" s="83"/>
      <c r="BM70" s="23"/>
      <c r="BN70" s="83"/>
      <c r="BO70" s="83"/>
      <c r="BP70" s="83"/>
      <c r="BQ70" s="23"/>
      <c r="BR70" s="83"/>
      <c r="BS70" s="83"/>
      <c r="BT70" s="83"/>
      <c r="BU70" s="71"/>
      <c r="BV70" s="83"/>
      <c r="BW70" s="83"/>
      <c r="BX70" s="83"/>
      <c r="BY70" s="71"/>
      <c r="BZ70" s="83"/>
      <c r="CA70" s="83"/>
      <c r="CB70" s="83"/>
      <c r="CC70" s="71"/>
      <c r="CD70" s="83"/>
      <c r="CE70" s="83"/>
      <c r="CF70" s="83"/>
      <c r="CG70" s="23"/>
      <c r="CH70" s="83"/>
      <c r="CI70" s="83"/>
      <c r="CJ70" s="83"/>
      <c r="CK70" s="71"/>
      <c r="CL70" s="83"/>
      <c r="CM70" s="83"/>
      <c r="CN70" s="83"/>
      <c r="CO70" s="71"/>
      <c r="CP70" s="83"/>
      <c r="CQ70" s="83"/>
      <c r="CR70" s="83"/>
      <c r="CS70" s="71"/>
      <c r="CT70" s="83"/>
      <c r="CU70" s="83"/>
      <c r="CV70" s="83"/>
      <c r="CW70" s="23"/>
      <c r="CX70" s="83"/>
      <c r="CY70" s="83"/>
      <c r="CZ70" s="83"/>
      <c r="DA70" s="23"/>
      <c r="DB70" s="83"/>
      <c r="DC70" s="83"/>
      <c r="DD70" s="83"/>
      <c r="DE70" s="23"/>
      <c r="DF70" s="23"/>
      <c r="DG70" s="23"/>
      <c r="DH70" s="23"/>
      <c r="DI70" s="23"/>
      <c r="DJ70" s="23"/>
      <c r="DK70" s="23"/>
      <c r="DL70" s="23"/>
      <c r="DM70" s="23"/>
      <c r="DN70" s="23"/>
      <c r="DO70" s="23"/>
      <c r="DP70" s="23"/>
      <c r="DQ70" s="23"/>
    </row>
    <row r="71" spans="2:121" ht="14.1" customHeight="1" x14ac:dyDescent="0.2">
      <c r="B71" s="2" t="s">
        <v>0</v>
      </c>
      <c r="C71" s="22"/>
      <c r="D71" s="22"/>
      <c r="E71" s="22"/>
      <c r="F71" s="91"/>
      <c r="G71" s="83"/>
      <c r="H71" s="83"/>
      <c r="I71" s="71"/>
      <c r="J71" s="83"/>
      <c r="K71" s="83"/>
      <c r="L71" s="83"/>
      <c r="M71" s="71"/>
      <c r="N71" s="83"/>
      <c r="O71" s="83"/>
      <c r="P71" s="83"/>
      <c r="Q71" s="23"/>
      <c r="R71" s="83"/>
      <c r="S71" s="83"/>
      <c r="T71" s="83"/>
      <c r="U71" s="23"/>
      <c r="V71" s="83"/>
      <c r="W71" s="83"/>
      <c r="X71" s="83"/>
      <c r="Y71" s="71"/>
      <c r="Z71" s="83"/>
      <c r="AA71" s="83"/>
      <c r="AB71" s="83"/>
      <c r="AC71" s="71"/>
      <c r="AD71" s="83"/>
      <c r="AE71" s="83"/>
      <c r="AF71" s="83"/>
      <c r="AG71" s="23"/>
      <c r="AH71" s="83"/>
      <c r="AI71" s="83"/>
      <c r="AJ71" s="83"/>
      <c r="AK71" s="23"/>
      <c r="AL71" s="83"/>
      <c r="AM71" s="83"/>
      <c r="AN71" s="83"/>
      <c r="AO71" s="71"/>
      <c r="AP71" s="83"/>
      <c r="AQ71" s="83"/>
      <c r="AR71" s="83"/>
      <c r="AS71" s="71"/>
      <c r="AT71" s="83"/>
      <c r="AU71" s="83"/>
      <c r="AV71" s="83"/>
      <c r="AW71" s="23"/>
      <c r="AX71" s="83"/>
      <c r="AY71" s="83"/>
      <c r="AZ71" s="83"/>
      <c r="BA71" s="23"/>
      <c r="BB71" s="83"/>
      <c r="BC71" s="83"/>
      <c r="BD71" s="83"/>
      <c r="BE71" s="71"/>
      <c r="BF71" s="83"/>
      <c r="BG71" s="83"/>
      <c r="BH71" s="83"/>
      <c r="BI71" s="71"/>
      <c r="BJ71" s="83"/>
      <c r="BK71" s="83"/>
      <c r="BL71" s="83"/>
      <c r="BM71" s="23"/>
      <c r="BN71" s="83"/>
      <c r="BO71" s="83"/>
      <c r="BP71" s="83"/>
      <c r="BQ71" s="23"/>
      <c r="BR71" s="83"/>
      <c r="BS71" s="83"/>
      <c r="BT71" s="83"/>
      <c r="BU71" s="71"/>
      <c r="BV71" s="83"/>
      <c r="BW71" s="83"/>
      <c r="BX71" s="83"/>
      <c r="BY71" s="71"/>
      <c r="BZ71" s="83"/>
      <c r="CA71" s="83"/>
      <c r="CB71" s="83"/>
      <c r="CC71" s="71"/>
      <c r="CD71" s="83"/>
      <c r="CE71" s="83"/>
      <c r="CF71" s="83"/>
      <c r="CG71" s="23"/>
      <c r="CH71" s="83"/>
      <c r="CI71" s="83"/>
      <c r="CJ71" s="83"/>
      <c r="CK71" s="71"/>
      <c r="CL71" s="83"/>
      <c r="CM71" s="83"/>
      <c r="CN71" s="83"/>
      <c r="CO71" s="71"/>
      <c r="CP71" s="83"/>
      <c r="CQ71" s="83"/>
      <c r="CR71" s="83"/>
      <c r="CS71" s="71"/>
      <c r="CT71" s="83"/>
      <c r="CU71" s="83"/>
      <c r="CV71" s="83"/>
      <c r="CW71" s="23"/>
      <c r="CX71" s="83"/>
      <c r="CY71" s="83"/>
      <c r="CZ71" s="83"/>
      <c r="DA71" s="23"/>
      <c r="DB71" s="83"/>
      <c r="DC71" s="83"/>
      <c r="DD71" s="83"/>
      <c r="DE71" s="23"/>
      <c r="DF71" s="23"/>
      <c r="DG71" s="23"/>
      <c r="DH71" s="23"/>
      <c r="DI71" s="23"/>
      <c r="DJ71" s="23"/>
      <c r="DK71" s="23"/>
      <c r="DL71" s="23"/>
      <c r="DM71" s="23"/>
      <c r="DN71" s="23"/>
      <c r="DO71" s="23"/>
      <c r="DP71" s="23"/>
      <c r="DQ71" s="23"/>
    </row>
    <row r="72" spans="2:121" ht="14.1" customHeight="1" x14ac:dyDescent="0.25">
      <c r="B72" s="12"/>
      <c r="C72" s="11"/>
      <c r="D72" s="11"/>
      <c r="E72" s="11"/>
      <c r="F72" s="11"/>
      <c r="G72" s="11"/>
      <c r="H72" s="11"/>
      <c r="I72" s="11"/>
      <c r="J72" s="11"/>
      <c r="K72" s="8"/>
      <c r="L72" s="11"/>
      <c r="M72" s="11"/>
      <c r="N72" s="8"/>
      <c r="O72" s="8"/>
      <c r="P72" s="8"/>
      <c r="Q72" s="8"/>
      <c r="R72" s="8"/>
      <c r="S72" s="3"/>
      <c r="V72" s="11"/>
      <c r="W72" s="11"/>
      <c r="X72" s="11"/>
      <c r="Y72" s="11"/>
      <c r="Z72" s="11"/>
      <c r="AA72" s="8"/>
      <c r="AB72" s="11"/>
      <c r="AC72" s="11"/>
      <c r="AD72" s="8"/>
      <c r="AE72" s="8"/>
      <c r="AF72" s="8"/>
      <c r="AG72" s="8"/>
      <c r="AH72" s="8"/>
      <c r="AI72" s="3"/>
    </row>
    <row r="73" spans="2:121" s="1" customFormat="1" ht="14.1" customHeight="1" x14ac:dyDescent="0.2"/>
    <row r="74" spans="2:121" s="1" customFormat="1" ht="14.1" customHeight="1" x14ac:dyDescent="0.2"/>
    <row r="75" spans="2:121" s="1" customFormat="1" ht="14.1" customHeight="1" x14ac:dyDescent="0.2"/>
    <row r="76" spans="2:121" s="1" customFormat="1" ht="14.1" customHeight="1" x14ac:dyDescent="0.2"/>
    <row r="77" spans="2:121" s="1" customFormat="1" ht="14.1" customHeight="1" x14ac:dyDescent="0.2"/>
    <row r="78" spans="2:121" s="1" customFormat="1" ht="14.1" customHeight="1" x14ac:dyDescent="0.2">
      <c r="B78" s="69" t="str">
        <f ca="1">CONCATENATE("Supplementary financial data for ",OFFSET($F$5,0,1)," results")</f>
        <v>Supplementary financial data for 5M 2026 results</v>
      </c>
    </row>
    <row r="79" spans="2:121" s="1" customFormat="1" ht="14.1" customHeight="1" x14ac:dyDescent="0.2">
      <c r="B79" s="69" t="s">
        <v>146</v>
      </c>
    </row>
    <row r="80" spans="2:121" s="1" customFormat="1" ht="14.1" customHeight="1" x14ac:dyDescent="0.2">
      <c r="B80" s="55"/>
    </row>
    <row r="81" spans="2:2" s="1" customFormat="1" ht="14.1" customHeight="1" x14ac:dyDescent="0.2">
      <c r="B81" s="67" t="s">
        <v>114</v>
      </c>
    </row>
    <row r="82" spans="2:2" s="1" customFormat="1" ht="14.1" customHeight="1" x14ac:dyDescent="0.2">
      <c r="B82" s="68" t="s">
        <v>115</v>
      </c>
    </row>
    <row r="83" spans="2:2" s="1" customFormat="1" ht="14.1" customHeight="1" x14ac:dyDescent="0.2">
      <c r="B83" s="64" t="s">
        <v>262</v>
      </c>
    </row>
    <row r="84" spans="2:2" s="1" customFormat="1" ht="14.1" customHeight="1" x14ac:dyDescent="0.2">
      <c r="B84" s="64" t="s">
        <v>121</v>
      </c>
    </row>
    <row r="85" spans="2:2" s="1" customFormat="1" ht="14.1" customHeight="1" x14ac:dyDescent="0.2">
      <c r="B85" s="60"/>
    </row>
    <row r="86" spans="2:2" s="1" customFormat="1" ht="14.1" customHeight="1" x14ac:dyDescent="0.2">
      <c r="B86" s="68" t="s">
        <v>116</v>
      </c>
    </row>
    <row r="87" spans="2:2" s="1" customFormat="1" ht="14.1" customHeight="1" x14ac:dyDescent="0.2">
      <c r="B87" s="64" t="s">
        <v>122</v>
      </c>
    </row>
    <row r="88" spans="2:2" s="1" customFormat="1" ht="14.1" customHeight="1" x14ac:dyDescent="0.2">
      <c r="B88" s="64"/>
    </row>
    <row r="89" spans="2:2" s="1" customFormat="1" ht="14.1" customHeight="1" x14ac:dyDescent="0.2">
      <c r="B89" s="68" t="s">
        <v>117</v>
      </c>
    </row>
    <row r="90" spans="2:2" s="1" customFormat="1" ht="14.1" customHeight="1" x14ac:dyDescent="0.2">
      <c r="B90" s="64" t="s">
        <v>123</v>
      </c>
    </row>
    <row r="91" spans="2:2" s="1" customFormat="1" ht="14.1" customHeight="1" x14ac:dyDescent="0.2">
      <c r="B91" s="64" t="s">
        <v>120</v>
      </c>
    </row>
    <row r="92" spans="2:2" s="1" customFormat="1" ht="14.1" customHeight="1" x14ac:dyDescent="0.2">
      <c r="B92" s="64" t="s">
        <v>243</v>
      </c>
    </row>
    <row r="93" spans="2:2" s="1" customFormat="1" ht="14.1" customHeight="1" x14ac:dyDescent="0.2">
      <c r="B93" s="64" t="s">
        <v>124</v>
      </c>
    </row>
    <row r="94" spans="2:2" s="1" customFormat="1" ht="14.1" customHeight="1" x14ac:dyDescent="0.2">
      <c r="B94" s="64" t="s">
        <v>119</v>
      </c>
    </row>
    <row r="95" spans="2:2" s="1" customFormat="1" ht="14.1" customHeight="1" x14ac:dyDescent="0.2">
      <c r="B95" s="64" t="s">
        <v>240</v>
      </c>
    </row>
    <row r="96" spans="2:2" s="1" customFormat="1" ht="14.1" customHeight="1" x14ac:dyDescent="0.2">
      <c r="B96" s="60"/>
    </row>
    <row r="97" spans="2:2" s="1" customFormat="1" ht="14.1" customHeight="1" x14ac:dyDescent="0.2">
      <c r="B97" s="60"/>
    </row>
    <row r="98" spans="2:2" s="1" customFormat="1" ht="14.1" customHeight="1" x14ac:dyDescent="0.2">
      <c r="B98" s="60"/>
    </row>
    <row r="99" spans="2:2" s="1" customFormat="1" ht="14.1" customHeight="1" x14ac:dyDescent="0.2">
      <c r="B99" s="65" t="s">
        <v>118</v>
      </c>
    </row>
    <row r="100" spans="2:2" s="1" customFormat="1" ht="14.1" customHeight="1" x14ac:dyDescent="0.2">
      <c r="B100" s="66" t="s">
        <v>108</v>
      </c>
    </row>
    <row r="101" spans="2:2" s="1" customFormat="1" ht="14.1" customHeight="1" x14ac:dyDescent="0.2">
      <c r="B101" s="65" t="s">
        <v>109</v>
      </c>
    </row>
    <row r="102" spans="2:2" s="1" customFormat="1" ht="14.1" customHeight="1" x14ac:dyDescent="0.2"/>
    <row r="103" spans="2:2" s="1" customFormat="1" ht="14.1" customHeight="1" x14ac:dyDescent="0.2">
      <c r="B103" s="246" t="s">
        <v>259</v>
      </c>
    </row>
    <row r="104" spans="2:2" s="1" customFormat="1" ht="14.1" customHeight="1" x14ac:dyDescent="0.2"/>
    <row r="105" spans="2:2" s="1" customFormat="1" ht="14.1" customHeight="1" x14ac:dyDescent="0.2"/>
    <row r="106" spans="2:2" s="1" customFormat="1" ht="14.1" customHeight="1" x14ac:dyDescent="0.2"/>
    <row r="107" spans="2:2" s="1" customFormat="1" ht="14.1" customHeight="1" x14ac:dyDescent="0.2"/>
    <row r="108" spans="2:2" s="1" customFormat="1" ht="14.1" customHeight="1" x14ac:dyDescent="0.2"/>
    <row r="109" spans="2:2" s="1" customFormat="1" ht="14.1" customHeight="1" x14ac:dyDescent="0.2"/>
    <row r="110" spans="2:2" s="1" customFormat="1" ht="14.1" customHeight="1" x14ac:dyDescent="0.2"/>
    <row r="111" spans="2:2" s="1" customFormat="1" ht="14.1" customHeight="1" x14ac:dyDescent="0.2"/>
    <row r="112" spans="2:2" s="1" customFormat="1" ht="14.1" customHeight="1" x14ac:dyDescent="0.2"/>
    <row r="113" s="1" customFormat="1" ht="14.1" customHeight="1" x14ac:dyDescent="0.2"/>
    <row r="114" s="1" customFormat="1" ht="14.1" customHeight="1" x14ac:dyDescent="0.2"/>
    <row r="115" s="1" customFormat="1" ht="14.1" customHeight="1" x14ac:dyDescent="0.2"/>
    <row r="116" s="1" customFormat="1" ht="14.1" customHeight="1" x14ac:dyDescent="0.2"/>
    <row r="117" s="1" customFormat="1" ht="14.1" customHeight="1" x14ac:dyDescent="0.2"/>
    <row r="118" s="1" customFormat="1" ht="14.1" customHeight="1" x14ac:dyDescent="0.2"/>
    <row r="119" s="1" customFormat="1" ht="14.1" customHeight="1" x14ac:dyDescent="0.2"/>
    <row r="120" s="1" customFormat="1" ht="14.1" customHeight="1" x14ac:dyDescent="0.2"/>
    <row r="121" s="1" customFormat="1" ht="14.1" customHeight="1" x14ac:dyDescent="0.2"/>
    <row r="122" s="1" customFormat="1" ht="14.1" customHeight="1" x14ac:dyDescent="0.2"/>
    <row r="123" s="1" customFormat="1" ht="14.1" customHeight="1" x14ac:dyDescent="0.2"/>
    <row r="124" s="1" customFormat="1" ht="14.1" customHeight="1" x14ac:dyDescent="0.2"/>
    <row r="125" s="1" customFormat="1" ht="14.1" customHeight="1" x14ac:dyDescent="0.2"/>
    <row r="126" s="1" customFormat="1" ht="14.1" customHeight="1" x14ac:dyDescent="0.2"/>
    <row r="127" s="1" customFormat="1" ht="14.1" customHeight="1" x14ac:dyDescent="0.2"/>
    <row r="128" s="1" customFormat="1" ht="14.1" customHeight="1" x14ac:dyDescent="0.2"/>
    <row r="129" s="1" customFormat="1" ht="14.1" customHeight="1" x14ac:dyDescent="0.2"/>
    <row r="130" s="1" customFormat="1" ht="14.1" customHeight="1" x14ac:dyDescent="0.2"/>
    <row r="131" s="1" customFormat="1" ht="14.1" customHeight="1" x14ac:dyDescent="0.2"/>
    <row r="132" s="1" customFormat="1" ht="14.1" customHeight="1" x14ac:dyDescent="0.2"/>
    <row r="133" s="1" customFormat="1" ht="14.1" customHeight="1" x14ac:dyDescent="0.2"/>
    <row r="134" s="1" customFormat="1" ht="14.1" customHeight="1" x14ac:dyDescent="0.2"/>
    <row r="135" s="1" customFormat="1" ht="14.1" customHeight="1" x14ac:dyDescent="0.2"/>
    <row r="136" s="1" customFormat="1" ht="14.1" customHeight="1" x14ac:dyDescent="0.2"/>
    <row r="137" s="1" customFormat="1" ht="14.1" customHeight="1" x14ac:dyDescent="0.2"/>
    <row r="138" s="1" customFormat="1" ht="14.1" customHeight="1" x14ac:dyDescent="0.2"/>
    <row r="139" s="1" customFormat="1" ht="14.1" customHeight="1" x14ac:dyDescent="0.2"/>
    <row r="140" s="1" customFormat="1" ht="14.1" customHeight="1" x14ac:dyDescent="0.2"/>
    <row r="141" s="1" customFormat="1" ht="14.1" customHeight="1" x14ac:dyDescent="0.2"/>
    <row r="142" s="1" customFormat="1" ht="14.1" customHeight="1" x14ac:dyDescent="0.2"/>
    <row r="143" s="1" customFormat="1" ht="14.1" customHeight="1" x14ac:dyDescent="0.2"/>
    <row r="144" s="1" customFormat="1" ht="14.1" customHeight="1" x14ac:dyDescent="0.2"/>
    <row r="145" s="1" customFormat="1" ht="14.1" customHeight="1" x14ac:dyDescent="0.2"/>
    <row r="146" s="1" customFormat="1" ht="14.1" customHeight="1" x14ac:dyDescent="0.2"/>
    <row r="147" s="1" customFormat="1" ht="14.1" customHeight="1" x14ac:dyDescent="0.2"/>
    <row r="148" s="1" customFormat="1" ht="14.1" customHeight="1" x14ac:dyDescent="0.2"/>
    <row r="149" s="1" customFormat="1" ht="14.1" customHeight="1" x14ac:dyDescent="0.2"/>
    <row r="150" s="1" customFormat="1" ht="14.1" customHeight="1" x14ac:dyDescent="0.2"/>
    <row r="151" s="1" customFormat="1" ht="14.1" customHeight="1" x14ac:dyDescent="0.2"/>
    <row r="152" s="1" customFormat="1" ht="14.1" customHeight="1" x14ac:dyDescent="0.2"/>
    <row r="153" s="1" customFormat="1" ht="14.1" customHeight="1" x14ac:dyDescent="0.2"/>
    <row r="154" s="1" customFormat="1" ht="14.1" customHeight="1" x14ac:dyDescent="0.2"/>
    <row r="155" s="1" customFormat="1" ht="14.1" customHeight="1" x14ac:dyDescent="0.2"/>
    <row r="156" s="1" customFormat="1" ht="14.1" customHeight="1" x14ac:dyDescent="0.2"/>
    <row r="157" s="1" customFormat="1" ht="14.1" customHeight="1" x14ac:dyDescent="0.2"/>
    <row r="158" s="1" customFormat="1" ht="14.1" customHeight="1" x14ac:dyDescent="0.2"/>
    <row r="159" s="1" customFormat="1" ht="14.1" customHeight="1" x14ac:dyDescent="0.2"/>
    <row r="160" s="1" customFormat="1" ht="14.1" customHeight="1" x14ac:dyDescent="0.2"/>
    <row r="161" s="1" customFormat="1" ht="14.1" customHeight="1" x14ac:dyDescent="0.2"/>
    <row r="162" s="1" customFormat="1" ht="14.1" customHeight="1" x14ac:dyDescent="0.2"/>
    <row r="163" s="1" customFormat="1" ht="14.1" customHeight="1" x14ac:dyDescent="0.2"/>
    <row r="164" s="1" customFormat="1" ht="14.1" customHeight="1" x14ac:dyDescent="0.2"/>
    <row r="165" s="1" customFormat="1" ht="14.1" customHeight="1" x14ac:dyDescent="0.2"/>
    <row r="166" s="1" customFormat="1" ht="14.1" customHeight="1" x14ac:dyDescent="0.2"/>
    <row r="167" s="1" customFormat="1" ht="14.1" customHeight="1" x14ac:dyDescent="0.2"/>
    <row r="168" s="1" customFormat="1" ht="14.1" customHeight="1" x14ac:dyDescent="0.2"/>
    <row r="169" s="1" customFormat="1" ht="14.1" customHeight="1" x14ac:dyDescent="0.2"/>
    <row r="170" s="1" customFormat="1" ht="14.1" customHeight="1" x14ac:dyDescent="0.2"/>
    <row r="171" s="1" customFormat="1" ht="14.1" customHeight="1" x14ac:dyDescent="0.2"/>
    <row r="172" s="1" customFormat="1" ht="14.1" customHeight="1" x14ac:dyDescent="0.2"/>
    <row r="173" s="1" customFormat="1" ht="14.1" customHeight="1" x14ac:dyDescent="0.2"/>
    <row r="174" s="1" customFormat="1" ht="14.1" customHeight="1" x14ac:dyDescent="0.2"/>
    <row r="175" s="1" customFormat="1" ht="14.1" customHeight="1" x14ac:dyDescent="0.2"/>
    <row r="176" s="1" customFormat="1" ht="14.1" customHeight="1" x14ac:dyDescent="0.2"/>
    <row r="177" s="1" customFormat="1" ht="14.1" customHeight="1" x14ac:dyDescent="0.2"/>
    <row r="178" s="1" customFormat="1" ht="14.1" customHeight="1" x14ac:dyDescent="0.2"/>
    <row r="179" s="1" customFormat="1" ht="14.1" customHeight="1" x14ac:dyDescent="0.2"/>
    <row r="180" s="1" customFormat="1" ht="14.1" customHeight="1" x14ac:dyDescent="0.2"/>
    <row r="181" s="1" customFormat="1" ht="14.1" customHeight="1" x14ac:dyDescent="0.2"/>
    <row r="182" s="1" customFormat="1" ht="14.1" customHeight="1" x14ac:dyDescent="0.2"/>
    <row r="183" s="1" customFormat="1" ht="14.1" customHeight="1" x14ac:dyDescent="0.2"/>
    <row r="184" s="1" customFormat="1" ht="14.1" customHeight="1" x14ac:dyDescent="0.2"/>
    <row r="185" s="1" customFormat="1" ht="14.1" customHeight="1" x14ac:dyDescent="0.2"/>
    <row r="186" s="1" customFormat="1" ht="14.1" customHeight="1" x14ac:dyDescent="0.2"/>
    <row r="187" s="1" customFormat="1" ht="14.1" customHeight="1" x14ac:dyDescent="0.2"/>
    <row r="188" s="1" customFormat="1" ht="14.1" customHeight="1" x14ac:dyDescent="0.2"/>
    <row r="189" s="1" customFormat="1" ht="14.1" customHeight="1" x14ac:dyDescent="0.2"/>
    <row r="190" s="1" customFormat="1" ht="14.1" customHeight="1" x14ac:dyDescent="0.2"/>
    <row r="191" s="1" customFormat="1" ht="14.1" customHeight="1" x14ac:dyDescent="0.2"/>
    <row r="192" s="1" customFormat="1" ht="14.1" customHeight="1" x14ac:dyDescent="0.2"/>
    <row r="193" s="1" customFormat="1" ht="14.1" customHeight="1" x14ac:dyDescent="0.2"/>
    <row r="194" s="1" customFormat="1" ht="14.1" customHeight="1" x14ac:dyDescent="0.2"/>
    <row r="195" s="1" customFormat="1" ht="14.1" customHeight="1" x14ac:dyDescent="0.2"/>
    <row r="196" s="1" customFormat="1" ht="14.1" customHeight="1" x14ac:dyDescent="0.2"/>
    <row r="197" s="1" customFormat="1" ht="14.1" customHeight="1" x14ac:dyDescent="0.2"/>
    <row r="198" s="1" customFormat="1" ht="14.1" customHeight="1" x14ac:dyDescent="0.2"/>
    <row r="199" s="1" customFormat="1" ht="14.1" customHeight="1" x14ac:dyDescent="0.2"/>
    <row r="200" s="1" customFormat="1" ht="14.1" customHeight="1" x14ac:dyDescent="0.2"/>
    <row r="201" s="1" customFormat="1" ht="14.1" customHeight="1" x14ac:dyDescent="0.2"/>
    <row r="202" s="1" customFormat="1" ht="14.1" customHeight="1" x14ac:dyDescent="0.2"/>
    <row r="203" s="1" customFormat="1" ht="14.1" customHeight="1" x14ac:dyDescent="0.2"/>
    <row r="204" s="1" customFormat="1" ht="14.1" customHeight="1" x14ac:dyDescent="0.2"/>
    <row r="205" s="1" customFormat="1" ht="14.1" customHeight="1" x14ac:dyDescent="0.2"/>
    <row r="206" s="1" customFormat="1" ht="14.1" customHeight="1" x14ac:dyDescent="0.2"/>
    <row r="207" s="1" customFormat="1" ht="14.1" customHeight="1" x14ac:dyDescent="0.2"/>
    <row r="208" s="1" customFormat="1" ht="14.1" customHeight="1" x14ac:dyDescent="0.2"/>
    <row r="209" s="1" customFormat="1" ht="14.1" customHeight="1" x14ac:dyDescent="0.2"/>
    <row r="210" s="1" customFormat="1" ht="14.1" customHeight="1" x14ac:dyDescent="0.2"/>
    <row r="211" s="1" customFormat="1" ht="14.1" customHeight="1" x14ac:dyDescent="0.2"/>
    <row r="212" s="1" customFormat="1" ht="14.1" customHeight="1" x14ac:dyDescent="0.2"/>
    <row r="213" s="1" customFormat="1" ht="14.1" customHeight="1" x14ac:dyDescent="0.2"/>
    <row r="214" s="1" customFormat="1" ht="14.1" customHeight="1" x14ac:dyDescent="0.2"/>
    <row r="215" s="1" customFormat="1" ht="14.1" customHeight="1" x14ac:dyDescent="0.2"/>
    <row r="216" s="1" customFormat="1" ht="14.1" customHeight="1" x14ac:dyDescent="0.2"/>
    <row r="217" s="1" customFormat="1" ht="14.1" customHeight="1" x14ac:dyDescent="0.2"/>
    <row r="218" s="1" customFormat="1" ht="14.1" customHeight="1" x14ac:dyDescent="0.2"/>
    <row r="219" s="1" customFormat="1" ht="14.1" customHeight="1" x14ac:dyDescent="0.2"/>
    <row r="220" s="1" customFormat="1" ht="14.1" customHeight="1" x14ac:dyDescent="0.2"/>
    <row r="221" s="1" customFormat="1" ht="14.1" customHeight="1" x14ac:dyDescent="0.2"/>
    <row r="222" s="1" customFormat="1" ht="14.1" customHeight="1" x14ac:dyDescent="0.2"/>
    <row r="223" s="1" customFormat="1" ht="14.1" customHeight="1" x14ac:dyDescent="0.2"/>
    <row r="224" s="1" customFormat="1" ht="14.1" customHeight="1" x14ac:dyDescent="0.2"/>
    <row r="225" s="1" customFormat="1" ht="14.1" customHeight="1" x14ac:dyDescent="0.2"/>
    <row r="226" s="1" customFormat="1" ht="14.1" customHeight="1" x14ac:dyDescent="0.2"/>
    <row r="227" s="1" customFormat="1" ht="14.1" customHeight="1" x14ac:dyDescent="0.2"/>
    <row r="228" s="1" customFormat="1" ht="14.1" customHeight="1" x14ac:dyDescent="0.2"/>
    <row r="229" s="1" customFormat="1" ht="14.1" customHeight="1" x14ac:dyDescent="0.2"/>
    <row r="230" s="1" customFormat="1" ht="14.1" customHeight="1" x14ac:dyDescent="0.2"/>
    <row r="231" s="1" customFormat="1" ht="14.1" customHeight="1" x14ac:dyDescent="0.2"/>
    <row r="232" s="1" customFormat="1" ht="14.1" customHeight="1" x14ac:dyDescent="0.2"/>
    <row r="233" s="1" customFormat="1" ht="14.1" customHeight="1" x14ac:dyDescent="0.2"/>
    <row r="234" s="1" customFormat="1" ht="14.1" customHeight="1" x14ac:dyDescent="0.2"/>
    <row r="235" s="1" customFormat="1" ht="14.1" customHeight="1" x14ac:dyDescent="0.2"/>
    <row r="236" s="1" customFormat="1" ht="14.1" customHeight="1" x14ac:dyDescent="0.2"/>
    <row r="237" s="1" customFormat="1" ht="14.1" customHeight="1" x14ac:dyDescent="0.2"/>
    <row r="238" s="1" customFormat="1" ht="14.1" customHeight="1" x14ac:dyDescent="0.2"/>
    <row r="239" s="1" customFormat="1" ht="14.1" customHeight="1" x14ac:dyDescent="0.2"/>
    <row r="240" s="1" customFormat="1" ht="14.1" customHeight="1" x14ac:dyDescent="0.2"/>
    <row r="241" s="1" customFormat="1" ht="14.1" customHeight="1" x14ac:dyDescent="0.2"/>
    <row r="242" s="1" customFormat="1" ht="14.1" customHeight="1" x14ac:dyDescent="0.2"/>
    <row r="243" s="1" customFormat="1" ht="14.1" customHeight="1" x14ac:dyDescent="0.2"/>
    <row r="244" s="1" customFormat="1" ht="14.1" customHeight="1" x14ac:dyDescent="0.2"/>
    <row r="245" s="1" customFormat="1" ht="14.1" customHeight="1" x14ac:dyDescent="0.2"/>
    <row r="246" s="1" customFormat="1" ht="14.1" customHeight="1" x14ac:dyDescent="0.2"/>
    <row r="247" s="1" customFormat="1" ht="14.1" customHeight="1" x14ac:dyDescent="0.2"/>
    <row r="248" s="1" customFormat="1" ht="14.1" customHeight="1" x14ac:dyDescent="0.2"/>
    <row r="249" s="1" customFormat="1" ht="14.1" customHeight="1" x14ac:dyDescent="0.2"/>
    <row r="250" s="1" customFormat="1" ht="14.1" customHeight="1" x14ac:dyDescent="0.2"/>
    <row r="251" s="1" customFormat="1" ht="14.1" customHeight="1" x14ac:dyDescent="0.2"/>
    <row r="252" s="1" customFormat="1" ht="14.1" customHeight="1" x14ac:dyDescent="0.2"/>
    <row r="253" s="1" customFormat="1" ht="14.1" customHeight="1" x14ac:dyDescent="0.2"/>
    <row r="254" s="1" customFormat="1" ht="14.1" customHeight="1" x14ac:dyDescent="0.2"/>
    <row r="255" s="1" customFormat="1" ht="14.1" customHeight="1" x14ac:dyDescent="0.2"/>
    <row r="256" s="1" customFormat="1" ht="14.1" customHeight="1" x14ac:dyDescent="0.2"/>
    <row r="257" s="1" customFormat="1" ht="14.1" customHeight="1" x14ac:dyDescent="0.2"/>
    <row r="258" s="1" customFormat="1" ht="14.1" customHeight="1" x14ac:dyDescent="0.2"/>
    <row r="259" s="1" customFormat="1" ht="14.1" customHeight="1" x14ac:dyDescent="0.2"/>
    <row r="260" s="1" customFormat="1" ht="14.1" customHeight="1" x14ac:dyDescent="0.2"/>
    <row r="261" s="1" customFormat="1" ht="14.1" customHeight="1" x14ac:dyDescent="0.2"/>
    <row r="262" s="1" customFormat="1" ht="14.1" customHeight="1" x14ac:dyDescent="0.2"/>
    <row r="263" s="1" customFormat="1" ht="14.1" customHeight="1" x14ac:dyDescent="0.2"/>
    <row r="264" s="1" customFormat="1" ht="14.1" customHeight="1" x14ac:dyDescent="0.2"/>
    <row r="265" s="1" customFormat="1" ht="14.1" customHeight="1" x14ac:dyDescent="0.2"/>
    <row r="266" s="1" customFormat="1" ht="14.1" customHeight="1" x14ac:dyDescent="0.2"/>
    <row r="267" s="1" customFormat="1" ht="14.1" customHeight="1" x14ac:dyDescent="0.2"/>
    <row r="268" s="1" customFormat="1" ht="14.1" customHeight="1" x14ac:dyDescent="0.2"/>
    <row r="269" s="1" customFormat="1" ht="14.1" customHeight="1" x14ac:dyDescent="0.2"/>
    <row r="270" s="1" customFormat="1" ht="14.1" customHeight="1" x14ac:dyDescent="0.2"/>
    <row r="271" s="1" customFormat="1" ht="14.1" customHeight="1" x14ac:dyDescent="0.2"/>
    <row r="272" s="1" customFormat="1" ht="14.1" customHeight="1" x14ac:dyDescent="0.2"/>
    <row r="273" s="1" customFormat="1" ht="14.1" customHeight="1" x14ac:dyDescent="0.2"/>
    <row r="274" s="1" customFormat="1" ht="14.1" customHeight="1" x14ac:dyDescent="0.2"/>
    <row r="275" s="1" customFormat="1" ht="14.1" customHeight="1" x14ac:dyDescent="0.2"/>
    <row r="276" s="1" customFormat="1" ht="14.1" customHeight="1" x14ac:dyDescent="0.2"/>
    <row r="277" s="1" customFormat="1" ht="14.1" customHeight="1" x14ac:dyDescent="0.2"/>
    <row r="278" s="1" customFormat="1" ht="14.1" customHeight="1" x14ac:dyDescent="0.2"/>
    <row r="279" s="1" customFormat="1" ht="14.1" customHeight="1" x14ac:dyDescent="0.2"/>
    <row r="280" s="1" customFormat="1" ht="14.1" customHeight="1" x14ac:dyDescent="0.2"/>
    <row r="281" s="1" customFormat="1" ht="14.1" customHeight="1" x14ac:dyDescent="0.2"/>
    <row r="282" s="1" customFormat="1" ht="14.1" customHeight="1" x14ac:dyDescent="0.2"/>
    <row r="283" s="1" customFormat="1" ht="14.1" customHeight="1" x14ac:dyDescent="0.2"/>
    <row r="284" s="1" customFormat="1" ht="14.1" customHeight="1" x14ac:dyDescent="0.2"/>
    <row r="285" s="1" customFormat="1" ht="14.1" customHeight="1" x14ac:dyDescent="0.2"/>
    <row r="286" s="1" customFormat="1" ht="14.1" customHeight="1" x14ac:dyDescent="0.2"/>
    <row r="287" s="1" customFormat="1" ht="14.1" customHeight="1" x14ac:dyDescent="0.2"/>
    <row r="288" s="1" customFormat="1" ht="14.1" customHeight="1" x14ac:dyDescent="0.2"/>
    <row r="289" s="1" customFormat="1" ht="14.1" customHeight="1" x14ac:dyDescent="0.2"/>
    <row r="290" s="1" customFormat="1" ht="14.1" customHeight="1" x14ac:dyDescent="0.2"/>
    <row r="291" s="1" customFormat="1" ht="14.1" customHeight="1" x14ac:dyDescent="0.2"/>
    <row r="292" s="1" customFormat="1" ht="14.1" customHeight="1" x14ac:dyDescent="0.2"/>
    <row r="293" s="1" customFormat="1" ht="14.1" customHeight="1" x14ac:dyDescent="0.2"/>
    <row r="294" s="1" customFormat="1" ht="14.1" customHeight="1" x14ac:dyDescent="0.2"/>
    <row r="295" s="1" customFormat="1" ht="14.1" customHeight="1" x14ac:dyDescent="0.2"/>
    <row r="296" s="1" customFormat="1" ht="14.1" customHeight="1" x14ac:dyDescent="0.2"/>
    <row r="297" s="1" customFormat="1" ht="14.1" customHeight="1" x14ac:dyDescent="0.2"/>
    <row r="298" s="1" customFormat="1" ht="14.1" customHeight="1" x14ac:dyDescent="0.2"/>
    <row r="299" s="1" customFormat="1" ht="14.1" customHeight="1" x14ac:dyDescent="0.2"/>
    <row r="300" s="1" customFormat="1" ht="14.1" customHeight="1" x14ac:dyDescent="0.2"/>
    <row r="301" s="1" customFormat="1" ht="14.1" customHeight="1" x14ac:dyDescent="0.2"/>
    <row r="302" s="1" customFormat="1" ht="14.1" customHeight="1" x14ac:dyDescent="0.2"/>
    <row r="303" s="1" customFormat="1" ht="14.1" customHeight="1" x14ac:dyDescent="0.2"/>
    <row r="304" s="1" customFormat="1" ht="14.1" customHeight="1" x14ac:dyDescent="0.2"/>
    <row r="305" s="1" customFormat="1" ht="14.1" customHeight="1" x14ac:dyDescent="0.2"/>
    <row r="306" s="1" customFormat="1" ht="14.1" customHeight="1" x14ac:dyDescent="0.2"/>
    <row r="307" s="1" customFormat="1" ht="14.1" customHeight="1" x14ac:dyDescent="0.2"/>
    <row r="308" s="1" customFormat="1" ht="14.1" customHeight="1" x14ac:dyDescent="0.2"/>
    <row r="309" s="1" customFormat="1" ht="14.1" customHeight="1" x14ac:dyDescent="0.2"/>
    <row r="310" s="1" customFormat="1" ht="14.1" customHeight="1" x14ac:dyDescent="0.2"/>
    <row r="311" s="1" customFormat="1" ht="14.1" customHeight="1" x14ac:dyDescent="0.2"/>
    <row r="312" s="1" customFormat="1" ht="14.1" customHeight="1" x14ac:dyDescent="0.2"/>
    <row r="313" s="1" customFormat="1" ht="14.1" customHeight="1" x14ac:dyDescent="0.2"/>
    <row r="314" s="1" customFormat="1" ht="14.1" customHeight="1" x14ac:dyDescent="0.2"/>
    <row r="315" s="1" customFormat="1" ht="14.1" customHeight="1" x14ac:dyDescent="0.2"/>
    <row r="316" s="1" customFormat="1" ht="14.1" customHeight="1" x14ac:dyDescent="0.2"/>
    <row r="317" s="1" customFormat="1" ht="14.1" customHeight="1" x14ac:dyDescent="0.2"/>
    <row r="318" s="1" customFormat="1" ht="14.1" customHeight="1" x14ac:dyDescent="0.2"/>
    <row r="319" s="1" customFormat="1" ht="14.1" customHeight="1" x14ac:dyDescent="0.2"/>
    <row r="320" s="1" customFormat="1" ht="14.1" customHeight="1" x14ac:dyDescent="0.2"/>
    <row r="321" s="1" customFormat="1" ht="14.1" customHeight="1" x14ac:dyDescent="0.2"/>
    <row r="322" s="1" customFormat="1" ht="14.1" customHeight="1" x14ac:dyDescent="0.2"/>
    <row r="323" s="1" customFormat="1" ht="14.1" customHeight="1" x14ac:dyDescent="0.2"/>
    <row r="324" s="1" customFormat="1" ht="14.1" customHeight="1" x14ac:dyDescent="0.2"/>
    <row r="325" s="1" customFormat="1" ht="14.1" customHeight="1" x14ac:dyDescent="0.2"/>
    <row r="326" s="1" customFormat="1" ht="14.1" customHeight="1" x14ac:dyDescent="0.2"/>
    <row r="327" s="1" customFormat="1" ht="14.1" customHeight="1" x14ac:dyDescent="0.2"/>
    <row r="328" s="1" customFormat="1" ht="14.1" customHeight="1" x14ac:dyDescent="0.2"/>
    <row r="329" s="1" customFormat="1" ht="14.1" customHeight="1" x14ac:dyDescent="0.2"/>
    <row r="330" s="1" customFormat="1" ht="14.1" customHeight="1" x14ac:dyDescent="0.2"/>
    <row r="331" s="1" customFormat="1" ht="14.1" customHeight="1" x14ac:dyDescent="0.2"/>
    <row r="332" s="1" customFormat="1" ht="14.1" customHeight="1" x14ac:dyDescent="0.2"/>
    <row r="333" s="1" customFormat="1" ht="14.1" customHeight="1" x14ac:dyDescent="0.2"/>
    <row r="334" s="1" customFormat="1" ht="14.1" customHeight="1" x14ac:dyDescent="0.2"/>
    <row r="335" s="1" customFormat="1" ht="14.1" customHeight="1" x14ac:dyDescent="0.2"/>
    <row r="336" s="1" customFormat="1" ht="14.1" customHeight="1" x14ac:dyDescent="0.2"/>
    <row r="337" s="1" customFormat="1" ht="14.1" customHeight="1" x14ac:dyDescent="0.2"/>
    <row r="338" s="1" customFormat="1" ht="14.1" customHeight="1" x14ac:dyDescent="0.2"/>
    <row r="339" s="1" customFormat="1" ht="14.1" customHeight="1" x14ac:dyDescent="0.2"/>
    <row r="340" s="1" customFormat="1" ht="14.1" customHeight="1" x14ac:dyDescent="0.2"/>
    <row r="341" s="1" customFormat="1" ht="14.1" customHeight="1" x14ac:dyDescent="0.2"/>
    <row r="342" s="1" customFormat="1" ht="14.1" customHeight="1" x14ac:dyDescent="0.2"/>
    <row r="343" s="1" customFormat="1" ht="14.1" customHeight="1" x14ac:dyDescent="0.2"/>
    <row r="344" s="1" customFormat="1" ht="14.1" customHeight="1" x14ac:dyDescent="0.2"/>
    <row r="345" s="1" customFormat="1" ht="14.1" customHeight="1" x14ac:dyDescent="0.2"/>
    <row r="346" s="1" customFormat="1" ht="14.1" customHeight="1" x14ac:dyDescent="0.2"/>
    <row r="347" s="1" customFormat="1" ht="14.1" customHeight="1" x14ac:dyDescent="0.2"/>
    <row r="348" s="1" customFormat="1" ht="14.1" customHeight="1" x14ac:dyDescent="0.2"/>
    <row r="349" s="1" customFormat="1" ht="14.1" customHeight="1" x14ac:dyDescent="0.2"/>
    <row r="350" s="1" customFormat="1" ht="14.1" customHeight="1" x14ac:dyDescent="0.2"/>
    <row r="351" s="1" customFormat="1" ht="14.1" customHeight="1" x14ac:dyDescent="0.2"/>
    <row r="352" s="1" customFormat="1" ht="14.1" customHeight="1" x14ac:dyDescent="0.2"/>
    <row r="353" s="1" customFormat="1" ht="14.1" customHeight="1" x14ac:dyDescent="0.2"/>
    <row r="354" s="1" customFormat="1" ht="14.1" customHeight="1" x14ac:dyDescent="0.2"/>
    <row r="355" s="1" customFormat="1" ht="14.1" customHeight="1" x14ac:dyDescent="0.2"/>
    <row r="356" s="1" customFormat="1" ht="14.1" customHeight="1" x14ac:dyDescent="0.2"/>
    <row r="357" s="1" customFormat="1" ht="14.1" customHeight="1" x14ac:dyDescent="0.2"/>
    <row r="358" s="1" customFormat="1" ht="14.1" customHeight="1" x14ac:dyDescent="0.2"/>
    <row r="359" s="1" customFormat="1" ht="14.1" customHeight="1" x14ac:dyDescent="0.2"/>
    <row r="360" s="1" customFormat="1" ht="14.1" customHeight="1" x14ac:dyDescent="0.2"/>
    <row r="361" s="1" customFormat="1" ht="14.1" customHeight="1" x14ac:dyDescent="0.2"/>
    <row r="362" s="1" customFormat="1" ht="14.1" customHeight="1" x14ac:dyDescent="0.2"/>
    <row r="363" s="1" customFormat="1" ht="14.1" customHeight="1" x14ac:dyDescent="0.2"/>
    <row r="364" s="1" customFormat="1" ht="14.1" customHeight="1" x14ac:dyDescent="0.2"/>
    <row r="365" s="1" customFormat="1" ht="14.1" customHeight="1" x14ac:dyDescent="0.2"/>
    <row r="366" s="1" customFormat="1" ht="14.1" customHeight="1" x14ac:dyDescent="0.2"/>
    <row r="367" s="1" customFormat="1" ht="14.1" customHeight="1" x14ac:dyDescent="0.2"/>
    <row r="368" s="1" customFormat="1" ht="14.1" customHeight="1" x14ac:dyDescent="0.2"/>
    <row r="369" s="1" customFormat="1" ht="14.1" customHeight="1" x14ac:dyDescent="0.2"/>
    <row r="370" s="1" customFormat="1" ht="14.1" customHeight="1" x14ac:dyDescent="0.2"/>
    <row r="371" s="1" customFormat="1" ht="14.1" customHeight="1" x14ac:dyDescent="0.2"/>
    <row r="372" s="1" customFormat="1" ht="14.1" customHeight="1" x14ac:dyDescent="0.2"/>
    <row r="373" s="1" customFormat="1" ht="14.1" customHeight="1" x14ac:dyDescent="0.2"/>
    <row r="374" s="1" customFormat="1" ht="14.1" customHeight="1" x14ac:dyDescent="0.2"/>
    <row r="375" s="1" customFormat="1" ht="14.1" customHeight="1" x14ac:dyDescent="0.2"/>
    <row r="376" s="1" customFormat="1" ht="14.1" customHeight="1" x14ac:dyDescent="0.2"/>
    <row r="377" s="1" customFormat="1" ht="14.1" customHeight="1" x14ac:dyDescent="0.2"/>
    <row r="378" s="1" customFormat="1" ht="14.1" customHeight="1" x14ac:dyDescent="0.2"/>
    <row r="379" s="1" customFormat="1" ht="14.1" customHeight="1" x14ac:dyDescent="0.2"/>
    <row r="380" s="1" customFormat="1" ht="14.1" customHeight="1" x14ac:dyDescent="0.2"/>
    <row r="381" s="1" customFormat="1" ht="14.1" customHeight="1" x14ac:dyDescent="0.2"/>
    <row r="382" s="1" customFormat="1" ht="14.1" customHeight="1" x14ac:dyDescent="0.2"/>
    <row r="383" s="1" customFormat="1" ht="14.1" customHeight="1" x14ac:dyDescent="0.2"/>
    <row r="384" s="1" customFormat="1" ht="14.1" customHeight="1" x14ac:dyDescent="0.2"/>
    <row r="385" s="1" customFormat="1" ht="14.1" customHeight="1" x14ac:dyDescent="0.2"/>
    <row r="386" s="1" customFormat="1" ht="14.1" customHeight="1" x14ac:dyDescent="0.2"/>
    <row r="387" s="1" customFormat="1" ht="14.1" customHeight="1" x14ac:dyDescent="0.2"/>
    <row r="388" s="1" customFormat="1" ht="14.1" customHeight="1" x14ac:dyDescent="0.2"/>
    <row r="389" s="1" customFormat="1" ht="14.1" customHeight="1" x14ac:dyDescent="0.2"/>
    <row r="390" s="1" customFormat="1" ht="14.1" customHeight="1" x14ac:dyDescent="0.2"/>
    <row r="391" s="1" customFormat="1" ht="14.1" customHeight="1" x14ac:dyDescent="0.2"/>
    <row r="392" s="1" customFormat="1" ht="14.1" customHeight="1" x14ac:dyDescent="0.2"/>
    <row r="393" s="1" customFormat="1" ht="14.1" customHeight="1" x14ac:dyDescent="0.2"/>
    <row r="394" s="1" customFormat="1" ht="14.1" customHeight="1" x14ac:dyDescent="0.2"/>
    <row r="395" s="1" customFormat="1" ht="14.1" customHeight="1" x14ac:dyDescent="0.2"/>
    <row r="396" s="1" customFormat="1" ht="14.1" customHeight="1" x14ac:dyDescent="0.2"/>
    <row r="397" s="1" customFormat="1" ht="14.1" customHeight="1" x14ac:dyDescent="0.2"/>
    <row r="398" s="1" customFormat="1" ht="14.1" customHeight="1" x14ac:dyDescent="0.2"/>
    <row r="399" s="1" customFormat="1" ht="14.1" customHeight="1" x14ac:dyDescent="0.2"/>
    <row r="400" s="1" customFormat="1" ht="14.1" customHeight="1" x14ac:dyDescent="0.2"/>
    <row r="401" s="1" customFormat="1" ht="14.1" customHeight="1" x14ac:dyDescent="0.2"/>
    <row r="402" s="1" customFormat="1" ht="14.1" customHeight="1" x14ac:dyDescent="0.2"/>
    <row r="403" s="1" customFormat="1" ht="14.1" customHeight="1" x14ac:dyDescent="0.2"/>
    <row r="404" s="1" customFormat="1" ht="14.1" customHeight="1" x14ac:dyDescent="0.2"/>
    <row r="405" s="1" customFormat="1" ht="14.1" customHeight="1" x14ac:dyDescent="0.2"/>
    <row r="406" s="1" customFormat="1" ht="14.1" customHeight="1" x14ac:dyDescent="0.2"/>
    <row r="407" s="1" customFormat="1" ht="14.1" customHeight="1" x14ac:dyDescent="0.2"/>
    <row r="408" s="1" customFormat="1" ht="14.1" customHeight="1" x14ac:dyDescent="0.2"/>
    <row r="409" s="1" customFormat="1" ht="14.1" customHeight="1" x14ac:dyDescent="0.2"/>
    <row r="410" s="1" customFormat="1" ht="14.1" customHeight="1" x14ac:dyDescent="0.2"/>
    <row r="411" s="1" customFormat="1" ht="14.1" customHeight="1" x14ac:dyDescent="0.2"/>
    <row r="412" s="1" customFormat="1" ht="14.1" customHeight="1" x14ac:dyDescent="0.2"/>
    <row r="413" s="1" customFormat="1" ht="14.1" customHeight="1" x14ac:dyDescent="0.2"/>
    <row r="414" s="1" customFormat="1" ht="14.1" customHeight="1" x14ac:dyDescent="0.2"/>
    <row r="415" s="1" customFormat="1" ht="14.1" customHeight="1" x14ac:dyDescent="0.2"/>
    <row r="416" s="1" customFormat="1" ht="14.1" customHeight="1" x14ac:dyDescent="0.2"/>
    <row r="417" s="1" customFormat="1" ht="14.1" customHeight="1" x14ac:dyDescent="0.2"/>
    <row r="418" s="1" customFormat="1" ht="14.1" customHeight="1" x14ac:dyDescent="0.2"/>
    <row r="419" s="1" customFormat="1" ht="14.1" customHeight="1" x14ac:dyDescent="0.2"/>
    <row r="420" s="1" customFormat="1" ht="14.1" customHeight="1" x14ac:dyDescent="0.2"/>
    <row r="421" s="1" customFormat="1" ht="14.1" customHeight="1" x14ac:dyDescent="0.2"/>
    <row r="422" s="1" customFormat="1" ht="14.1" customHeight="1" x14ac:dyDescent="0.2"/>
    <row r="423" s="1" customFormat="1" ht="14.1" customHeight="1" x14ac:dyDescent="0.2"/>
    <row r="424" s="1" customFormat="1" ht="14.1" customHeight="1" x14ac:dyDescent="0.2"/>
    <row r="425" s="1" customFormat="1" ht="14.1" customHeight="1" x14ac:dyDescent="0.2"/>
    <row r="426" s="1" customFormat="1" ht="14.1" customHeight="1" x14ac:dyDescent="0.2"/>
    <row r="427" s="1" customFormat="1" ht="14.1" customHeight="1" x14ac:dyDescent="0.2"/>
    <row r="428" s="1" customFormat="1" ht="14.1" customHeight="1" x14ac:dyDescent="0.2"/>
    <row r="429" s="1" customFormat="1" ht="14.1" customHeight="1" x14ac:dyDescent="0.2"/>
    <row r="430" s="1" customFormat="1" ht="14.1" customHeight="1" x14ac:dyDescent="0.2"/>
    <row r="431" s="1" customFormat="1" ht="14.1" customHeight="1" x14ac:dyDescent="0.2"/>
    <row r="432" s="1" customFormat="1" ht="14.1" customHeight="1" x14ac:dyDescent="0.2"/>
    <row r="433" s="1" customFormat="1" ht="14.1" customHeight="1" x14ac:dyDescent="0.2"/>
    <row r="434" s="1" customFormat="1" ht="14.1" customHeight="1" x14ac:dyDescent="0.2"/>
    <row r="435" s="1" customFormat="1" ht="14.1" customHeight="1" x14ac:dyDescent="0.2"/>
    <row r="436" s="1" customFormat="1" ht="14.1" customHeight="1" x14ac:dyDescent="0.2"/>
    <row r="437" s="1" customFormat="1" ht="14.1" customHeight="1" x14ac:dyDescent="0.2"/>
    <row r="438" s="1" customFormat="1" ht="14.1" customHeight="1" x14ac:dyDescent="0.2"/>
    <row r="439" s="1" customFormat="1" ht="14.1" customHeight="1" x14ac:dyDescent="0.2"/>
    <row r="440" s="1" customFormat="1" ht="14.1" customHeight="1" x14ac:dyDescent="0.2"/>
    <row r="441" s="1" customFormat="1" ht="14.1" customHeight="1" x14ac:dyDescent="0.2"/>
    <row r="442" s="1" customFormat="1" ht="14.1" customHeight="1" x14ac:dyDescent="0.2"/>
    <row r="443" s="1" customFormat="1" ht="14.1" customHeight="1" x14ac:dyDescent="0.2"/>
    <row r="444" s="1" customFormat="1" ht="14.1" customHeight="1" x14ac:dyDescent="0.2"/>
    <row r="445" s="1" customFormat="1" ht="14.1" customHeight="1" x14ac:dyDescent="0.2"/>
    <row r="446" s="1" customFormat="1" ht="14.1" customHeight="1" x14ac:dyDescent="0.2"/>
    <row r="447" s="1" customFormat="1" ht="14.1" customHeight="1" x14ac:dyDescent="0.2"/>
    <row r="448" s="1" customFormat="1" ht="14.1" customHeight="1" x14ac:dyDescent="0.2"/>
    <row r="449" s="1" customFormat="1" ht="14.1" customHeight="1" x14ac:dyDescent="0.2"/>
    <row r="450" s="1" customFormat="1" ht="14.1" customHeight="1" x14ac:dyDescent="0.2"/>
    <row r="451" s="1" customFormat="1" ht="14.1" customHeight="1" x14ac:dyDescent="0.2"/>
    <row r="452" s="1" customFormat="1" ht="14.1" customHeight="1" x14ac:dyDescent="0.2"/>
    <row r="453" s="1" customFormat="1" ht="14.1" customHeight="1" x14ac:dyDescent="0.2"/>
    <row r="454" s="1" customFormat="1" ht="14.1" customHeight="1" x14ac:dyDescent="0.2"/>
    <row r="455" s="1" customFormat="1" ht="14.1" customHeight="1" x14ac:dyDescent="0.2"/>
    <row r="456" s="1" customFormat="1" ht="14.1" customHeight="1" x14ac:dyDescent="0.2"/>
    <row r="457" s="1" customFormat="1" ht="14.1" customHeight="1" x14ac:dyDescent="0.2"/>
    <row r="458" s="1" customFormat="1" ht="14.1" customHeight="1" x14ac:dyDescent="0.2"/>
    <row r="459" s="1" customFormat="1" ht="14.1" customHeight="1" x14ac:dyDescent="0.2"/>
    <row r="460" s="1" customFormat="1" ht="14.1" customHeight="1" x14ac:dyDescent="0.2"/>
    <row r="461" s="1" customFormat="1" ht="14.1" customHeight="1" x14ac:dyDescent="0.2"/>
    <row r="462" s="1" customFormat="1" ht="14.1" customHeight="1" x14ac:dyDescent="0.2"/>
    <row r="463" s="1" customFormat="1" ht="14.1" customHeight="1" x14ac:dyDescent="0.2"/>
    <row r="464" s="1" customFormat="1" ht="14.1" customHeight="1" x14ac:dyDescent="0.2"/>
    <row r="465" s="1" customFormat="1" ht="14.1" customHeight="1" x14ac:dyDescent="0.2"/>
    <row r="466" s="1" customFormat="1" ht="14.1" customHeight="1" x14ac:dyDescent="0.2"/>
    <row r="467" s="1" customFormat="1" ht="14.1" customHeight="1" x14ac:dyDescent="0.2"/>
    <row r="468" s="1" customFormat="1" ht="14.1" customHeight="1" x14ac:dyDescent="0.2"/>
    <row r="469" s="1" customFormat="1" ht="14.1" customHeight="1" x14ac:dyDescent="0.2"/>
    <row r="470" s="1" customFormat="1" ht="14.1" customHeight="1" x14ac:dyDescent="0.2"/>
    <row r="471" s="1" customFormat="1" ht="14.1" customHeight="1" x14ac:dyDescent="0.2"/>
    <row r="472" s="1" customFormat="1" ht="14.1" customHeight="1" x14ac:dyDescent="0.2"/>
    <row r="473" s="1" customFormat="1" ht="14.1" customHeight="1" x14ac:dyDescent="0.2"/>
    <row r="474" s="1" customFormat="1" ht="14.1" customHeight="1" x14ac:dyDescent="0.2"/>
    <row r="475" s="1" customFormat="1" ht="14.1" customHeight="1" x14ac:dyDescent="0.2"/>
    <row r="476" s="1" customFormat="1" ht="14.1" customHeight="1" x14ac:dyDescent="0.2"/>
    <row r="477" s="1" customFormat="1" ht="14.1" customHeight="1" x14ac:dyDescent="0.2"/>
    <row r="478" s="1" customFormat="1" ht="14.1" customHeight="1" x14ac:dyDescent="0.2"/>
    <row r="479" s="1" customFormat="1" ht="14.1" customHeight="1" x14ac:dyDescent="0.2"/>
    <row r="480" s="1" customFormat="1" ht="14.1" customHeight="1" x14ac:dyDescent="0.2"/>
    <row r="481" s="1" customFormat="1" ht="14.1" customHeight="1" x14ac:dyDescent="0.2"/>
    <row r="482" s="1" customFormat="1" ht="14.1" customHeight="1" x14ac:dyDescent="0.2"/>
    <row r="483" s="1" customFormat="1" ht="14.1" customHeight="1" x14ac:dyDescent="0.2"/>
    <row r="484" s="1" customFormat="1" ht="14.1" customHeight="1" x14ac:dyDescent="0.2"/>
    <row r="485" s="1" customFormat="1" ht="14.1" customHeight="1" x14ac:dyDescent="0.2"/>
    <row r="486" s="1" customFormat="1" ht="14.1" customHeight="1" x14ac:dyDescent="0.2"/>
    <row r="487" s="1" customFormat="1" ht="14.1" customHeight="1" x14ac:dyDescent="0.2"/>
    <row r="488" s="1" customFormat="1" ht="14.1" customHeight="1" x14ac:dyDescent="0.2"/>
    <row r="489" s="1" customFormat="1" ht="14.1" customHeight="1" x14ac:dyDescent="0.2"/>
    <row r="490" s="1" customFormat="1" ht="14.1" customHeight="1" x14ac:dyDescent="0.2"/>
    <row r="491" s="1" customFormat="1" ht="14.1" customHeight="1" x14ac:dyDescent="0.2"/>
    <row r="492" s="1" customFormat="1" ht="14.1" customHeight="1" x14ac:dyDescent="0.2"/>
    <row r="493" s="1" customFormat="1" ht="14.1" customHeight="1" x14ac:dyDescent="0.2"/>
    <row r="494" s="1" customFormat="1" ht="14.1" customHeight="1" x14ac:dyDescent="0.2"/>
    <row r="495" s="1" customFormat="1" ht="14.1" customHeight="1" x14ac:dyDescent="0.2"/>
    <row r="496" s="1" customFormat="1" ht="14.1" customHeight="1" x14ac:dyDescent="0.2"/>
    <row r="497" s="1" customFormat="1" ht="14.1" customHeight="1" x14ac:dyDescent="0.2"/>
    <row r="498" s="1" customFormat="1" ht="14.1" customHeight="1" x14ac:dyDescent="0.2"/>
    <row r="499" s="1" customFormat="1" ht="14.1" customHeight="1" x14ac:dyDescent="0.2"/>
    <row r="500" s="1" customFormat="1" ht="14.1" customHeight="1" x14ac:dyDescent="0.2"/>
    <row r="501" s="1" customFormat="1" ht="14.1" customHeight="1" x14ac:dyDescent="0.2"/>
    <row r="502" s="1" customFormat="1" ht="14.1" customHeight="1" x14ac:dyDescent="0.2"/>
    <row r="503" s="1" customFormat="1" ht="14.1" customHeight="1" x14ac:dyDescent="0.2"/>
    <row r="504" s="1" customFormat="1" ht="14.1" customHeight="1" x14ac:dyDescent="0.2"/>
    <row r="505" s="1" customFormat="1" ht="14.1" customHeight="1" x14ac:dyDescent="0.2"/>
    <row r="506" s="1" customFormat="1" ht="14.1" customHeight="1" x14ac:dyDescent="0.2"/>
    <row r="507" s="1" customFormat="1" ht="14.1" customHeight="1" x14ac:dyDescent="0.2"/>
    <row r="508" s="1" customFormat="1" ht="14.1" customHeight="1" x14ac:dyDescent="0.2"/>
    <row r="509" s="1" customFormat="1" ht="14.1" customHeight="1" x14ac:dyDescent="0.2"/>
    <row r="510" s="1" customFormat="1" ht="14.1" customHeight="1" x14ac:dyDescent="0.2"/>
    <row r="511" s="1" customFormat="1" ht="14.1" customHeight="1" x14ac:dyDescent="0.2"/>
    <row r="512" s="1" customFormat="1" ht="14.1" customHeight="1" x14ac:dyDescent="0.2"/>
    <row r="513" s="1" customFormat="1" ht="14.1" customHeight="1" x14ac:dyDescent="0.2"/>
    <row r="514" s="1" customFormat="1" ht="14.1" customHeight="1" x14ac:dyDescent="0.2"/>
  </sheetData>
  <mergeCells count="327">
    <mergeCell ref="AE5:AE6"/>
    <mergeCell ref="AF5:AF6"/>
    <mergeCell ref="AF42:AF43"/>
    <mergeCell ref="AB5:AB6"/>
    <mergeCell ref="AB24:AB25"/>
    <mergeCell ref="AB42:AB43"/>
    <mergeCell ref="AA5:AA6"/>
    <mergeCell ref="AA24:AA25"/>
    <mergeCell ref="AA42:AA43"/>
    <mergeCell ref="AC5:AC6"/>
    <mergeCell ref="AC24:AC25"/>
    <mergeCell ref="AD24:AD25"/>
    <mergeCell ref="AC42:AC43"/>
    <mergeCell ref="AG5:AG6"/>
    <mergeCell ref="AH5:AH6"/>
    <mergeCell ref="AG24:AG25"/>
    <mergeCell ref="AH24:AH25"/>
    <mergeCell ref="AG42:AG43"/>
    <mergeCell ref="AH42:AH43"/>
    <mergeCell ref="AI5:AI6"/>
    <mergeCell ref="AI24:AI25"/>
    <mergeCell ref="AI42:AI43"/>
    <mergeCell ref="AJ5:AJ6"/>
    <mergeCell ref="AJ24:AJ25"/>
    <mergeCell ref="AM5:AM6"/>
    <mergeCell ref="AM24:AM25"/>
    <mergeCell ref="AM42:AM43"/>
    <mergeCell ref="AQ5:AQ6"/>
    <mergeCell ref="AQ24:AQ25"/>
    <mergeCell ref="AQ42:AQ43"/>
    <mergeCell ref="AK5:AK6"/>
    <mergeCell ref="AK24:AK25"/>
    <mergeCell ref="AL24:AL25"/>
    <mergeCell ref="AK42:AK43"/>
    <mergeCell ref="AJ42:AJ43"/>
    <mergeCell ref="BC42:BC43"/>
    <mergeCell ref="BH5:BH6"/>
    <mergeCell ref="BG5:BG6"/>
    <mergeCell ref="BH42:BH43"/>
    <mergeCell ref="BH24:BH25"/>
    <mergeCell ref="AR5:AR6"/>
    <mergeCell ref="AR24:AR25"/>
    <mergeCell ref="AR42:AR43"/>
    <mergeCell ref="AN5:AN6"/>
    <mergeCell ref="AN24:AN25"/>
    <mergeCell ref="AN42:AN43"/>
    <mergeCell ref="AO5:AO6"/>
    <mergeCell ref="AP5:AP6"/>
    <mergeCell ref="AO24:AO25"/>
    <mergeCell ref="AP24:AP25"/>
    <mergeCell ref="AO42:AO43"/>
    <mergeCell ref="AP42:AP43"/>
    <mergeCell ref="AX24:AX25"/>
    <mergeCell ref="AW42:AW43"/>
    <mergeCell ref="AX42:AX43"/>
    <mergeCell ref="AV42:AV43"/>
    <mergeCell ref="AU24:AU25"/>
    <mergeCell ref="AU42:AU43"/>
    <mergeCell ref="BN24:BN25"/>
    <mergeCell ref="BJ24:BJ25"/>
    <mergeCell ref="BL24:BL25"/>
    <mergeCell ref="BN42:BN43"/>
    <mergeCell ref="BN5:BN6"/>
    <mergeCell ref="BK5:BK6"/>
    <mergeCell ref="BK24:BK25"/>
    <mergeCell ref="BI5:BI6"/>
    <mergeCell ref="BI24:BI25"/>
    <mergeCell ref="BL5:BL6"/>
    <mergeCell ref="BM5:BM6"/>
    <mergeCell ref="BI42:BI43"/>
    <mergeCell ref="BK42:BK43"/>
    <mergeCell ref="BM24:BM25"/>
    <mergeCell ref="BL42:BL43"/>
    <mergeCell ref="BM42:BM43"/>
    <mergeCell ref="BY24:BY25"/>
    <mergeCell ref="BZ24:BZ25"/>
    <mergeCell ref="BU5:BU6"/>
    <mergeCell ref="BV5:BV6"/>
    <mergeCell ref="BO24:BO25"/>
    <mergeCell ref="CB42:CB43"/>
    <mergeCell ref="BO42:BO43"/>
    <mergeCell ref="BQ42:BQ43"/>
    <mergeCell ref="BO5:BO6"/>
    <mergeCell ref="BS42:BS43"/>
    <mergeCell ref="BX42:BX43"/>
    <mergeCell ref="BU42:BU43"/>
    <mergeCell ref="BT42:BT43"/>
    <mergeCell ref="BW42:BW43"/>
    <mergeCell ref="BU24:BU25"/>
    <mergeCell ref="BV24:BV25"/>
    <mergeCell ref="BW24:BW25"/>
    <mergeCell ref="BV42:BV43"/>
    <mergeCell ref="BP24:BP25"/>
    <mergeCell ref="CI24:CI25"/>
    <mergeCell ref="CG24:CG25"/>
    <mergeCell ref="CC42:CC43"/>
    <mergeCell ref="CG42:CG43"/>
    <mergeCell ref="CE42:CE43"/>
    <mergeCell ref="CF5:CF6"/>
    <mergeCell ref="CF42:CF43"/>
    <mergeCell ref="BY42:BY43"/>
    <mergeCell ref="BP5:BP6"/>
    <mergeCell ref="CH24:CH25"/>
    <mergeCell ref="CA42:CA43"/>
    <mergeCell ref="BQ5:BQ6"/>
    <mergeCell ref="BQ24:BQ25"/>
    <mergeCell ref="BR24:BR25"/>
    <mergeCell ref="BS5:BS6"/>
    <mergeCell ref="BS24:BS25"/>
    <mergeCell ref="CE24:CE25"/>
    <mergeCell ref="BP42:BP43"/>
    <mergeCell ref="BW5:BW6"/>
    <mergeCell ref="CC5:CC6"/>
    <mergeCell ref="CC24:CC25"/>
    <mergeCell ref="CD24:CD25"/>
    <mergeCell ref="BT5:BT6"/>
    <mergeCell ref="BT24:BT25"/>
    <mergeCell ref="DC24:DC25"/>
    <mergeCell ref="CJ5:CJ6"/>
    <mergeCell ref="CI5:CI6"/>
    <mergeCell ref="CG5:CG6"/>
    <mergeCell ref="CB5:CB6"/>
    <mergeCell ref="CK5:CK6"/>
    <mergeCell ref="CK42:CK43"/>
    <mergeCell ref="CF24:CF25"/>
    <mergeCell ref="CK24:CK25"/>
    <mergeCell ref="CJ24:CJ25"/>
    <mergeCell ref="CJ42:CJ43"/>
    <mergeCell ref="CI42:CI43"/>
    <mergeCell ref="CL5:CL6"/>
    <mergeCell ref="CV24:CV25"/>
    <mergeCell ref="CN24:CN25"/>
    <mergeCell ref="CO24:CO25"/>
    <mergeCell ref="CP24:CP25"/>
    <mergeCell ref="CN42:CN43"/>
    <mergeCell ref="CO42:CO43"/>
    <mergeCell ref="CR42:CR43"/>
    <mergeCell ref="CQ42:CQ43"/>
    <mergeCell ref="CL42:CL43"/>
    <mergeCell ref="CM42:CM43"/>
    <mergeCell ref="CO5:CO6"/>
    <mergeCell ref="CM5:CM6"/>
    <mergeCell ref="CN5:CN6"/>
    <mergeCell ref="CL24:CL25"/>
    <mergeCell ref="CM24:CM25"/>
    <mergeCell ref="CQ24:CQ25"/>
    <mergeCell ref="CR24:CR25"/>
    <mergeCell ref="CS24:CS25"/>
    <mergeCell ref="CQ5:CQ6"/>
    <mergeCell ref="CR5:CR6"/>
    <mergeCell ref="CS42:CS43"/>
    <mergeCell ref="CU42:CU43"/>
    <mergeCell ref="CV42:CV43"/>
    <mergeCell ref="CW42:CW43"/>
    <mergeCell ref="CY5:CY6"/>
    <mergeCell ref="CS5:CS6"/>
    <mergeCell ref="CT24:CT25"/>
    <mergeCell ref="CU5:CU6"/>
    <mergeCell ref="CV5:CV6"/>
    <mergeCell ref="CY42:CY43"/>
    <mergeCell ref="CY24:CY25"/>
    <mergeCell ref="CU24:CU25"/>
    <mergeCell ref="DJ5:DJ6"/>
    <mergeCell ref="DK5:DK6"/>
    <mergeCell ref="DH5:DH6"/>
    <mergeCell ref="DG5:DG6"/>
    <mergeCell ref="DC5:DC6"/>
    <mergeCell ref="DD5:DD6"/>
    <mergeCell ref="DB42:DB43"/>
    <mergeCell ref="DC42:DC43"/>
    <mergeCell ref="CW5:CW6"/>
    <mergeCell ref="CZ42:CZ43"/>
    <mergeCell ref="DA42:DA43"/>
    <mergeCell ref="DD42:DD43"/>
    <mergeCell ref="DH24:DH25"/>
    <mergeCell ref="DI5:DI6"/>
    <mergeCell ref="DE5:DE6"/>
    <mergeCell ref="DF5:DF6"/>
    <mergeCell ref="CZ5:CZ6"/>
    <mergeCell ref="DA5:DA6"/>
    <mergeCell ref="DB5:DB6"/>
    <mergeCell ref="CW24:CW25"/>
    <mergeCell ref="CX24:CX25"/>
    <mergeCell ref="CZ24:CZ25"/>
    <mergeCell ref="DA24:DA25"/>
    <mergeCell ref="DB24:DB25"/>
    <mergeCell ref="DQ42:DQ43"/>
    <mergeCell ref="DJ42:DJ43"/>
    <mergeCell ref="DK42:DK43"/>
    <mergeCell ref="DL42:DL43"/>
    <mergeCell ref="DM42:DM43"/>
    <mergeCell ref="DN42:DN43"/>
    <mergeCell ref="DE42:DE43"/>
    <mergeCell ref="DF42:DF43"/>
    <mergeCell ref="DG42:DG43"/>
    <mergeCell ref="DH42:DH43"/>
    <mergeCell ref="DI42:DI43"/>
    <mergeCell ref="DO42:DO43"/>
    <mergeCell ref="DP42:DP43"/>
    <mergeCell ref="DP5:DP6"/>
    <mergeCell ref="DN5:DN6"/>
    <mergeCell ref="DP24:DP25"/>
    <mergeCell ref="DI24:DI25"/>
    <mergeCell ref="DJ24:DJ25"/>
    <mergeCell ref="DK24:DK25"/>
    <mergeCell ref="DO5:DO6"/>
    <mergeCell ref="CA5:CA6"/>
    <mergeCell ref="BX5:BX6"/>
    <mergeCell ref="BX24:BX25"/>
    <mergeCell ref="BY5:BY6"/>
    <mergeCell ref="DM24:DM25"/>
    <mergeCell ref="DN24:DN25"/>
    <mergeCell ref="DL24:DL25"/>
    <mergeCell ref="DO24:DO25"/>
    <mergeCell ref="DD24:DD25"/>
    <mergeCell ref="DE24:DE25"/>
    <mergeCell ref="DF24:DF25"/>
    <mergeCell ref="DG24:DG25"/>
    <mergeCell ref="DL5:DL6"/>
    <mergeCell ref="DM5:DM6"/>
    <mergeCell ref="CE5:CE6"/>
    <mergeCell ref="CA24:CA25"/>
    <mergeCell ref="CB24:CB25"/>
    <mergeCell ref="B5:B6"/>
    <mergeCell ref="C5:C6"/>
    <mergeCell ref="E5:E6"/>
    <mergeCell ref="BE5:BE6"/>
    <mergeCell ref="BF5:BF6"/>
    <mergeCell ref="BE24:BE25"/>
    <mergeCell ref="BF24:BF25"/>
    <mergeCell ref="BD5:BD6"/>
    <mergeCell ref="BD24:BD25"/>
    <mergeCell ref="BC5:BC6"/>
    <mergeCell ref="BC24:BC25"/>
    <mergeCell ref="BA5:BA6"/>
    <mergeCell ref="BA24:BA25"/>
    <mergeCell ref="BB24:BB25"/>
    <mergeCell ref="AZ5:AZ6"/>
    <mergeCell ref="AZ24:AZ25"/>
    <mergeCell ref="AY5:AY6"/>
    <mergeCell ref="AY24:AY25"/>
    <mergeCell ref="AW5:AW6"/>
    <mergeCell ref="AX5:AX6"/>
    <mergeCell ref="AV5:AV6"/>
    <mergeCell ref="AV24:AV25"/>
    <mergeCell ref="AU5:AU6"/>
    <mergeCell ref="AS5:AS6"/>
    <mergeCell ref="B42:B43"/>
    <mergeCell ref="C42:C43"/>
    <mergeCell ref="E42:E43"/>
    <mergeCell ref="F42:F43"/>
    <mergeCell ref="BG24:BG25"/>
    <mergeCell ref="D24:D25"/>
    <mergeCell ref="BG42:BG43"/>
    <mergeCell ref="BE42:BE43"/>
    <mergeCell ref="BF42:BF43"/>
    <mergeCell ref="BD42:BD43"/>
    <mergeCell ref="B24:B25"/>
    <mergeCell ref="C24:C25"/>
    <mergeCell ref="E24:E25"/>
    <mergeCell ref="F24:F25"/>
    <mergeCell ref="AZ42:AZ43"/>
    <mergeCell ref="AY42:AY43"/>
    <mergeCell ref="AW24:AW25"/>
    <mergeCell ref="AS24:AS25"/>
    <mergeCell ref="AT24:AT25"/>
    <mergeCell ref="AS42:AS43"/>
    <mergeCell ref="BA42:BA43"/>
    <mergeCell ref="AE24:AE25"/>
    <mergeCell ref="AE42:AE43"/>
    <mergeCell ref="AF24:AF25"/>
    <mergeCell ref="Z42:Z43"/>
    <mergeCell ref="X5:X6"/>
    <mergeCell ref="X24:X25"/>
    <mergeCell ref="X42:X43"/>
    <mergeCell ref="W5:W6"/>
    <mergeCell ref="W24:W25"/>
    <mergeCell ref="W42:W43"/>
    <mergeCell ref="U5:U6"/>
    <mergeCell ref="U24:U25"/>
    <mergeCell ref="V24:V25"/>
    <mergeCell ref="U42:U43"/>
    <mergeCell ref="Y5:Y6"/>
    <mergeCell ref="Z5:Z6"/>
    <mergeCell ref="Y24:Y25"/>
    <mergeCell ref="Z24:Z25"/>
    <mergeCell ref="Y42:Y43"/>
    <mergeCell ref="T5:T6"/>
    <mergeCell ref="T24:T25"/>
    <mergeCell ref="T42:T43"/>
    <mergeCell ref="P5:P6"/>
    <mergeCell ref="P24:P25"/>
    <mergeCell ref="P42:P43"/>
    <mergeCell ref="Q5:Q6"/>
    <mergeCell ref="R5:R6"/>
    <mergeCell ref="Q24:Q25"/>
    <mergeCell ref="R24:R25"/>
    <mergeCell ref="Q42:Q43"/>
    <mergeCell ref="R42:R43"/>
    <mergeCell ref="O5:O6"/>
    <mergeCell ref="O24:O25"/>
    <mergeCell ref="O42:O43"/>
    <mergeCell ref="M5:M6"/>
    <mergeCell ref="M24:M25"/>
    <mergeCell ref="N24:N25"/>
    <mergeCell ref="M42:M43"/>
    <mergeCell ref="S5:S6"/>
    <mergeCell ref="S24:S25"/>
    <mergeCell ref="S42:S43"/>
    <mergeCell ref="L5:L6"/>
    <mergeCell ref="L24:L25"/>
    <mergeCell ref="L42:L43"/>
    <mergeCell ref="J5:J6"/>
    <mergeCell ref="J24:J25"/>
    <mergeCell ref="J42:J43"/>
    <mergeCell ref="I5:I6"/>
    <mergeCell ref="I24:I25"/>
    <mergeCell ref="I42:I43"/>
    <mergeCell ref="G5:G6"/>
    <mergeCell ref="G24:G25"/>
    <mergeCell ref="G42:G43"/>
    <mergeCell ref="H5:H6"/>
    <mergeCell ref="H24:H25"/>
    <mergeCell ref="H42:H43"/>
    <mergeCell ref="K5:K6"/>
    <mergeCell ref="K24:K25"/>
    <mergeCell ref="K42:K43"/>
  </mergeCells>
  <dataValidations count="1">
    <dataValidation type="list" allowBlank="1" showInputMessage="1" showErrorMessage="1" sqref="V2">
      <formula1>$W$2:$W$3</formula1>
    </dataValidation>
  </dataValidations>
  <hyperlinks>
    <hyperlink ref="B100" r:id="rId1"/>
  </hyperlinks>
  <pageMargins left="0.7" right="0.7" top="0.75" bottom="0.75" header="0.3" footer="0.3"/>
  <pageSetup paperSize="9" scale="72"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Q514"/>
  <sheetViews>
    <sheetView showGridLines="0" zoomScale="85" zoomScaleNormal="85" workbookViewId="0">
      <pane xSplit="5" topLeftCell="F1" activePane="topRight" state="frozen"/>
      <selection activeCell="H29" sqref="H29"/>
      <selection pane="topRight" activeCell="H29" sqref="H29"/>
    </sheetView>
  </sheetViews>
  <sheetFormatPr defaultRowHeight="14.1" customHeight="1" x14ac:dyDescent="0.2"/>
  <cols>
    <col min="1" max="1" width="9.85546875" style="1" customWidth="1"/>
    <col min="2" max="2" width="33.28515625" customWidth="1"/>
    <col min="3" max="6" width="9.85546875" customWidth="1"/>
    <col min="7" max="18" width="10.7109375" customWidth="1"/>
    <col min="19" max="21" width="10.7109375" style="1" customWidth="1"/>
    <col min="22" max="34" width="10.7109375" customWidth="1"/>
    <col min="35" max="51" width="10.7109375" style="1" customWidth="1"/>
    <col min="52" max="54" width="10.7109375" customWidth="1"/>
  </cols>
  <sheetData>
    <row r="1" spans="1:121" ht="44.25" customHeight="1" x14ac:dyDescent="0.2">
      <c r="B1" s="25"/>
      <c r="C1" s="5"/>
      <c r="D1" s="5"/>
      <c r="E1" s="5"/>
      <c r="F1" s="45" t="s">
        <v>57</v>
      </c>
      <c r="G1" s="5"/>
      <c r="H1" s="5"/>
      <c r="I1" s="5"/>
      <c r="J1" s="5"/>
      <c r="K1" s="5"/>
      <c r="L1" s="5"/>
      <c r="M1" s="5"/>
      <c r="N1" s="5"/>
      <c r="O1" s="5"/>
      <c r="P1" s="5"/>
      <c r="Q1" s="5"/>
      <c r="R1" s="5"/>
      <c r="V1" s="5"/>
      <c r="W1" s="5"/>
      <c r="X1" s="5"/>
      <c r="Y1" s="5"/>
      <c r="Z1" s="5"/>
      <c r="AA1" s="5"/>
      <c r="AB1" s="5"/>
      <c r="AC1" s="5"/>
      <c r="AD1" s="5"/>
      <c r="AE1" s="5"/>
      <c r="AF1" s="5"/>
      <c r="AG1" s="5"/>
      <c r="AH1" s="5"/>
    </row>
    <row r="2" spans="1:121" ht="13.5" customHeight="1" x14ac:dyDescent="0.3">
      <c r="B2" s="25"/>
      <c r="C2" s="5"/>
      <c r="D2" s="5"/>
      <c r="E2" s="5"/>
      <c r="F2" s="5"/>
      <c r="G2" s="44" t="s">
        <v>56</v>
      </c>
      <c r="H2" s="5"/>
      <c r="I2" s="5"/>
      <c r="J2" s="5"/>
      <c r="K2" s="5"/>
      <c r="L2" s="5"/>
      <c r="M2" s="5"/>
      <c r="N2" s="5"/>
      <c r="O2" s="5"/>
      <c r="P2" s="5"/>
      <c r="Q2" s="5"/>
      <c r="R2" s="5"/>
      <c r="V2" s="5" t="s">
        <v>56</v>
      </c>
      <c r="W2" s="44" t="s">
        <v>56</v>
      </c>
      <c r="X2" s="5"/>
      <c r="Y2" s="5"/>
      <c r="Z2" s="5"/>
      <c r="AA2" s="5"/>
      <c r="AB2" s="5"/>
      <c r="AC2" s="5"/>
      <c r="AD2" s="5"/>
      <c r="AE2" s="5"/>
      <c r="AF2" s="5"/>
      <c r="AG2" s="5"/>
      <c r="AH2" s="5"/>
    </row>
    <row r="3" spans="1:121" ht="13.5" customHeight="1" x14ac:dyDescent="0.3">
      <c r="B3" s="25"/>
      <c r="C3" s="5"/>
      <c r="D3" s="5"/>
      <c r="E3" s="5"/>
      <c r="F3" s="5"/>
      <c r="G3" s="44" t="s">
        <v>55</v>
      </c>
      <c r="H3" s="5"/>
      <c r="I3" s="5"/>
      <c r="J3" s="5"/>
      <c r="K3" s="5"/>
      <c r="L3" s="5"/>
      <c r="M3" s="5"/>
      <c r="N3" s="5"/>
      <c r="O3" s="5"/>
      <c r="P3" s="5"/>
      <c r="Q3" s="5"/>
      <c r="R3" s="5"/>
      <c r="V3" s="5"/>
      <c r="W3" s="44" t="s">
        <v>55</v>
      </c>
      <c r="X3" s="5"/>
      <c r="Y3" s="5"/>
      <c r="Z3" s="5"/>
      <c r="AA3" s="5"/>
      <c r="AB3" s="5"/>
      <c r="AC3" s="5"/>
      <c r="AD3" s="5"/>
      <c r="AE3" s="5"/>
      <c r="AF3" s="5"/>
      <c r="AG3" s="5"/>
      <c r="AH3" s="5"/>
    </row>
    <row r="4" spans="1:121" ht="13.5" customHeight="1" x14ac:dyDescent="0.2">
      <c r="B4" s="5"/>
      <c r="C4" s="5"/>
      <c r="D4" s="5"/>
      <c r="E4" s="5"/>
      <c r="F4" s="5"/>
      <c r="G4" s="9"/>
      <c r="H4" s="5"/>
      <c r="I4" s="5"/>
      <c r="J4" s="5"/>
      <c r="K4" s="5"/>
      <c r="L4" s="5"/>
      <c r="M4" s="25"/>
      <c r="N4" s="5"/>
      <c r="O4" s="5"/>
      <c r="P4" s="5"/>
      <c r="Q4" s="5"/>
      <c r="R4" s="5"/>
      <c r="S4" s="5"/>
      <c r="V4" s="5"/>
      <c r="W4" s="9"/>
      <c r="X4" s="5"/>
      <c r="Y4" s="5"/>
      <c r="Z4" s="5"/>
      <c r="AA4" s="5"/>
      <c r="AB4" s="5"/>
      <c r="AC4" s="25"/>
      <c r="AD4" s="5"/>
      <c r="AE4" s="5"/>
      <c r="AF4" s="5"/>
      <c r="AG4" s="5"/>
      <c r="AH4" s="5"/>
      <c r="AI4" s="5"/>
      <c r="AZ4" s="1"/>
    </row>
    <row r="5" spans="1:121" ht="12.75" customHeight="1" x14ac:dyDescent="0.2">
      <c r="B5" s="290" t="s">
        <v>58</v>
      </c>
      <c r="C5" s="318" t="str">
        <f ca="1">CONCATENATE(OFFSET($F$5,0,1)," / ",OFFSET($F$5,0,17))</f>
        <v>5M 2026 / 5M 2025</v>
      </c>
      <c r="D5" s="135"/>
      <c r="E5" s="324"/>
      <c r="F5" s="89"/>
      <c r="G5" s="303" t="s">
        <v>278</v>
      </c>
      <c r="H5" s="256" t="s">
        <v>277</v>
      </c>
      <c r="I5" s="277" t="s">
        <v>276</v>
      </c>
      <c r="J5" s="264"/>
      <c r="K5" s="264" t="s">
        <v>274</v>
      </c>
      <c r="L5" s="279" t="s">
        <v>273</v>
      </c>
      <c r="M5" s="334">
        <v>2025</v>
      </c>
      <c r="N5" s="250"/>
      <c r="O5" s="264" t="s">
        <v>269</v>
      </c>
      <c r="P5" s="264" t="s">
        <v>268</v>
      </c>
      <c r="Q5" s="277" t="s">
        <v>264</v>
      </c>
      <c r="R5" s="256"/>
      <c r="S5" s="256" t="s">
        <v>263</v>
      </c>
      <c r="T5" s="256" t="s">
        <v>258</v>
      </c>
      <c r="U5" s="277" t="s">
        <v>256</v>
      </c>
      <c r="V5" s="243"/>
      <c r="W5" s="303" t="s">
        <v>253</v>
      </c>
      <c r="X5" s="256" t="s">
        <v>252</v>
      </c>
      <c r="Y5" s="277" t="s">
        <v>251</v>
      </c>
      <c r="Z5" s="264"/>
      <c r="AA5" s="264" t="s">
        <v>249</v>
      </c>
      <c r="AB5" s="264" t="s">
        <v>248</v>
      </c>
      <c r="AC5" s="334">
        <v>2024</v>
      </c>
      <c r="AD5" s="232"/>
      <c r="AE5" s="264" t="s">
        <v>239</v>
      </c>
      <c r="AF5" s="264" t="s">
        <v>238</v>
      </c>
      <c r="AG5" s="277" t="s">
        <v>235</v>
      </c>
      <c r="AH5" s="256"/>
      <c r="AI5" s="256" t="s">
        <v>234</v>
      </c>
      <c r="AJ5" s="256" t="s">
        <v>233</v>
      </c>
      <c r="AK5" s="277" t="s">
        <v>231</v>
      </c>
      <c r="AL5" s="227"/>
      <c r="AM5" s="303" t="s">
        <v>228</v>
      </c>
      <c r="AN5" s="256" t="s">
        <v>227</v>
      </c>
      <c r="AO5" s="277" t="s">
        <v>225</v>
      </c>
      <c r="AP5" s="264"/>
      <c r="AQ5" s="264" t="s">
        <v>224</v>
      </c>
      <c r="AR5" s="264" t="s">
        <v>223</v>
      </c>
      <c r="AS5" s="334">
        <v>2023</v>
      </c>
      <c r="AT5" s="196"/>
      <c r="AU5" s="264" t="s">
        <v>219</v>
      </c>
      <c r="AV5" s="264" t="s">
        <v>218</v>
      </c>
      <c r="AW5" s="277" t="s">
        <v>214</v>
      </c>
      <c r="AX5" s="256"/>
      <c r="AY5" s="256" t="s">
        <v>213</v>
      </c>
      <c r="AZ5" s="256" t="s">
        <v>212</v>
      </c>
      <c r="BA5" s="277" t="s">
        <v>209</v>
      </c>
      <c r="BB5" s="192"/>
      <c r="BC5" s="303" t="s">
        <v>206</v>
      </c>
      <c r="BD5" s="256" t="s">
        <v>205</v>
      </c>
      <c r="BE5" s="277" t="s">
        <v>203</v>
      </c>
      <c r="BF5" s="264"/>
      <c r="BG5" s="264" t="s">
        <v>202</v>
      </c>
      <c r="BH5" s="264" t="s">
        <v>201</v>
      </c>
      <c r="BI5" s="334">
        <v>2022</v>
      </c>
      <c r="BJ5" s="173"/>
      <c r="BK5" s="264" t="s">
        <v>197</v>
      </c>
      <c r="BL5" s="264" t="s">
        <v>196</v>
      </c>
      <c r="BM5" s="277" t="s">
        <v>192</v>
      </c>
      <c r="BN5" s="256"/>
      <c r="BO5" s="256" t="s">
        <v>191</v>
      </c>
      <c r="BP5" s="256" t="s">
        <v>190</v>
      </c>
      <c r="BQ5" s="277" t="s">
        <v>188</v>
      </c>
      <c r="BR5" s="169"/>
      <c r="BS5" s="303" t="s">
        <v>185</v>
      </c>
      <c r="BT5" s="256" t="s">
        <v>182</v>
      </c>
      <c r="BU5" s="277" t="s">
        <v>179</v>
      </c>
      <c r="BV5" s="264"/>
      <c r="BW5" s="264" t="s">
        <v>178</v>
      </c>
      <c r="BX5" s="264" t="s">
        <v>177</v>
      </c>
      <c r="BY5" s="334">
        <v>2021</v>
      </c>
      <c r="BZ5" s="159"/>
      <c r="CA5" s="264" t="s">
        <v>173</v>
      </c>
      <c r="CB5" s="264" t="s">
        <v>172</v>
      </c>
      <c r="CC5" s="277" t="s">
        <v>169</v>
      </c>
      <c r="CD5" s="156"/>
      <c r="CE5" s="256" t="s">
        <v>168</v>
      </c>
      <c r="CF5" s="256" t="s">
        <v>163</v>
      </c>
      <c r="CG5" s="277" t="s">
        <v>151</v>
      </c>
      <c r="CH5" s="130"/>
      <c r="CI5" s="256" t="s">
        <v>150</v>
      </c>
      <c r="CJ5" s="256" t="s">
        <v>147</v>
      </c>
      <c r="CK5" s="277" t="s">
        <v>143</v>
      </c>
      <c r="CL5" s="264"/>
      <c r="CM5" s="264" t="s">
        <v>137</v>
      </c>
      <c r="CN5" s="264" t="s">
        <v>135</v>
      </c>
      <c r="CO5" s="340">
        <v>2020</v>
      </c>
      <c r="CP5" s="100"/>
      <c r="CQ5" s="264" t="s">
        <v>132</v>
      </c>
      <c r="CR5" s="264" t="s">
        <v>130</v>
      </c>
      <c r="CS5" s="277" t="s">
        <v>53</v>
      </c>
      <c r="CT5" s="103"/>
      <c r="CU5" s="256" t="s">
        <v>128</v>
      </c>
      <c r="CV5" s="256" t="s">
        <v>129</v>
      </c>
      <c r="CW5" s="277" t="s">
        <v>84</v>
      </c>
      <c r="CX5" s="103"/>
      <c r="CY5" s="256" t="s">
        <v>140</v>
      </c>
      <c r="CZ5" s="256" t="s">
        <v>139</v>
      </c>
      <c r="DA5" s="277" t="s">
        <v>88</v>
      </c>
      <c r="DB5" s="264"/>
      <c r="DC5" s="264" t="s">
        <v>138</v>
      </c>
      <c r="DD5" s="264" t="s">
        <v>136</v>
      </c>
      <c r="DE5" s="340">
        <v>2019</v>
      </c>
      <c r="DF5" s="277" t="s">
        <v>43</v>
      </c>
      <c r="DG5" s="277" t="s">
        <v>85</v>
      </c>
      <c r="DH5" s="277" t="s">
        <v>89</v>
      </c>
      <c r="DI5" s="340">
        <v>2018</v>
      </c>
      <c r="DJ5" s="288" t="s">
        <v>36</v>
      </c>
      <c r="DK5" s="277" t="s">
        <v>86</v>
      </c>
      <c r="DL5" s="277" t="s">
        <v>90</v>
      </c>
      <c r="DM5" s="340">
        <v>2017</v>
      </c>
      <c r="DN5" s="277" t="s">
        <v>7</v>
      </c>
      <c r="DO5" s="277" t="s">
        <v>87</v>
      </c>
      <c r="DP5" s="277" t="s">
        <v>91</v>
      </c>
      <c r="DQ5" s="1"/>
    </row>
    <row r="6" spans="1:121" ht="12.75" x14ac:dyDescent="0.2">
      <c r="B6" s="291"/>
      <c r="C6" s="319"/>
      <c r="D6" s="136"/>
      <c r="E6" s="325"/>
      <c r="F6" s="90"/>
      <c r="G6" s="304"/>
      <c r="H6" s="257"/>
      <c r="I6" s="287"/>
      <c r="J6" s="265"/>
      <c r="K6" s="265"/>
      <c r="L6" s="280"/>
      <c r="M6" s="335"/>
      <c r="N6" s="251"/>
      <c r="O6" s="265"/>
      <c r="P6" s="265"/>
      <c r="Q6" s="287"/>
      <c r="R6" s="257"/>
      <c r="S6" s="257"/>
      <c r="T6" s="257"/>
      <c r="U6" s="287"/>
      <c r="V6" s="244"/>
      <c r="W6" s="304"/>
      <c r="X6" s="257"/>
      <c r="Y6" s="287"/>
      <c r="Z6" s="265"/>
      <c r="AA6" s="265"/>
      <c r="AB6" s="265"/>
      <c r="AC6" s="335"/>
      <c r="AD6" s="234"/>
      <c r="AE6" s="265"/>
      <c r="AF6" s="265"/>
      <c r="AG6" s="287"/>
      <c r="AH6" s="257"/>
      <c r="AI6" s="257"/>
      <c r="AJ6" s="257"/>
      <c r="AK6" s="287"/>
      <c r="AL6" s="228"/>
      <c r="AM6" s="304"/>
      <c r="AN6" s="257"/>
      <c r="AO6" s="287"/>
      <c r="AP6" s="265"/>
      <c r="AQ6" s="265"/>
      <c r="AR6" s="265"/>
      <c r="AS6" s="335"/>
      <c r="AT6" s="197"/>
      <c r="AU6" s="265"/>
      <c r="AV6" s="265"/>
      <c r="AW6" s="287"/>
      <c r="AX6" s="257"/>
      <c r="AY6" s="257"/>
      <c r="AZ6" s="257"/>
      <c r="BA6" s="287"/>
      <c r="BB6" s="193"/>
      <c r="BC6" s="304"/>
      <c r="BD6" s="257"/>
      <c r="BE6" s="287"/>
      <c r="BF6" s="265"/>
      <c r="BG6" s="265"/>
      <c r="BH6" s="265"/>
      <c r="BI6" s="335"/>
      <c r="BJ6" s="175"/>
      <c r="BK6" s="265"/>
      <c r="BL6" s="265"/>
      <c r="BM6" s="287"/>
      <c r="BN6" s="257"/>
      <c r="BO6" s="257"/>
      <c r="BP6" s="257"/>
      <c r="BQ6" s="287"/>
      <c r="BR6" s="170"/>
      <c r="BS6" s="304"/>
      <c r="BT6" s="257"/>
      <c r="BU6" s="287"/>
      <c r="BV6" s="265"/>
      <c r="BW6" s="265"/>
      <c r="BX6" s="265"/>
      <c r="BY6" s="335"/>
      <c r="BZ6" s="160"/>
      <c r="CA6" s="265"/>
      <c r="CB6" s="265"/>
      <c r="CC6" s="287"/>
      <c r="CD6" s="157"/>
      <c r="CE6" s="257"/>
      <c r="CF6" s="257"/>
      <c r="CG6" s="287"/>
      <c r="CH6" s="132"/>
      <c r="CI6" s="257"/>
      <c r="CJ6" s="257"/>
      <c r="CK6" s="287"/>
      <c r="CL6" s="265"/>
      <c r="CM6" s="265"/>
      <c r="CN6" s="265"/>
      <c r="CO6" s="287"/>
      <c r="CP6" s="101"/>
      <c r="CQ6" s="265"/>
      <c r="CR6" s="265"/>
      <c r="CS6" s="287"/>
      <c r="CT6" s="104"/>
      <c r="CU6" s="257"/>
      <c r="CV6" s="257"/>
      <c r="CW6" s="287"/>
      <c r="CX6" s="104"/>
      <c r="CY6" s="257"/>
      <c r="CZ6" s="257"/>
      <c r="DA6" s="287"/>
      <c r="DB6" s="265"/>
      <c r="DC6" s="265"/>
      <c r="DD6" s="265"/>
      <c r="DE6" s="287"/>
      <c r="DF6" s="287"/>
      <c r="DG6" s="287"/>
      <c r="DH6" s="287"/>
      <c r="DI6" s="287"/>
      <c r="DJ6" s="289"/>
      <c r="DK6" s="287"/>
      <c r="DL6" s="287"/>
      <c r="DM6" s="287"/>
      <c r="DN6" s="287"/>
      <c r="DO6" s="287"/>
      <c r="DP6" s="287"/>
      <c r="DQ6" s="1"/>
    </row>
    <row r="7" spans="1:121" ht="13.15" customHeight="1" x14ac:dyDescent="0.2">
      <c r="B7" s="4" t="s">
        <v>59</v>
      </c>
      <c r="C7" s="22"/>
      <c r="D7" s="26"/>
      <c r="E7" s="26"/>
      <c r="F7" s="91"/>
      <c r="G7" s="72"/>
      <c r="H7" s="72"/>
      <c r="I7" s="26"/>
      <c r="J7" s="72"/>
      <c r="K7" s="72"/>
      <c r="L7" s="72"/>
      <c r="M7" s="26"/>
      <c r="N7" s="72"/>
      <c r="O7" s="72"/>
      <c r="P7" s="72"/>
      <c r="Q7" s="26"/>
      <c r="R7" s="72"/>
      <c r="S7" s="72"/>
      <c r="T7" s="72"/>
      <c r="U7" s="26"/>
      <c r="V7" s="72"/>
      <c r="W7" s="72"/>
      <c r="X7" s="72"/>
      <c r="Y7" s="26"/>
      <c r="Z7" s="72"/>
      <c r="AA7" s="72"/>
      <c r="AB7" s="72"/>
      <c r="AC7" s="26"/>
      <c r="AD7" s="72"/>
      <c r="AE7" s="72"/>
      <c r="AF7" s="72"/>
      <c r="AG7" s="26"/>
      <c r="AH7" s="72"/>
      <c r="AI7" s="72"/>
      <c r="AJ7" s="72"/>
      <c r="AK7" s="26"/>
      <c r="AL7" s="72"/>
      <c r="AM7" s="72"/>
      <c r="AN7" s="72"/>
      <c r="AO7" s="26"/>
      <c r="AP7" s="72"/>
      <c r="AQ7" s="72"/>
      <c r="AR7" s="72"/>
      <c r="AS7" s="26"/>
      <c r="AT7" s="72"/>
      <c r="AU7" s="72"/>
      <c r="AV7" s="72"/>
      <c r="AW7" s="26"/>
      <c r="AX7" s="72"/>
      <c r="AY7" s="72"/>
      <c r="AZ7" s="72"/>
      <c r="BA7" s="26"/>
      <c r="BB7" s="72"/>
      <c r="BC7" s="72"/>
      <c r="BD7" s="72"/>
      <c r="BE7" s="26"/>
      <c r="BF7" s="72"/>
      <c r="BG7" s="72"/>
      <c r="BH7" s="72"/>
      <c r="BI7" s="26"/>
      <c r="BJ7" s="72"/>
      <c r="BK7" s="72"/>
      <c r="BL7" s="72"/>
      <c r="BM7" s="26"/>
      <c r="BN7" s="72"/>
      <c r="BO7" s="72"/>
      <c r="BP7" s="72"/>
      <c r="BQ7" s="26"/>
      <c r="BR7" s="72"/>
      <c r="BS7" s="72"/>
      <c r="BT7" s="72"/>
      <c r="BU7" s="26"/>
      <c r="BV7" s="72"/>
      <c r="BW7" s="72"/>
      <c r="BX7" s="72"/>
      <c r="BY7" s="26"/>
      <c r="BZ7" s="72"/>
      <c r="CA7" s="72"/>
      <c r="CB7" s="72"/>
      <c r="CC7" s="26"/>
      <c r="CD7" s="72"/>
      <c r="CE7" s="72"/>
      <c r="CF7" s="72"/>
      <c r="CG7" s="26"/>
      <c r="CH7" s="72"/>
      <c r="CI7" s="72"/>
      <c r="CJ7" s="72"/>
      <c r="CK7" s="26"/>
      <c r="CL7" s="72"/>
      <c r="CM7" s="72"/>
      <c r="CN7" s="72"/>
      <c r="CO7" s="26"/>
      <c r="CP7" s="72"/>
      <c r="CQ7" s="72"/>
      <c r="CR7" s="72"/>
      <c r="CS7" s="26"/>
      <c r="CT7" s="72"/>
      <c r="CU7" s="72"/>
      <c r="CV7" s="72"/>
      <c r="CW7" s="26"/>
      <c r="CX7" s="72"/>
      <c r="CY7" s="72"/>
      <c r="CZ7" s="72"/>
      <c r="DA7" s="26"/>
      <c r="DB7" s="72"/>
      <c r="DC7" s="72"/>
      <c r="DD7" s="72"/>
      <c r="DE7" s="26"/>
      <c r="DF7" s="26"/>
      <c r="DG7" s="26"/>
      <c r="DH7" s="26"/>
      <c r="DI7" s="4"/>
      <c r="DJ7" s="27"/>
      <c r="DK7" s="10"/>
      <c r="DL7" s="4"/>
      <c r="DM7" s="4"/>
      <c r="DN7" s="4"/>
      <c r="DO7" s="4"/>
      <c r="DP7" s="4"/>
      <c r="DQ7" s="1"/>
    </row>
    <row r="8" spans="1:121" ht="12.75" x14ac:dyDescent="0.2">
      <c r="B8" s="4" t="s">
        <v>60</v>
      </c>
      <c r="C8" s="22"/>
      <c r="D8" s="26"/>
      <c r="E8" s="26"/>
      <c r="F8" s="91"/>
      <c r="G8" s="72"/>
      <c r="H8" s="72"/>
      <c r="I8" s="26"/>
      <c r="J8" s="72"/>
      <c r="K8" s="72"/>
      <c r="L8" s="72"/>
      <c r="M8" s="26"/>
      <c r="N8" s="72"/>
      <c r="O8" s="72"/>
      <c r="P8" s="72"/>
      <c r="Q8" s="26"/>
      <c r="R8" s="72"/>
      <c r="S8" s="72"/>
      <c r="T8" s="72"/>
      <c r="U8" s="26"/>
      <c r="V8" s="72"/>
      <c r="W8" s="72"/>
      <c r="X8" s="72"/>
      <c r="Y8" s="26"/>
      <c r="Z8" s="72"/>
      <c r="AA8" s="72"/>
      <c r="AB8" s="72"/>
      <c r="AC8" s="26"/>
      <c r="AD8" s="72"/>
      <c r="AE8" s="72"/>
      <c r="AF8" s="72"/>
      <c r="AG8" s="26"/>
      <c r="AH8" s="72"/>
      <c r="AI8" s="72"/>
      <c r="AJ8" s="72"/>
      <c r="AK8" s="26"/>
      <c r="AL8" s="72"/>
      <c r="AM8" s="72"/>
      <c r="AN8" s="72"/>
      <c r="AO8" s="26"/>
      <c r="AP8" s="72"/>
      <c r="AQ8" s="72"/>
      <c r="AR8" s="72"/>
      <c r="AS8" s="26"/>
      <c r="AT8" s="72"/>
      <c r="AU8" s="72"/>
      <c r="AV8" s="72"/>
      <c r="AW8" s="26"/>
      <c r="AX8" s="72"/>
      <c r="AY8" s="72"/>
      <c r="AZ8" s="72"/>
      <c r="BA8" s="26"/>
      <c r="BB8" s="72"/>
      <c r="BC8" s="72"/>
      <c r="BD8" s="72"/>
      <c r="BE8" s="26"/>
      <c r="BF8" s="72"/>
      <c r="BG8" s="72"/>
      <c r="BH8" s="72"/>
      <c r="BI8" s="26"/>
      <c r="BJ8" s="72"/>
      <c r="BK8" s="72"/>
      <c r="BL8" s="72"/>
      <c r="BM8" s="26"/>
      <c r="BN8" s="72"/>
      <c r="BO8" s="72"/>
      <c r="BP8" s="72"/>
      <c r="BQ8" s="26"/>
      <c r="BR8" s="72"/>
      <c r="BS8" s="72"/>
      <c r="BT8" s="72"/>
      <c r="BU8" s="26"/>
      <c r="BV8" s="72"/>
      <c r="BW8" s="72"/>
      <c r="BX8" s="72"/>
      <c r="BY8" s="26"/>
      <c r="BZ8" s="72"/>
      <c r="CA8" s="72"/>
      <c r="CB8" s="72"/>
      <c r="CC8" s="26"/>
      <c r="CD8" s="72"/>
      <c r="CE8" s="72"/>
      <c r="CF8" s="72"/>
      <c r="CG8" s="26"/>
      <c r="CH8" s="72"/>
      <c r="CI8" s="72"/>
      <c r="CJ8" s="72"/>
      <c r="CK8" s="26"/>
      <c r="CL8" s="72"/>
      <c r="CM8" s="72"/>
      <c r="CN8" s="72"/>
      <c r="CO8" s="26"/>
      <c r="CP8" s="72"/>
      <c r="CQ8" s="72"/>
      <c r="CR8" s="72"/>
      <c r="CS8" s="26"/>
      <c r="CT8" s="72"/>
      <c r="CU8" s="72"/>
      <c r="CV8" s="72"/>
      <c r="CW8" s="26"/>
      <c r="CX8" s="72"/>
      <c r="CY8" s="72"/>
      <c r="CZ8" s="72"/>
      <c r="DA8" s="26"/>
      <c r="DB8" s="72"/>
      <c r="DC8" s="72"/>
      <c r="DD8" s="72"/>
      <c r="DE8" s="26"/>
      <c r="DF8" s="26"/>
      <c r="DG8" s="26"/>
      <c r="DH8" s="26"/>
      <c r="DI8" s="4"/>
      <c r="DJ8" s="27"/>
      <c r="DK8" s="10"/>
      <c r="DL8" s="4"/>
      <c r="DM8" s="4"/>
      <c r="DN8" s="4"/>
      <c r="DO8" s="4"/>
      <c r="DP8" s="4"/>
      <c r="DQ8" s="1"/>
    </row>
    <row r="9" spans="1:121" ht="15.75" x14ac:dyDescent="0.25">
      <c r="B9" s="5" t="s">
        <v>61</v>
      </c>
      <c r="C9" s="30"/>
      <c r="D9" s="86"/>
      <c r="E9" s="86"/>
      <c r="F9" s="92"/>
      <c r="G9" s="77"/>
      <c r="H9" s="77"/>
      <c r="I9" s="40"/>
      <c r="J9" s="77"/>
      <c r="K9" s="77"/>
      <c r="L9" s="77"/>
      <c r="M9" s="40"/>
      <c r="N9" s="77"/>
      <c r="O9" s="77"/>
      <c r="P9" s="77"/>
      <c r="Q9" s="40"/>
      <c r="R9" s="77"/>
      <c r="S9" s="77"/>
      <c r="T9" s="77"/>
      <c r="U9" s="40"/>
      <c r="V9" s="77"/>
      <c r="W9" s="77"/>
      <c r="X9" s="77"/>
      <c r="Y9" s="40"/>
      <c r="Z9" s="77"/>
      <c r="AA9" s="77"/>
      <c r="AB9" s="77"/>
      <c r="AC9" s="40"/>
      <c r="AD9" s="77"/>
      <c r="AE9" s="77"/>
      <c r="AF9" s="77"/>
      <c r="AG9" s="40"/>
      <c r="AH9" s="77"/>
      <c r="AI9" s="77"/>
      <c r="AJ9" s="77"/>
      <c r="AK9" s="40"/>
      <c r="AL9" s="77"/>
      <c r="AM9" s="77"/>
      <c r="AN9" s="77"/>
      <c r="AO9" s="40"/>
      <c r="AP9" s="77"/>
      <c r="AQ9" s="77"/>
      <c r="AR9" s="77"/>
      <c r="AS9" s="40"/>
      <c r="AT9" s="77"/>
      <c r="AU9" s="77"/>
      <c r="AV9" s="77"/>
      <c r="AW9" s="40"/>
      <c r="AX9" s="77"/>
      <c r="AY9" s="77"/>
      <c r="AZ9" s="77"/>
      <c r="BA9" s="40"/>
      <c r="BB9" s="77"/>
      <c r="BC9" s="77"/>
      <c r="BD9" s="77"/>
      <c r="BE9" s="40"/>
      <c r="BF9" s="77"/>
      <c r="BG9" s="77"/>
      <c r="BH9" s="77"/>
      <c r="BI9" s="40"/>
      <c r="BJ9" s="77"/>
      <c r="BK9" s="77"/>
      <c r="BL9" s="77"/>
      <c r="BM9" s="40"/>
      <c r="BN9" s="77"/>
      <c r="BO9" s="77"/>
      <c r="BP9" s="77"/>
      <c r="BQ9" s="40"/>
      <c r="BR9" s="77"/>
      <c r="BS9" s="77"/>
      <c r="BT9" s="77"/>
      <c r="BU9" s="40"/>
      <c r="BV9" s="77"/>
      <c r="BW9" s="77"/>
      <c r="BX9" s="77"/>
      <c r="BY9" s="40"/>
      <c r="BZ9" s="77"/>
      <c r="CA9" s="77"/>
      <c r="CB9" s="77"/>
      <c r="CC9" s="40"/>
      <c r="CD9" s="77"/>
      <c r="CE9" s="77"/>
      <c r="CF9" s="77"/>
      <c r="CG9" s="40"/>
      <c r="CH9" s="77"/>
      <c r="CI9" s="77"/>
      <c r="CJ9" s="77"/>
      <c r="CK9" s="40"/>
      <c r="CL9" s="77"/>
      <c r="CM9" s="77"/>
      <c r="CN9" s="77"/>
      <c r="CO9" s="40"/>
      <c r="CP9" s="77"/>
      <c r="CQ9" s="77"/>
      <c r="CR9" s="77"/>
      <c r="CS9" s="40"/>
      <c r="CT9" s="77"/>
      <c r="CU9" s="77"/>
      <c r="CV9" s="77"/>
      <c r="CW9" s="40"/>
      <c r="CX9" s="77"/>
      <c r="CY9" s="77"/>
      <c r="CZ9" s="77"/>
      <c r="DA9" s="40"/>
      <c r="DB9" s="77"/>
      <c r="DC9" s="77"/>
      <c r="DD9" s="77"/>
      <c r="DE9" s="40"/>
      <c r="DF9" s="40"/>
      <c r="DG9" s="40"/>
      <c r="DH9" s="40"/>
      <c r="DI9" s="40"/>
      <c r="DJ9" s="40"/>
      <c r="DK9" s="40"/>
      <c r="DL9" s="40"/>
      <c r="DM9" s="40"/>
      <c r="DN9" s="40"/>
      <c r="DO9" s="40"/>
      <c r="DP9" s="40"/>
      <c r="DQ9" s="36"/>
    </row>
    <row r="10" spans="1:121" ht="15.75" x14ac:dyDescent="0.25">
      <c r="B10" s="5" t="s">
        <v>62</v>
      </c>
      <c r="C10" s="30"/>
      <c r="D10" s="86"/>
      <c r="E10" s="86"/>
      <c r="F10" s="92"/>
      <c r="G10" s="77"/>
      <c r="H10" s="77"/>
      <c r="I10" s="40"/>
      <c r="J10" s="77"/>
      <c r="K10" s="77"/>
      <c r="L10" s="77"/>
      <c r="M10" s="40"/>
      <c r="N10" s="77"/>
      <c r="O10" s="77"/>
      <c r="P10" s="77"/>
      <c r="Q10" s="40"/>
      <c r="R10" s="77"/>
      <c r="S10" s="77"/>
      <c r="T10" s="77"/>
      <c r="U10" s="40"/>
      <c r="V10" s="77"/>
      <c r="W10" s="77"/>
      <c r="X10" s="77"/>
      <c r="Y10" s="40"/>
      <c r="Z10" s="77"/>
      <c r="AA10" s="77"/>
      <c r="AB10" s="77"/>
      <c r="AC10" s="40"/>
      <c r="AD10" s="77"/>
      <c r="AE10" s="77"/>
      <c r="AF10" s="77"/>
      <c r="AG10" s="40"/>
      <c r="AH10" s="77"/>
      <c r="AI10" s="77"/>
      <c r="AJ10" s="77"/>
      <c r="AK10" s="40"/>
      <c r="AL10" s="77"/>
      <c r="AM10" s="77"/>
      <c r="AN10" s="77"/>
      <c r="AO10" s="40"/>
      <c r="AP10" s="77"/>
      <c r="AQ10" s="77"/>
      <c r="AR10" s="77"/>
      <c r="AS10" s="40"/>
      <c r="AT10" s="77"/>
      <c r="AU10" s="77"/>
      <c r="AV10" s="77"/>
      <c r="AW10" s="40"/>
      <c r="AX10" s="77"/>
      <c r="AY10" s="77"/>
      <c r="AZ10" s="77"/>
      <c r="BA10" s="40"/>
      <c r="BB10" s="77"/>
      <c r="BC10" s="77"/>
      <c r="BD10" s="77"/>
      <c r="BE10" s="40"/>
      <c r="BF10" s="77"/>
      <c r="BG10" s="77"/>
      <c r="BH10" s="77"/>
      <c r="BI10" s="40"/>
      <c r="BJ10" s="77"/>
      <c r="BK10" s="77"/>
      <c r="BL10" s="77"/>
      <c r="BM10" s="40"/>
      <c r="BN10" s="77"/>
      <c r="BO10" s="77"/>
      <c r="BP10" s="77"/>
      <c r="BQ10" s="40"/>
      <c r="BR10" s="77"/>
      <c r="BS10" s="77"/>
      <c r="BT10" s="77"/>
      <c r="BU10" s="40"/>
      <c r="BV10" s="77"/>
      <c r="BW10" s="77"/>
      <c r="BX10" s="77"/>
      <c r="BY10" s="40"/>
      <c r="BZ10" s="77"/>
      <c r="CA10" s="77"/>
      <c r="CB10" s="77"/>
      <c r="CC10" s="40"/>
      <c r="CD10" s="77"/>
      <c r="CE10" s="77"/>
      <c r="CF10" s="77"/>
      <c r="CG10" s="40"/>
      <c r="CH10" s="77"/>
      <c r="CI10" s="77"/>
      <c r="CJ10" s="77"/>
      <c r="CK10" s="40"/>
      <c r="CL10" s="77"/>
      <c r="CM10" s="77"/>
      <c r="CN10" s="77"/>
      <c r="CO10" s="40"/>
      <c r="CP10" s="77"/>
      <c r="CQ10" s="77"/>
      <c r="CR10" s="77"/>
      <c r="CS10" s="40"/>
      <c r="CT10" s="77"/>
      <c r="CU10" s="77"/>
      <c r="CV10" s="77"/>
      <c r="CW10" s="40"/>
      <c r="CX10" s="77"/>
      <c r="CY10" s="77"/>
      <c r="CZ10" s="77"/>
      <c r="DA10" s="40"/>
      <c r="DB10" s="77"/>
      <c r="DC10" s="77"/>
      <c r="DD10" s="77"/>
      <c r="DE10" s="40"/>
      <c r="DF10" s="40"/>
      <c r="DG10" s="40"/>
      <c r="DH10" s="40"/>
      <c r="DI10" s="40"/>
      <c r="DJ10" s="40"/>
      <c r="DK10" s="40"/>
      <c r="DL10" s="40"/>
      <c r="DM10" s="40"/>
      <c r="DN10" s="40"/>
      <c r="DO10" s="40"/>
      <c r="DP10" s="40"/>
      <c r="DQ10" s="36"/>
    </row>
    <row r="11" spans="1:121" ht="15.75" x14ac:dyDescent="0.25">
      <c r="B11" s="6" t="s">
        <v>63</v>
      </c>
      <c r="C11" s="30"/>
      <c r="D11" s="86"/>
      <c r="E11" s="86"/>
      <c r="F11" s="92"/>
      <c r="G11" s="74"/>
      <c r="H11" s="74"/>
      <c r="I11" s="32"/>
      <c r="J11" s="74"/>
      <c r="K11" s="74"/>
      <c r="L11" s="74"/>
      <c r="M11" s="32"/>
      <c r="N11" s="74"/>
      <c r="O11" s="74"/>
      <c r="P11" s="74"/>
      <c r="Q11" s="32"/>
      <c r="R11" s="74"/>
      <c r="S11" s="74"/>
      <c r="T11" s="74"/>
      <c r="U11" s="32"/>
      <c r="V11" s="74"/>
      <c r="W11" s="74"/>
      <c r="X11" s="74"/>
      <c r="Y11" s="32"/>
      <c r="Z11" s="74"/>
      <c r="AA11" s="74"/>
      <c r="AB11" s="74"/>
      <c r="AC11" s="32"/>
      <c r="AD11" s="74"/>
      <c r="AE11" s="74"/>
      <c r="AF11" s="74"/>
      <c r="AG11" s="32"/>
      <c r="AH11" s="74"/>
      <c r="AI11" s="74"/>
      <c r="AJ11" s="74"/>
      <c r="AK11" s="32"/>
      <c r="AL11" s="74"/>
      <c r="AM11" s="74"/>
      <c r="AN11" s="74"/>
      <c r="AO11" s="32"/>
      <c r="AP11" s="74"/>
      <c r="AQ11" s="74"/>
      <c r="AR11" s="74"/>
      <c r="AS11" s="32"/>
      <c r="AT11" s="74"/>
      <c r="AU11" s="74"/>
      <c r="AV11" s="74"/>
      <c r="AW11" s="32"/>
      <c r="AX11" s="74"/>
      <c r="AY11" s="74"/>
      <c r="AZ11" s="74"/>
      <c r="BA11" s="32"/>
      <c r="BB11" s="74"/>
      <c r="BC11" s="74"/>
      <c r="BD11" s="74"/>
      <c r="BE11" s="32"/>
      <c r="BF11" s="74"/>
      <c r="BG11" s="74"/>
      <c r="BH11" s="74"/>
      <c r="BI11" s="32"/>
      <c r="BJ11" s="74"/>
      <c r="BK11" s="74"/>
      <c r="BL11" s="74"/>
      <c r="BM11" s="32"/>
      <c r="BN11" s="74"/>
      <c r="BO11" s="74"/>
      <c r="BP11" s="74"/>
      <c r="BQ11" s="32"/>
      <c r="BR11" s="74"/>
      <c r="BS11" s="74"/>
      <c r="BT11" s="74"/>
      <c r="BU11" s="32"/>
      <c r="BV11" s="74"/>
      <c r="BW11" s="74"/>
      <c r="BX11" s="74"/>
      <c r="BY11" s="32"/>
      <c r="BZ11" s="74"/>
      <c r="CA11" s="74"/>
      <c r="CB11" s="74"/>
      <c r="CC11" s="32"/>
      <c r="CD11" s="74"/>
      <c r="CE11" s="74"/>
      <c r="CF11" s="74"/>
      <c r="CG11" s="32"/>
      <c r="CH11" s="74"/>
      <c r="CI11" s="74"/>
      <c r="CJ11" s="74"/>
      <c r="CK11" s="32"/>
      <c r="CL11" s="74"/>
      <c r="CM11" s="74"/>
      <c r="CN11" s="74"/>
      <c r="CO11" s="32"/>
      <c r="CP11" s="74"/>
      <c r="CQ11" s="74"/>
      <c r="CR11" s="74"/>
      <c r="CS11" s="32"/>
      <c r="CT11" s="74"/>
      <c r="CU11" s="74"/>
      <c r="CV11" s="74"/>
      <c r="CW11" s="32"/>
      <c r="CX11" s="74"/>
      <c r="CY11" s="74"/>
      <c r="CZ11" s="74"/>
      <c r="DA11" s="32"/>
      <c r="DB11" s="74"/>
      <c r="DC11" s="74"/>
      <c r="DD11" s="74"/>
      <c r="DE11" s="32"/>
      <c r="DF11" s="32"/>
      <c r="DG11" s="32"/>
      <c r="DH11" s="32"/>
      <c r="DI11" s="32"/>
      <c r="DJ11" s="32"/>
      <c r="DK11" s="32"/>
      <c r="DL11" s="32"/>
      <c r="DM11" s="32"/>
      <c r="DN11" s="32"/>
      <c r="DO11" s="32"/>
      <c r="DP11" s="40"/>
      <c r="DQ11" s="36"/>
    </row>
    <row r="12" spans="1:121" ht="15.75" x14ac:dyDescent="0.25">
      <c r="B12" s="5" t="s">
        <v>64</v>
      </c>
      <c r="C12" s="30"/>
      <c r="D12" s="86"/>
      <c r="E12" s="86"/>
      <c r="F12" s="92"/>
      <c r="G12" s="77"/>
      <c r="H12" s="77"/>
      <c r="I12" s="40"/>
      <c r="J12" s="77"/>
      <c r="K12" s="77"/>
      <c r="L12" s="77"/>
      <c r="M12" s="40"/>
      <c r="N12" s="77"/>
      <c r="O12" s="77"/>
      <c r="P12" s="77"/>
      <c r="Q12" s="40"/>
      <c r="R12" s="77"/>
      <c r="S12" s="77"/>
      <c r="T12" s="77"/>
      <c r="U12" s="40"/>
      <c r="V12" s="77"/>
      <c r="W12" s="77"/>
      <c r="X12" s="77"/>
      <c r="Y12" s="40"/>
      <c r="Z12" s="77"/>
      <c r="AA12" s="77"/>
      <c r="AB12" s="77"/>
      <c r="AC12" s="40"/>
      <c r="AD12" s="77"/>
      <c r="AE12" s="77"/>
      <c r="AF12" s="77"/>
      <c r="AG12" s="40"/>
      <c r="AH12" s="77"/>
      <c r="AI12" s="77"/>
      <c r="AJ12" s="77"/>
      <c r="AK12" s="40"/>
      <c r="AL12" s="77"/>
      <c r="AM12" s="77"/>
      <c r="AN12" s="77"/>
      <c r="AO12" s="40"/>
      <c r="AP12" s="77"/>
      <c r="AQ12" s="77"/>
      <c r="AR12" s="77"/>
      <c r="AS12" s="40"/>
      <c r="AT12" s="77"/>
      <c r="AU12" s="77"/>
      <c r="AV12" s="77"/>
      <c r="AW12" s="40"/>
      <c r="AX12" s="77"/>
      <c r="AY12" s="77"/>
      <c r="AZ12" s="77"/>
      <c r="BA12" s="40"/>
      <c r="BB12" s="77"/>
      <c r="BC12" s="77"/>
      <c r="BD12" s="77"/>
      <c r="BE12" s="40"/>
      <c r="BF12" s="77"/>
      <c r="BG12" s="77"/>
      <c r="BH12" s="77"/>
      <c r="BI12" s="40"/>
      <c r="BJ12" s="77"/>
      <c r="BK12" s="77"/>
      <c r="BL12" s="77"/>
      <c r="BM12" s="40"/>
      <c r="BN12" s="77"/>
      <c r="BO12" s="77"/>
      <c r="BP12" s="77"/>
      <c r="BQ12" s="40"/>
      <c r="BR12" s="77"/>
      <c r="BS12" s="77"/>
      <c r="BT12" s="77"/>
      <c r="BU12" s="40"/>
      <c r="BV12" s="77"/>
      <c r="BW12" s="77"/>
      <c r="BX12" s="77"/>
      <c r="BY12" s="40"/>
      <c r="BZ12" s="77"/>
      <c r="CA12" s="77"/>
      <c r="CB12" s="77"/>
      <c r="CC12" s="40"/>
      <c r="CD12" s="77"/>
      <c r="CE12" s="77"/>
      <c r="CF12" s="77"/>
      <c r="CG12" s="40"/>
      <c r="CH12" s="77"/>
      <c r="CI12" s="77"/>
      <c r="CJ12" s="77"/>
      <c r="CK12" s="40"/>
      <c r="CL12" s="77"/>
      <c r="CM12" s="77"/>
      <c r="CN12" s="77"/>
      <c r="CO12" s="40"/>
      <c r="CP12" s="77"/>
      <c r="CQ12" s="77"/>
      <c r="CR12" s="77"/>
      <c r="CS12" s="40"/>
      <c r="CT12" s="77"/>
      <c r="CU12" s="77"/>
      <c r="CV12" s="77"/>
      <c r="CW12" s="40"/>
      <c r="CX12" s="77"/>
      <c r="CY12" s="77"/>
      <c r="CZ12" s="77"/>
      <c r="DA12" s="40"/>
      <c r="DB12" s="77"/>
      <c r="DC12" s="77"/>
      <c r="DD12" s="77"/>
      <c r="DE12" s="40"/>
      <c r="DF12" s="40"/>
      <c r="DG12" s="40"/>
      <c r="DH12" s="40"/>
      <c r="DI12" s="40"/>
      <c r="DJ12" s="40"/>
      <c r="DK12" s="40"/>
      <c r="DL12" s="40"/>
      <c r="DM12" s="40"/>
      <c r="DN12" s="40"/>
      <c r="DO12" s="40"/>
      <c r="DP12" s="40"/>
      <c r="DQ12" s="36"/>
    </row>
    <row r="13" spans="1:121" ht="15.75" x14ac:dyDescent="0.25">
      <c r="B13" s="7" t="s">
        <v>65</v>
      </c>
      <c r="C13" s="99"/>
      <c r="D13" s="97"/>
      <c r="E13" s="97"/>
      <c r="F13" s="95"/>
      <c r="G13" s="73"/>
      <c r="H13" s="73"/>
      <c r="I13" s="42"/>
      <c r="J13" s="73"/>
      <c r="K13" s="73"/>
      <c r="L13" s="73"/>
      <c r="M13" s="42"/>
      <c r="N13" s="73"/>
      <c r="O13" s="73"/>
      <c r="P13" s="73"/>
      <c r="Q13" s="42"/>
      <c r="R13" s="73"/>
      <c r="S13" s="73"/>
      <c r="T13" s="73"/>
      <c r="U13" s="42"/>
      <c r="V13" s="73"/>
      <c r="W13" s="73"/>
      <c r="X13" s="73"/>
      <c r="Y13" s="42"/>
      <c r="Z13" s="73"/>
      <c r="AA13" s="73"/>
      <c r="AB13" s="73"/>
      <c r="AC13" s="42"/>
      <c r="AD13" s="73"/>
      <c r="AE13" s="73"/>
      <c r="AF13" s="73"/>
      <c r="AG13" s="42"/>
      <c r="AH13" s="73"/>
      <c r="AI13" s="73"/>
      <c r="AJ13" s="73"/>
      <c r="AK13" s="42"/>
      <c r="AL13" s="73"/>
      <c r="AM13" s="73"/>
      <c r="AN13" s="73"/>
      <c r="AO13" s="42"/>
      <c r="AP13" s="73"/>
      <c r="AQ13" s="73"/>
      <c r="AR13" s="73"/>
      <c r="AS13" s="42"/>
      <c r="AT13" s="73"/>
      <c r="AU13" s="73"/>
      <c r="AV13" s="73"/>
      <c r="AW13" s="42"/>
      <c r="AX13" s="73"/>
      <c r="AY13" s="73"/>
      <c r="AZ13" s="73"/>
      <c r="BA13" s="42"/>
      <c r="BB13" s="73"/>
      <c r="BC13" s="73"/>
      <c r="BD13" s="73"/>
      <c r="BE13" s="42"/>
      <c r="BF13" s="73"/>
      <c r="BG13" s="73"/>
      <c r="BH13" s="73"/>
      <c r="BI13" s="42"/>
      <c r="BJ13" s="73"/>
      <c r="BK13" s="73"/>
      <c r="BL13" s="73"/>
      <c r="BM13" s="42"/>
      <c r="BN13" s="73"/>
      <c r="BO13" s="73"/>
      <c r="BP13" s="73"/>
      <c r="BQ13" s="42"/>
      <c r="BR13" s="73"/>
      <c r="BS13" s="73"/>
      <c r="BT13" s="73"/>
      <c r="BU13" s="42"/>
      <c r="BV13" s="73"/>
      <c r="BW13" s="73"/>
      <c r="BX13" s="73"/>
      <c r="BY13" s="42"/>
      <c r="BZ13" s="73"/>
      <c r="CA13" s="73"/>
      <c r="CB13" s="73"/>
      <c r="CC13" s="42"/>
      <c r="CD13" s="73"/>
      <c r="CE13" s="73"/>
      <c r="CF13" s="73"/>
      <c r="CG13" s="42"/>
      <c r="CH13" s="73"/>
      <c r="CI13" s="73"/>
      <c r="CJ13" s="73"/>
      <c r="CK13" s="42"/>
      <c r="CL13" s="73"/>
      <c r="CM13" s="73"/>
      <c r="CN13" s="73"/>
      <c r="CO13" s="42"/>
      <c r="CP13" s="73"/>
      <c r="CQ13" s="73"/>
      <c r="CR13" s="73"/>
      <c r="CS13" s="42"/>
      <c r="CT13" s="73"/>
      <c r="CU13" s="73"/>
      <c r="CV13" s="73"/>
      <c r="CW13" s="42"/>
      <c r="CX13" s="73"/>
      <c r="CY13" s="73"/>
      <c r="CZ13" s="73"/>
      <c r="DA13" s="42"/>
      <c r="DB13" s="73"/>
      <c r="DC13" s="73"/>
      <c r="DD13" s="73"/>
      <c r="DE13" s="42"/>
      <c r="DF13" s="42"/>
      <c r="DG13" s="42"/>
      <c r="DH13" s="42"/>
      <c r="DI13" s="42"/>
      <c r="DJ13" s="42"/>
      <c r="DK13" s="42"/>
      <c r="DL13" s="42"/>
      <c r="DM13" s="42"/>
      <c r="DN13" s="42"/>
      <c r="DO13" s="42"/>
      <c r="DP13" s="42"/>
      <c r="DQ13" s="36"/>
    </row>
    <row r="14" spans="1:121" ht="15.75" x14ac:dyDescent="0.25">
      <c r="A14" s="28"/>
      <c r="B14" s="29" t="s">
        <v>66</v>
      </c>
      <c r="C14" s="30"/>
      <c r="D14" s="86"/>
      <c r="E14" s="86"/>
      <c r="F14" s="92"/>
      <c r="G14" s="74"/>
      <c r="H14" s="74"/>
      <c r="I14" s="32"/>
      <c r="J14" s="74"/>
      <c r="K14" s="74"/>
      <c r="L14" s="74"/>
      <c r="M14" s="32"/>
      <c r="N14" s="74"/>
      <c r="O14" s="74"/>
      <c r="P14" s="74"/>
      <c r="Q14" s="32"/>
      <c r="R14" s="74"/>
      <c r="S14" s="74"/>
      <c r="T14" s="74"/>
      <c r="U14" s="32"/>
      <c r="V14" s="74"/>
      <c r="W14" s="74"/>
      <c r="X14" s="74"/>
      <c r="Y14" s="32"/>
      <c r="Z14" s="74"/>
      <c r="AA14" s="74"/>
      <c r="AB14" s="74"/>
      <c r="AC14" s="32"/>
      <c r="AD14" s="74"/>
      <c r="AE14" s="74"/>
      <c r="AF14" s="74"/>
      <c r="AG14" s="32"/>
      <c r="AH14" s="74"/>
      <c r="AI14" s="74"/>
      <c r="AJ14" s="74"/>
      <c r="AK14" s="32"/>
      <c r="AL14" s="74"/>
      <c r="AM14" s="74"/>
      <c r="AN14" s="74"/>
      <c r="AO14" s="32"/>
      <c r="AP14" s="74"/>
      <c r="AQ14" s="74"/>
      <c r="AR14" s="74"/>
      <c r="AS14" s="32"/>
      <c r="AT14" s="74"/>
      <c r="AU14" s="74"/>
      <c r="AV14" s="74"/>
      <c r="AW14" s="32"/>
      <c r="AX14" s="74"/>
      <c r="AY14" s="74"/>
      <c r="AZ14" s="74"/>
      <c r="BA14" s="32"/>
      <c r="BB14" s="74"/>
      <c r="BC14" s="74"/>
      <c r="BD14" s="74"/>
      <c r="BE14" s="32"/>
      <c r="BF14" s="74"/>
      <c r="BG14" s="74"/>
      <c r="BH14" s="74"/>
      <c r="BI14" s="32"/>
      <c r="BJ14" s="74"/>
      <c r="BK14" s="74"/>
      <c r="BL14" s="74"/>
      <c r="BM14" s="32"/>
      <c r="BN14" s="74"/>
      <c r="BO14" s="74"/>
      <c r="BP14" s="74"/>
      <c r="BQ14" s="32"/>
      <c r="BR14" s="74"/>
      <c r="BS14" s="74"/>
      <c r="BT14" s="74"/>
      <c r="BU14" s="32"/>
      <c r="BV14" s="74"/>
      <c r="BW14" s="74"/>
      <c r="BX14" s="74"/>
      <c r="BY14" s="32"/>
      <c r="BZ14" s="74"/>
      <c r="CA14" s="74"/>
      <c r="CB14" s="74"/>
      <c r="CC14" s="32"/>
      <c r="CD14" s="74"/>
      <c r="CE14" s="74"/>
      <c r="CF14" s="74"/>
      <c r="CG14" s="32"/>
      <c r="CH14" s="74"/>
      <c r="CI14" s="74"/>
      <c r="CJ14" s="74"/>
      <c r="CK14" s="32"/>
      <c r="CL14" s="74"/>
      <c r="CM14" s="74"/>
      <c r="CN14" s="74"/>
      <c r="CO14" s="32"/>
      <c r="CP14" s="74"/>
      <c r="CQ14" s="74"/>
      <c r="CR14" s="74"/>
      <c r="CS14" s="32"/>
      <c r="CT14" s="74"/>
      <c r="CU14" s="74"/>
      <c r="CV14" s="74"/>
      <c r="CW14" s="32"/>
      <c r="CX14" s="74"/>
      <c r="CY14" s="74"/>
      <c r="CZ14" s="74"/>
      <c r="DA14" s="32"/>
      <c r="DB14" s="74"/>
      <c r="DC14" s="74"/>
      <c r="DD14" s="74"/>
      <c r="DE14" s="32"/>
      <c r="DF14" s="32"/>
      <c r="DG14" s="32"/>
      <c r="DH14" s="32"/>
      <c r="DI14" s="32"/>
      <c r="DJ14" s="32"/>
      <c r="DK14" s="32"/>
      <c r="DL14" s="32"/>
      <c r="DM14" s="32"/>
      <c r="DN14" s="32"/>
      <c r="DO14" s="32"/>
      <c r="DP14" s="32"/>
      <c r="DQ14" s="36"/>
    </row>
    <row r="15" spans="1:121" ht="15.75" x14ac:dyDescent="0.25">
      <c r="A15" s="28"/>
      <c r="B15" s="29" t="s">
        <v>67</v>
      </c>
      <c r="C15" s="30"/>
      <c r="D15" s="86"/>
      <c r="E15" s="86"/>
      <c r="F15" s="92"/>
      <c r="G15" s="74"/>
      <c r="H15" s="74"/>
      <c r="I15" s="32"/>
      <c r="J15" s="74"/>
      <c r="K15" s="74"/>
      <c r="L15" s="74"/>
      <c r="M15" s="32"/>
      <c r="N15" s="74"/>
      <c r="O15" s="74"/>
      <c r="P15" s="74"/>
      <c r="Q15" s="32"/>
      <c r="R15" s="74"/>
      <c r="S15" s="74"/>
      <c r="T15" s="74"/>
      <c r="U15" s="32"/>
      <c r="V15" s="74"/>
      <c r="W15" s="74"/>
      <c r="X15" s="74"/>
      <c r="Y15" s="32"/>
      <c r="Z15" s="74"/>
      <c r="AA15" s="74"/>
      <c r="AB15" s="74"/>
      <c r="AC15" s="32"/>
      <c r="AD15" s="74"/>
      <c r="AE15" s="74"/>
      <c r="AF15" s="74"/>
      <c r="AG15" s="32"/>
      <c r="AH15" s="74"/>
      <c r="AI15" s="74"/>
      <c r="AJ15" s="74"/>
      <c r="AK15" s="32"/>
      <c r="AL15" s="74"/>
      <c r="AM15" s="74"/>
      <c r="AN15" s="74"/>
      <c r="AO15" s="32"/>
      <c r="AP15" s="74"/>
      <c r="AQ15" s="74"/>
      <c r="AR15" s="74"/>
      <c r="AS15" s="32"/>
      <c r="AT15" s="74"/>
      <c r="AU15" s="74"/>
      <c r="AV15" s="74"/>
      <c r="AW15" s="32"/>
      <c r="AX15" s="74"/>
      <c r="AY15" s="74"/>
      <c r="AZ15" s="74"/>
      <c r="BA15" s="32"/>
      <c r="BB15" s="74"/>
      <c r="BC15" s="74"/>
      <c r="BD15" s="74"/>
      <c r="BE15" s="32"/>
      <c r="BF15" s="74"/>
      <c r="BG15" s="74"/>
      <c r="BH15" s="74"/>
      <c r="BI15" s="32"/>
      <c r="BJ15" s="74"/>
      <c r="BK15" s="74"/>
      <c r="BL15" s="74"/>
      <c r="BM15" s="32"/>
      <c r="BN15" s="74"/>
      <c r="BO15" s="74"/>
      <c r="BP15" s="74"/>
      <c r="BQ15" s="32"/>
      <c r="BR15" s="74"/>
      <c r="BS15" s="74"/>
      <c r="BT15" s="74"/>
      <c r="BU15" s="32"/>
      <c r="BV15" s="74"/>
      <c r="BW15" s="74"/>
      <c r="BX15" s="74"/>
      <c r="BY15" s="32"/>
      <c r="BZ15" s="74"/>
      <c r="CA15" s="74"/>
      <c r="CB15" s="74"/>
      <c r="CC15" s="32"/>
      <c r="CD15" s="74"/>
      <c r="CE15" s="74"/>
      <c r="CF15" s="74"/>
      <c r="CG15" s="32"/>
      <c r="CH15" s="74"/>
      <c r="CI15" s="74"/>
      <c r="CJ15" s="74"/>
      <c r="CK15" s="32"/>
      <c r="CL15" s="74"/>
      <c r="CM15" s="74"/>
      <c r="CN15" s="74"/>
      <c r="CO15" s="32"/>
      <c r="CP15" s="74"/>
      <c r="CQ15" s="74"/>
      <c r="CR15" s="74"/>
      <c r="CS15" s="32"/>
      <c r="CT15" s="74"/>
      <c r="CU15" s="74"/>
      <c r="CV15" s="74"/>
      <c r="CW15" s="32"/>
      <c r="CX15" s="74"/>
      <c r="CY15" s="74"/>
      <c r="CZ15" s="74"/>
      <c r="DA15" s="32"/>
      <c r="DB15" s="74"/>
      <c r="DC15" s="74"/>
      <c r="DD15" s="74"/>
      <c r="DE15" s="32"/>
      <c r="DF15" s="32"/>
      <c r="DG15" s="32"/>
      <c r="DH15" s="32"/>
      <c r="DI15" s="32"/>
      <c r="DJ15" s="32"/>
      <c r="DK15" s="32"/>
      <c r="DL15" s="32"/>
      <c r="DM15" s="32"/>
      <c r="DN15" s="32"/>
      <c r="DO15" s="32"/>
      <c r="DP15" s="32"/>
      <c r="DQ15" s="36"/>
    </row>
    <row r="16" spans="1:121" ht="15.75" x14ac:dyDescent="0.25">
      <c r="A16" s="28"/>
      <c r="B16" s="162" t="s">
        <v>184</v>
      </c>
      <c r="C16" s="30"/>
      <c r="D16" s="86"/>
      <c r="E16" s="86"/>
      <c r="F16" s="92"/>
      <c r="G16" s="74"/>
      <c r="H16" s="74"/>
      <c r="I16" s="32"/>
      <c r="J16" s="74"/>
      <c r="K16" s="74"/>
      <c r="L16" s="74"/>
      <c r="M16" s="32"/>
      <c r="N16" s="74"/>
      <c r="O16" s="74"/>
      <c r="P16" s="74"/>
      <c r="Q16" s="32"/>
      <c r="R16" s="74"/>
      <c r="S16" s="74"/>
      <c r="T16" s="74"/>
      <c r="U16" s="32"/>
      <c r="V16" s="74"/>
      <c r="W16" s="74"/>
      <c r="X16" s="74"/>
      <c r="Y16" s="32"/>
      <c r="Z16" s="74"/>
      <c r="AA16" s="74"/>
      <c r="AB16" s="74"/>
      <c r="AC16" s="32"/>
      <c r="AD16" s="74"/>
      <c r="AE16" s="74"/>
      <c r="AF16" s="74"/>
      <c r="AG16" s="32"/>
      <c r="AH16" s="74"/>
      <c r="AI16" s="74"/>
      <c r="AJ16" s="74"/>
      <c r="AK16" s="32"/>
      <c r="AL16" s="74"/>
      <c r="AM16" s="74"/>
      <c r="AN16" s="74"/>
      <c r="AO16" s="32"/>
      <c r="AP16" s="74"/>
      <c r="AQ16" s="74"/>
      <c r="AR16" s="74"/>
      <c r="AS16" s="32"/>
      <c r="AT16" s="74"/>
      <c r="AU16" s="74"/>
      <c r="AV16" s="74"/>
      <c r="AW16" s="32"/>
      <c r="AX16" s="74"/>
      <c r="AY16" s="74"/>
      <c r="AZ16" s="74"/>
      <c r="BA16" s="32"/>
      <c r="BB16" s="74"/>
      <c r="BC16" s="74"/>
      <c r="BD16" s="74"/>
      <c r="BE16" s="32"/>
      <c r="BF16" s="74"/>
      <c r="BG16" s="74"/>
      <c r="BH16" s="74"/>
      <c r="BI16" s="32"/>
      <c r="BJ16" s="74"/>
      <c r="BK16" s="74"/>
      <c r="BL16" s="74"/>
      <c r="BM16" s="32"/>
      <c r="BN16" s="74"/>
      <c r="BO16" s="74"/>
      <c r="BP16" s="74"/>
      <c r="BQ16" s="32"/>
      <c r="BR16" s="74"/>
      <c r="BS16" s="74"/>
      <c r="BT16" s="74"/>
      <c r="BU16" s="32"/>
      <c r="BV16" s="74"/>
      <c r="BW16" s="74"/>
      <c r="BX16" s="74"/>
      <c r="BY16" s="32"/>
      <c r="BZ16" s="74"/>
      <c r="CA16" s="74"/>
      <c r="CB16" s="74"/>
      <c r="CC16" s="32"/>
      <c r="CD16" s="74"/>
      <c r="CE16" s="74"/>
      <c r="CF16" s="74"/>
      <c r="CG16" s="32"/>
      <c r="CH16" s="74"/>
      <c r="CI16" s="74"/>
      <c r="CJ16" s="74"/>
      <c r="CK16" s="32"/>
      <c r="CL16" s="74"/>
      <c r="CM16" s="74"/>
      <c r="CN16" s="74"/>
      <c r="CO16" s="32"/>
      <c r="CP16" s="74"/>
      <c r="CQ16" s="74"/>
      <c r="CR16" s="74"/>
      <c r="CS16" s="32"/>
      <c r="CT16" s="74"/>
      <c r="CU16" s="74"/>
      <c r="CV16" s="74"/>
      <c r="CW16" s="32"/>
      <c r="CX16" s="74"/>
      <c r="CY16" s="74"/>
      <c r="CZ16" s="74"/>
      <c r="DA16" s="32"/>
      <c r="DB16" s="74"/>
      <c r="DC16" s="74"/>
      <c r="DD16" s="74"/>
      <c r="DE16" s="32"/>
      <c r="DF16" s="32"/>
      <c r="DG16" s="32"/>
      <c r="DH16" s="32"/>
      <c r="DI16" s="32"/>
      <c r="DJ16" s="32"/>
      <c r="DK16" s="32"/>
      <c r="DL16" s="32"/>
      <c r="DM16" s="32"/>
      <c r="DN16" s="32"/>
      <c r="DO16" s="32"/>
      <c r="DP16" s="32"/>
      <c r="DQ16" s="36"/>
    </row>
    <row r="17" spans="1:121" s="154" customFormat="1" ht="15.75" x14ac:dyDescent="0.25">
      <c r="A17" s="150"/>
      <c r="B17" s="33" t="s">
        <v>166</v>
      </c>
      <c r="C17" s="99"/>
      <c r="D17" s="97"/>
      <c r="E17" s="97"/>
      <c r="F17" s="95"/>
      <c r="G17" s="151"/>
      <c r="H17" s="151"/>
      <c r="I17" s="152"/>
      <c r="J17" s="151"/>
      <c r="K17" s="151"/>
      <c r="L17" s="151"/>
      <c r="M17" s="152"/>
      <c r="N17" s="151"/>
      <c r="O17" s="151"/>
      <c r="P17" s="151"/>
      <c r="Q17" s="152"/>
      <c r="R17" s="151"/>
      <c r="S17" s="151"/>
      <c r="T17" s="151"/>
      <c r="U17" s="152"/>
      <c r="V17" s="151"/>
      <c r="W17" s="151"/>
      <c r="X17" s="151"/>
      <c r="Y17" s="152"/>
      <c r="Z17" s="151"/>
      <c r="AA17" s="151"/>
      <c r="AB17" s="151"/>
      <c r="AC17" s="152"/>
      <c r="AD17" s="151"/>
      <c r="AE17" s="151"/>
      <c r="AF17" s="151"/>
      <c r="AG17" s="152"/>
      <c r="AH17" s="151"/>
      <c r="AI17" s="151"/>
      <c r="AJ17" s="151"/>
      <c r="AK17" s="152"/>
      <c r="AL17" s="151"/>
      <c r="AM17" s="151"/>
      <c r="AN17" s="151"/>
      <c r="AO17" s="152"/>
      <c r="AP17" s="151"/>
      <c r="AQ17" s="151"/>
      <c r="AR17" s="151"/>
      <c r="AS17" s="152"/>
      <c r="AT17" s="151"/>
      <c r="AU17" s="151"/>
      <c r="AV17" s="151"/>
      <c r="AW17" s="152"/>
      <c r="AX17" s="151"/>
      <c r="AY17" s="151"/>
      <c r="AZ17" s="151"/>
      <c r="BA17" s="152"/>
      <c r="BB17" s="151"/>
      <c r="BC17" s="151"/>
      <c r="BD17" s="151"/>
      <c r="BE17" s="152"/>
      <c r="BF17" s="151"/>
      <c r="BG17" s="151"/>
      <c r="BH17" s="151"/>
      <c r="BI17" s="152"/>
      <c r="BJ17" s="151"/>
      <c r="BK17" s="151"/>
      <c r="BL17" s="151"/>
      <c r="BM17" s="152"/>
      <c r="BN17" s="151"/>
      <c r="BO17" s="151"/>
      <c r="BP17" s="151"/>
      <c r="BQ17" s="152"/>
      <c r="BR17" s="151"/>
      <c r="BS17" s="151"/>
      <c r="BT17" s="151"/>
      <c r="BU17" s="152"/>
      <c r="BV17" s="151"/>
      <c r="BW17" s="151"/>
      <c r="BX17" s="151"/>
      <c r="BY17" s="152"/>
      <c r="BZ17" s="151"/>
      <c r="CA17" s="151"/>
      <c r="CB17" s="151"/>
      <c r="CC17" s="152"/>
      <c r="CD17" s="151"/>
      <c r="CE17" s="151"/>
      <c r="CF17" s="151"/>
      <c r="CG17" s="152"/>
      <c r="CH17" s="151"/>
      <c r="CI17" s="151"/>
      <c r="CJ17" s="151"/>
      <c r="CK17" s="152"/>
      <c r="CL17" s="151"/>
      <c r="CM17" s="151"/>
      <c r="CN17" s="151"/>
      <c r="CO17" s="152"/>
      <c r="CP17" s="151"/>
      <c r="CQ17" s="151"/>
      <c r="CR17" s="151"/>
      <c r="CS17" s="152"/>
      <c r="CT17" s="151"/>
      <c r="CU17" s="151"/>
      <c r="CV17" s="151"/>
      <c r="CW17" s="152"/>
      <c r="CX17" s="151"/>
      <c r="CY17" s="151"/>
      <c r="CZ17" s="151"/>
      <c r="DA17" s="152"/>
      <c r="DB17" s="151"/>
      <c r="DC17" s="151"/>
      <c r="DD17" s="151"/>
      <c r="DE17" s="152"/>
      <c r="DF17" s="152"/>
      <c r="DG17" s="152"/>
      <c r="DH17" s="152"/>
      <c r="DI17" s="152"/>
      <c r="DJ17" s="152"/>
      <c r="DK17" s="152"/>
      <c r="DL17" s="152"/>
      <c r="DM17" s="152"/>
      <c r="DN17" s="152"/>
      <c r="DO17" s="152"/>
      <c r="DP17" s="152"/>
      <c r="DQ17" s="153"/>
    </row>
    <row r="18" spans="1:121" ht="15.75" x14ac:dyDescent="0.25">
      <c r="A18" s="28"/>
      <c r="B18" s="29" t="s">
        <v>167</v>
      </c>
      <c r="C18" s="30"/>
      <c r="D18" s="86"/>
      <c r="E18" s="86"/>
      <c r="F18" s="92"/>
      <c r="G18" s="74"/>
      <c r="H18" s="74"/>
      <c r="I18" s="32"/>
      <c r="J18" s="74"/>
      <c r="K18" s="74"/>
      <c r="L18" s="74"/>
      <c r="M18" s="32"/>
      <c r="N18" s="74"/>
      <c r="O18" s="74"/>
      <c r="P18" s="74"/>
      <c r="Q18" s="32"/>
      <c r="R18" s="74"/>
      <c r="S18" s="74"/>
      <c r="T18" s="74"/>
      <c r="U18" s="32"/>
      <c r="V18" s="74"/>
      <c r="W18" s="74"/>
      <c r="X18" s="74"/>
      <c r="Y18" s="32"/>
      <c r="Z18" s="74"/>
      <c r="AA18" s="74"/>
      <c r="AB18" s="74"/>
      <c r="AC18" s="32"/>
      <c r="AD18" s="74"/>
      <c r="AE18" s="74"/>
      <c r="AF18" s="74"/>
      <c r="AG18" s="32"/>
      <c r="AH18" s="74"/>
      <c r="AI18" s="74"/>
      <c r="AJ18" s="74"/>
      <c r="AK18" s="32"/>
      <c r="AL18" s="74"/>
      <c r="AM18" s="74"/>
      <c r="AN18" s="74"/>
      <c r="AO18" s="32"/>
      <c r="AP18" s="74"/>
      <c r="AQ18" s="74"/>
      <c r="AR18" s="74"/>
      <c r="AS18" s="32"/>
      <c r="AT18" s="74"/>
      <c r="AU18" s="74"/>
      <c r="AV18" s="74"/>
      <c r="AW18" s="32"/>
      <c r="AX18" s="74"/>
      <c r="AY18" s="74"/>
      <c r="AZ18" s="74"/>
      <c r="BA18" s="32"/>
      <c r="BB18" s="74"/>
      <c r="BC18" s="74"/>
      <c r="BD18" s="74"/>
      <c r="BE18" s="32"/>
      <c r="BF18" s="74"/>
      <c r="BG18" s="74"/>
      <c r="BH18" s="74"/>
      <c r="BI18" s="32"/>
      <c r="BJ18" s="74"/>
      <c r="BK18" s="74"/>
      <c r="BL18" s="74"/>
      <c r="BM18" s="32"/>
      <c r="BN18" s="74"/>
      <c r="BO18" s="74"/>
      <c r="BP18" s="74"/>
      <c r="BQ18" s="32"/>
      <c r="BR18" s="74"/>
      <c r="BS18" s="74"/>
      <c r="BT18" s="74"/>
      <c r="BU18" s="32"/>
      <c r="BV18" s="74"/>
      <c r="BW18" s="74"/>
      <c r="BX18" s="74"/>
      <c r="BY18" s="32"/>
      <c r="BZ18" s="74"/>
      <c r="CA18" s="74"/>
      <c r="CB18" s="74"/>
      <c r="CC18" s="32"/>
      <c r="CD18" s="74"/>
      <c r="CE18" s="74"/>
      <c r="CF18" s="74"/>
      <c r="CG18" s="32"/>
      <c r="CH18" s="74"/>
      <c r="CI18" s="74"/>
      <c r="CJ18" s="74"/>
      <c r="CK18" s="32"/>
      <c r="CL18" s="74"/>
      <c r="CM18" s="74"/>
      <c r="CN18" s="74"/>
      <c r="CO18" s="32"/>
      <c r="CP18" s="74"/>
      <c r="CQ18" s="74"/>
      <c r="CR18" s="74"/>
      <c r="CS18" s="32"/>
      <c r="CT18" s="74"/>
      <c r="CU18" s="74"/>
      <c r="CV18" s="74"/>
      <c r="CW18" s="32"/>
      <c r="CX18" s="74"/>
      <c r="CY18" s="74"/>
      <c r="CZ18" s="74"/>
      <c r="DA18" s="32"/>
      <c r="DB18" s="74"/>
      <c r="DC18" s="74"/>
      <c r="DD18" s="74"/>
      <c r="DE18" s="32"/>
      <c r="DF18" s="32"/>
      <c r="DG18" s="32"/>
      <c r="DH18" s="32"/>
      <c r="DI18" s="32"/>
      <c r="DJ18" s="32"/>
      <c r="DK18" s="32"/>
      <c r="DL18" s="32"/>
      <c r="DM18" s="32"/>
      <c r="DN18" s="32"/>
      <c r="DO18" s="32"/>
      <c r="DP18" s="32"/>
      <c r="DQ18" s="36"/>
    </row>
    <row r="19" spans="1:121" ht="15.75" x14ac:dyDescent="0.25">
      <c r="A19" s="28"/>
      <c r="B19" s="33" t="s">
        <v>68</v>
      </c>
      <c r="C19" s="99"/>
      <c r="D19" s="97"/>
      <c r="E19" s="97"/>
      <c r="F19" s="95"/>
      <c r="G19" s="73"/>
      <c r="H19" s="73"/>
      <c r="I19" s="42"/>
      <c r="J19" s="73"/>
      <c r="K19" s="73"/>
      <c r="L19" s="73"/>
      <c r="M19" s="42"/>
      <c r="N19" s="73"/>
      <c r="O19" s="73"/>
      <c r="P19" s="73"/>
      <c r="Q19" s="42"/>
      <c r="R19" s="73"/>
      <c r="S19" s="73"/>
      <c r="T19" s="73"/>
      <c r="U19" s="42"/>
      <c r="V19" s="73"/>
      <c r="W19" s="73"/>
      <c r="X19" s="73"/>
      <c r="Y19" s="42"/>
      <c r="Z19" s="73"/>
      <c r="AA19" s="73"/>
      <c r="AB19" s="73"/>
      <c r="AC19" s="42"/>
      <c r="AD19" s="73"/>
      <c r="AE19" s="73"/>
      <c r="AF19" s="73"/>
      <c r="AG19" s="42"/>
      <c r="AH19" s="73"/>
      <c r="AI19" s="73"/>
      <c r="AJ19" s="73"/>
      <c r="AK19" s="42"/>
      <c r="AL19" s="73"/>
      <c r="AM19" s="73"/>
      <c r="AN19" s="73"/>
      <c r="AO19" s="42"/>
      <c r="AP19" s="73"/>
      <c r="AQ19" s="73"/>
      <c r="AR19" s="73"/>
      <c r="AS19" s="42"/>
      <c r="AT19" s="73"/>
      <c r="AU19" s="73"/>
      <c r="AV19" s="73"/>
      <c r="AW19" s="42"/>
      <c r="AX19" s="73"/>
      <c r="AY19" s="73"/>
      <c r="AZ19" s="73"/>
      <c r="BA19" s="42"/>
      <c r="BB19" s="73"/>
      <c r="BC19" s="73"/>
      <c r="BD19" s="73"/>
      <c r="BE19" s="42"/>
      <c r="BF19" s="73"/>
      <c r="BG19" s="73"/>
      <c r="BH19" s="73"/>
      <c r="BI19" s="42"/>
      <c r="BJ19" s="73"/>
      <c r="BK19" s="73"/>
      <c r="BL19" s="73"/>
      <c r="BM19" s="42"/>
      <c r="BN19" s="73"/>
      <c r="BO19" s="73"/>
      <c r="BP19" s="73"/>
      <c r="BQ19" s="42"/>
      <c r="BR19" s="73"/>
      <c r="BS19" s="73"/>
      <c r="BT19" s="73"/>
      <c r="BU19" s="42"/>
      <c r="BV19" s="73"/>
      <c r="BW19" s="73"/>
      <c r="BX19" s="73"/>
      <c r="BY19" s="42"/>
      <c r="BZ19" s="73"/>
      <c r="CA19" s="73"/>
      <c r="CB19" s="73"/>
      <c r="CC19" s="42"/>
      <c r="CD19" s="73"/>
      <c r="CE19" s="73"/>
      <c r="CF19" s="73"/>
      <c r="CG19" s="42"/>
      <c r="CH19" s="73"/>
      <c r="CI19" s="73"/>
      <c r="CJ19" s="73"/>
      <c r="CK19" s="42"/>
      <c r="CL19" s="73"/>
      <c r="CM19" s="73"/>
      <c r="CN19" s="73"/>
      <c r="CO19" s="42"/>
      <c r="CP19" s="73"/>
      <c r="CQ19" s="73"/>
      <c r="CR19" s="73"/>
      <c r="CS19" s="42"/>
      <c r="CT19" s="73"/>
      <c r="CU19" s="73"/>
      <c r="CV19" s="73"/>
      <c r="CW19" s="42"/>
      <c r="CX19" s="73"/>
      <c r="CY19" s="73"/>
      <c r="CZ19" s="73"/>
      <c r="DA19" s="42"/>
      <c r="DB19" s="73"/>
      <c r="DC19" s="73"/>
      <c r="DD19" s="73"/>
      <c r="DE19" s="42"/>
      <c r="DF19" s="42"/>
      <c r="DG19" s="42"/>
      <c r="DH19" s="42"/>
      <c r="DI19" s="42"/>
      <c r="DJ19" s="42"/>
      <c r="DK19" s="42"/>
      <c r="DL19" s="42"/>
      <c r="DM19" s="42"/>
      <c r="DN19" s="42"/>
      <c r="DO19" s="42"/>
      <c r="DP19" s="42"/>
      <c r="DQ19" s="36"/>
    </row>
    <row r="20" spans="1:121" ht="12.75" x14ac:dyDescent="0.2">
      <c r="A20" s="28"/>
      <c r="B20" s="33"/>
      <c r="C20" s="30"/>
      <c r="D20" s="31"/>
      <c r="E20" s="31"/>
      <c r="F20" s="92"/>
      <c r="G20" s="75"/>
      <c r="H20" s="75"/>
      <c r="I20" s="34"/>
      <c r="J20" s="75"/>
      <c r="K20" s="75"/>
      <c r="L20" s="75"/>
      <c r="M20" s="34"/>
      <c r="N20" s="75"/>
      <c r="O20" s="72"/>
      <c r="P20" s="75"/>
      <c r="Q20" s="34"/>
      <c r="R20" s="75"/>
      <c r="S20" s="75"/>
      <c r="T20" s="75"/>
      <c r="U20" s="34"/>
      <c r="V20" s="75"/>
      <c r="W20" s="75"/>
      <c r="X20" s="75"/>
      <c r="Y20" s="34"/>
      <c r="Z20" s="75"/>
      <c r="AA20" s="75"/>
      <c r="AB20" s="75"/>
      <c r="AC20" s="34"/>
      <c r="AD20" s="75"/>
      <c r="AE20" s="72"/>
      <c r="AF20" s="75"/>
      <c r="AG20" s="34"/>
      <c r="AH20" s="75"/>
      <c r="AI20" s="75"/>
      <c r="AJ20" s="75"/>
      <c r="AK20" s="34"/>
      <c r="AL20" s="75"/>
      <c r="AM20" s="75"/>
      <c r="AN20" s="75"/>
      <c r="AO20" s="34"/>
      <c r="AP20" s="75"/>
      <c r="AQ20" s="75"/>
      <c r="AR20" s="75"/>
      <c r="AS20" s="34"/>
      <c r="AT20" s="75"/>
      <c r="AU20" s="72"/>
      <c r="AV20" s="75"/>
      <c r="AW20" s="34"/>
      <c r="AX20" s="75"/>
      <c r="AY20" s="75"/>
      <c r="AZ20" s="75"/>
      <c r="BA20" s="34"/>
      <c r="BB20" s="75"/>
      <c r="BC20" s="75"/>
      <c r="BD20" s="75"/>
      <c r="BE20" s="34"/>
      <c r="BF20" s="75"/>
      <c r="BG20" s="75"/>
      <c r="BH20" s="75"/>
      <c r="BI20" s="34"/>
      <c r="BJ20" s="75"/>
      <c r="BK20" s="72"/>
      <c r="BL20" s="75"/>
      <c r="BM20" s="34"/>
      <c r="BN20" s="75"/>
      <c r="BO20" s="75"/>
      <c r="BP20" s="75"/>
      <c r="BQ20" s="34"/>
      <c r="BR20" s="75"/>
      <c r="BS20" s="75"/>
      <c r="BT20" s="75"/>
      <c r="BU20" s="34"/>
      <c r="BV20" s="75"/>
      <c r="BW20" s="75"/>
      <c r="BX20" s="75"/>
      <c r="BY20" s="34"/>
      <c r="BZ20" s="75"/>
      <c r="CA20" s="72"/>
      <c r="CB20" s="75"/>
      <c r="CC20" s="34"/>
      <c r="CD20" s="75"/>
      <c r="CE20" s="75"/>
      <c r="CF20" s="75"/>
      <c r="CG20" s="34"/>
      <c r="CH20" s="75"/>
      <c r="CI20" s="75"/>
      <c r="CJ20" s="75"/>
      <c r="CK20" s="34"/>
      <c r="CL20" s="75"/>
      <c r="CM20" s="75"/>
      <c r="CN20" s="75"/>
      <c r="CO20" s="34"/>
      <c r="CP20" s="75"/>
      <c r="CQ20" s="72"/>
      <c r="CR20" s="75"/>
      <c r="CS20" s="34"/>
      <c r="CT20" s="75"/>
      <c r="CU20" s="75"/>
      <c r="CV20" s="75"/>
      <c r="CW20" s="34"/>
      <c r="CX20" s="75"/>
      <c r="CY20" s="75"/>
      <c r="CZ20" s="75"/>
      <c r="DA20" s="34"/>
      <c r="DB20" s="75"/>
      <c r="DC20" s="75"/>
      <c r="DD20" s="75"/>
      <c r="DE20" s="34"/>
      <c r="DF20" s="34"/>
      <c r="DG20" s="34"/>
      <c r="DH20" s="34"/>
      <c r="DI20" s="34"/>
      <c r="DJ20" s="34"/>
      <c r="DK20" s="34"/>
      <c r="DL20" s="34"/>
      <c r="DM20" s="34"/>
      <c r="DN20" s="34"/>
      <c r="DO20" s="34"/>
      <c r="DP20" s="34"/>
      <c r="DQ20" s="28"/>
    </row>
    <row r="21" spans="1:121" ht="12.75" x14ac:dyDescent="0.2">
      <c r="A21" s="28"/>
      <c r="B21" s="29" t="s">
        <v>69</v>
      </c>
      <c r="C21" s="30"/>
      <c r="D21" s="31"/>
      <c r="E21" s="31"/>
      <c r="F21" s="92"/>
      <c r="G21" s="76"/>
      <c r="H21" s="76"/>
      <c r="I21" s="35"/>
      <c r="J21" s="76"/>
      <c r="K21" s="76"/>
      <c r="L21" s="76"/>
      <c r="M21" s="35"/>
      <c r="N21" s="76"/>
      <c r="O21" s="76"/>
      <c r="P21" s="76"/>
      <c r="Q21" s="35"/>
      <c r="R21" s="76"/>
      <c r="S21" s="76"/>
      <c r="T21" s="76"/>
      <c r="U21" s="35"/>
      <c r="V21" s="76"/>
      <c r="W21" s="76"/>
      <c r="X21" s="76"/>
      <c r="Y21" s="35"/>
      <c r="Z21" s="76"/>
      <c r="AA21" s="76"/>
      <c r="AB21" s="76"/>
      <c r="AC21" s="35"/>
      <c r="AD21" s="76"/>
      <c r="AE21" s="76"/>
      <c r="AF21" s="76"/>
      <c r="AG21" s="35"/>
      <c r="AH21" s="76"/>
      <c r="AI21" s="76"/>
      <c r="AJ21" s="76"/>
      <c r="AK21" s="35"/>
      <c r="AL21" s="76"/>
      <c r="AM21" s="76"/>
      <c r="AN21" s="76"/>
      <c r="AO21" s="35"/>
      <c r="AP21" s="76"/>
      <c r="AQ21" s="76"/>
      <c r="AR21" s="76"/>
      <c r="AS21" s="35"/>
      <c r="AT21" s="76"/>
      <c r="AU21" s="76"/>
      <c r="AV21" s="76"/>
      <c r="AW21" s="35"/>
      <c r="AX21" s="76"/>
      <c r="AY21" s="76"/>
      <c r="AZ21" s="76"/>
      <c r="BA21" s="35"/>
      <c r="BB21" s="76"/>
      <c r="BC21" s="76"/>
      <c r="BD21" s="76"/>
      <c r="BE21" s="35"/>
      <c r="BF21" s="76"/>
      <c r="BG21" s="76"/>
      <c r="BH21" s="76"/>
      <c r="BI21" s="35"/>
      <c r="BJ21" s="76"/>
      <c r="BK21" s="76"/>
      <c r="BL21" s="76"/>
      <c r="BM21" s="35"/>
      <c r="BN21" s="76"/>
      <c r="BO21" s="76"/>
      <c r="BP21" s="76"/>
      <c r="BQ21" s="35"/>
      <c r="BR21" s="76"/>
      <c r="BS21" s="76"/>
      <c r="BT21" s="76"/>
      <c r="BU21" s="35"/>
      <c r="BV21" s="76"/>
      <c r="BW21" s="76"/>
      <c r="BX21" s="76"/>
      <c r="BY21" s="35"/>
      <c r="BZ21" s="76"/>
      <c r="CA21" s="76"/>
      <c r="CB21" s="76"/>
      <c r="CC21" s="35"/>
      <c r="CD21" s="76"/>
      <c r="CE21" s="76"/>
      <c r="CF21" s="76"/>
      <c r="CG21" s="35"/>
      <c r="CH21" s="76"/>
      <c r="CI21" s="76"/>
      <c r="CJ21" s="76"/>
      <c r="CK21" s="35"/>
      <c r="CL21" s="76"/>
      <c r="CM21" s="76"/>
      <c r="CN21" s="76"/>
      <c r="CO21" s="35"/>
      <c r="CP21" s="76"/>
      <c r="CQ21" s="76"/>
      <c r="CR21" s="76"/>
      <c r="CS21" s="35"/>
      <c r="CT21" s="76"/>
      <c r="CU21" s="76"/>
      <c r="CV21" s="76"/>
      <c r="CW21" s="35"/>
      <c r="CX21" s="76"/>
      <c r="CY21" s="76"/>
      <c r="CZ21" s="76"/>
      <c r="DA21" s="35"/>
      <c r="DB21" s="76"/>
      <c r="DC21" s="76"/>
      <c r="DD21" s="76"/>
      <c r="DE21" s="35"/>
      <c r="DF21" s="35"/>
      <c r="DG21" s="35"/>
      <c r="DH21" s="35"/>
      <c r="DI21" s="35"/>
      <c r="DJ21" s="35"/>
      <c r="DK21" s="35"/>
      <c r="DL21" s="35"/>
      <c r="DM21" s="35"/>
      <c r="DN21" s="35"/>
      <c r="DO21" s="35"/>
      <c r="DP21" s="35"/>
      <c r="DQ21" s="28"/>
    </row>
    <row r="22" spans="1:121" ht="12.75" x14ac:dyDescent="0.2">
      <c r="A22" s="28"/>
      <c r="B22" s="33"/>
      <c r="C22" s="30"/>
      <c r="D22" s="31"/>
      <c r="E22" s="31"/>
      <c r="F22" s="92"/>
      <c r="G22" s="75"/>
      <c r="H22" s="75"/>
      <c r="I22" s="34"/>
      <c r="J22" s="75"/>
      <c r="K22" s="72"/>
      <c r="L22" s="75"/>
      <c r="M22" s="34"/>
      <c r="N22" s="75"/>
      <c r="O22" s="72"/>
      <c r="P22" s="75"/>
      <c r="Q22" s="34"/>
      <c r="R22" s="75"/>
      <c r="S22" s="75"/>
      <c r="T22" s="75"/>
      <c r="U22" s="34"/>
      <c r="V22" s="75"/>
      <c r="W22" s="75"/>
      <c r="X22" s="75"/>
      <c r="Y22" s="34"/>
      <c r="Z22" s="75"/>
      <c r="AA22" s="72"/>
      <c r="AB22" s="75"/>
      <c r="AC22" s="34"/>
      <c r="AD22" s="75"/>
      <c r="AE22" s="72"/>
      <c r="AF22" s="75"/>
      <c r="AG22" s="34"/>
      <c r="AH22" s="75"/>
      <c r="AI22" s="75"/>
      <c r="AJ22" s="75"/>
      <c r="AK22" s="34"/>
      <c r="AL22" s="75"/>
      <c r="AM22" s="75"/>
      <c r="AN22" s="75"/>
      <c r="AO22" s="34"/>
      <c r="AP22" s="75"/>
      <c r="AQ22" s="72"/>
      <c r="AR22" s="75"/>
      <c r="AS22" s="34"/>
      <c r="AT22" s="75"/>
      <c r="AU22" s="72"/>
      <c r="AV22" s="75"/>
      <c r="AW22" s="34"/>
      <c r="AX22" s="75"/>
      <c r="AY22" s="75"/>
      <c r="AZ22" s="75"/>
      <c r="BA22" s="34"/>
      <c r="BB22" s="75"/>
      <c r="BC22" s="75"/>
      <c r="BD22" s="75"/>
      <c r="BE22" s="34"/>
      <c r="BF22" s="75"/>
      <c r="BG22" s="72"/>
      <c r="BH22" s="75"/>
      <c r="BI22" s="34"/>
      <c r="BJ22" s="75"/>
      <c r="BK22" s="72"/>
      <c r="BL22" s="75"/>
      <c r="BM22" s="34"/>
      <c r="BN22" s="75"/>
      <c r="BO22" s="75"/>
      <c r="BP22" s="75"/>
      <c r="BQ22" s="34"/>
      <c r="BR22" s="75"/>
      <c r="BS22" s="75"/>
      <c r="BT22" s="75"/>
      <c r="BU22" s="34"/>
      <c r="BV22" s="75"/>
      <c r="BW22" s="72"/>
      <c r="BX22" s="75"/>
      <c r="BY22" s="34"/>
      <c r="BZ22" s="75"/>
      <c r="CA22" s="72"/>
      <c r="CB22" s="75"/>
      <c r="CC22" s="34"/>
      <c r="CD22" s="75"/>
      <c r="CE22" s="75"/>
      <c r="CF22" s="75"/>
      <c r="CG22" s="34"/>
      <c r="CH22" s="75"/>
      <c r="CI22" s="75"/>
      <c r="CJ22" s="75"/>
      <c r="CK22" s="34"/>
      <c r="CL22" s="75"/>
      <c r="CM22" s="72"/>
      <c r="CN22" s="75"/>
      <c r="CO22" s="34"/>
      <c r="CP22" s="75"/>
      <c r="CQ22" s="72"/>
      <c r="CR22" s="75"/>
      <c r="CS22" s="34"/>
      <c r="CT22" s="75"/>
      <c r="CU22" s="75"/>
      <c r="CV22" s="75"/>
      <c r="CW22" s="34"/>
      <c r="CX22" s="75"/>
      <c r="CY22" s="75"/>
      <c r="CZ22" s="75"/>
      <c r="DA22" s="34"/>
      <c r="DB22" s="75"/>
      <c r="DC22" s="75"/>
      <c r="DD22" s="75"/>
      <c r="DE22" s="34"/>
      <c r="DF22" s="34"/>
      <c r="DG22" s="34"/>
      <c r="DH22" s="34"/>
      <c r="DI22" s="34"/>
      <c r="DJ22" s="34"/>
      <c r="DK22" s="34"/>
      <c r="DL22" s="34"/>
      <c r="DM22" s="34"/>
      <c r="DN22" s="34"/>
      <c r="DO22" s="34"/>
      <c r="DP22" s="34"/>
      <c r="DQ22" s="28"/>
    </row>
    <row r="23" spans="1:121" ht="12.75" x14ac:dyDescent="0.2">
      <c r="A23" s="28"/>
      <c r="B23" s="33"/>
      <c r="C23" s="30"/>
      <c r="D23" s="31"/>
      <c r="E23" s="31"/>
      <c r="F23" s="92"/>
      <c r="G23" s="75"/>
      <c r="H23" s="75"/>
      <c r="I23" s="34"/>
      <c r="J23" s="75"/>
      <c r="K23" s="72"/>
      <c r="L23" s="75"/>
      <c r="M23" s="34"/>
      <c r="N23" s="75"/>
      <c r="O23" s="72"/>
      <c r="P23" s="75"/>
      <c r="Q23" s="34"/>
      <c r="R23" s="75"/>
      <c r="S23" s="75"/>
      <c r="T23" s="75"/>
      <c r="U23" s="34"/>
      <c r="V23" s="75"/>
      <c r="W23" s="75"/>
      <c r="X23" s="75"/>
      <c r="Y23" s="34"/>
      <c r="Z23" s="75"/>
      <c r="AA23" s="72"/>
      <c r="AB23" s="75"/>
      <c r="AC23" s="34"/>
      <c r="AD23" s="75"/>
      <c r="AE23" s="72"/>
      <c r="AF23" s="75"/>
      <c r="AG23" s="34"/>
      <c r="AH23" s="75"/>
      <c r="AI23" s="75"/>
      <c r="AJ23" s="75"/>
      <c r="AK23" s="34"/>
      <c r="AL23" s="75"/>
      <c r="AM23" s="75"/>
      <c r="AN23" s="75"/>
      <c r="AO23" s="34"/>
      <c r="AP23" s="75"/>
      <c r="AQ23" s="72"/>
      <c r="AR23" s="75"/>
      <c r="AS23" s="34"/>
      <c r="AT23" s="75"/>
      <c r="AU23" s="72"/>
      <c r="AV23" s="75"/>
      <c r="AW23" s="34"/>
      <c r="AX23" s="75"/>
      <c r="AY23" s="75"/>
      <c r="AZ23" s="75"/>
      <c r="BA23" s="34"/>
      <c r="BB23" s="75"/>
      <c r="BC23" s="75"/>
      <c r="BD23" s="75"/>
      <c r="BE23" s="34"/>
      <c r="BF23" s="75"/>
      <c r="BG23" s="72"/>
      <c r="BH23" s="75"/>
      <c r="BI23" s="34"/>
      <c r="BJ23" s="75"/>
      <c r="BK23" s="72"/>
      <c r="BL23" s="75"/>
      <c r="BM23" s="34"/>
      <c r="BN23" s="75"/>
      <c r="BO23" s="75"/>
      <c r="BP23" s="75"/>
      <c r="BQ23" s="34"/>
      <c r="BR23" s="75"/>
      <c r="BS23" s="75"/>
      <c r="BT23" s="75"/>
      <c r="BU23" s="34"/>
      <c r="BV23" s="75"/>
      <c r="BW23" s="72"/>
      <c r="BX23" s="75"/>
      <c r="BY23" s="34"/>
      <c r="BZ23" s="75"/>
      <c r="CA23" s="72"/>
      <c r="CB23" s="75"/>
      <c r="CC23" s="34"/>
      <c r="CD23" s="75"/>
      <c r="CE23" s="75"/>
      <c r="CF23" s="75"/>
      <c r="CG23" s="34"/>
      <c r="CH23" s="75"/>
      <c r="CI23" s="75"/>
      <c r="CJ23" s="75"/>
      <c r="CK23" s="34"/>
      <c r="CL23" s="75"/>
      <c r="CM23" s="72"/>
      <c r="CN23" s="75"/>
      <c r="CO23" s="34"/>
      <c r="CP23" s="75"/>
      <c r="CQ23" s="72"/>
      <c r="CR23" s="75"/>
      <c r="CS23" s="34"/>
      <c r="CT23" s="75"/>
      <c r="CU23" s="75"/>
      <c r="CV23" s="75"/>
      <c r="CW23" s="34"/>
      <c r="CX23" s="75"/>
      <c r="CY23" s="75"/>
      <c r="CZ23" s="75"/>
      <c r="DA23" s="34"/>
      <c r="DB23" s="75"/>
      <c r="DC23" s="75"/>
      <c r="DD23" s="75"/>
      <c r="DE23" s="34"/>
      <c r="DF23" s="34"/>
      <c r="DG23" s="34"/>
      <c r="DH23" s="34"/>
      <c r="DI23" s="34"/>
      <c r="DJ23" s="34"/>
      <c r="DK23" s="34"/>
      <c r="DL23" s="34"/>
      <c r="DM23" s="34"/>
      <c r="DN23" s="34"/>
      <c r="DO23" s="34"/>
      <c r="DP23" s="34"/>
      <c r="DQ23" s="28"/>
    </row>
    <row r="24" spans="1:121" ht="13.15" customHeight="1" x14ac:dyDescent="0.2">
      <c r="A24" s="28"/>
      <c r="B24" s="296"/>
      <c r="C24" s="318" t="str">
        <f ca="1">IF(MID(OFFSET($F$24,0,1),2,2)="К ",CONCATENATE(TEXT(OFFSET($F$24,0,1),"[$-en-GB]МММ ГГ;@")," / ",TEXT(OFFSET($F$24,0,17),"[$-en-GB]МММ ГГ;@")),"")</f>
        <v/>
      </c>
      <c r="D24" s="318" t="str">
        <f ca="1">IF(MID(OFFSET($F$24,0,1),2,2)="К ",CONCATENATE(TEXT(OFFSET($F$24,0,1),"[$-en-GB]МММ ГГ;@")," / ",TEXT(OFFSET($F$24,0,5),"[$-en-GB]МММ ГГ;@")),"")</f>
        <v/>
      </c>
      <c r="E24" s="320" t="str">
        <f ca="1">IF(MID(OFFSET($F$24,0,1),2,1)="К",CONCATENATE(TEXT(OFFSET($F$24,0,2),"[$-ru]МММ ГГ;@")," / ",TEXT(OFFSET($F$24,0,18),"[$-ru]МММ ГГ;@")),CONCATENATE(TEXT(OFFSET($F$24,0,1),"[$-ru]МММ ГГ;@")," / ",TEXT(OFFSET($F$24,0,17),"[$-ru]МММ ГГ;@")))</f>
        <v>май 26 / май 25</v>
      </c>
      <c r="F24" s="322" t="str">
        <f ca="1">IF(MID(OFFSET($F$24,0,1),2,1)="К",CONCATENATE(TEXT(OFFSET($F$24,0,2),"[$-ru]МММ ГГ;@")," / ",TEXT(OFFSET($F$24,0,3),"[$-ru]МММ ГГ;@")),IF(MID(OFFSET($F$24,0,2),2,1)="К",CONCATENATE(TEXT(OFFSET($F$24,0,1),"[$-ru]МММ ГГ;@")," / ",TEXT(OFFSET($F$24,0,3),"[$-ru]МММ ГГ;@")),CONCATENATE(TEXT(OFFSET($F$24,0,1),"[$-ru]МММ ГГ;@")," / ",TEXT(OFFSET($F$24,0,2),"[$-ru]МММ ГГ;@"))))</f>
        <v>май 26 / апр 26</v>
      </c>
      <c r="G24" s="326">
        <f t="shared" ref="G24" si="0">H42</f>
        <v>46143</v>
      </c>
      <c r="H24" s="328">
        <f>I42</f>
        <v>46113</v>
      </c>
      <c r="I24" s="262" t="s">
        <v>276</v>
      </c>
      <c r="J24" s="330">
        <f>K42</f>
        <v>46082</v>
      </c>
      <c r="K24" s="330">
        <f t="shared" ref="K24" si="1">L42</f>
        <v>46054</v>
      </c>
      <c r="L24" s="332">
        <f t="shared" ref="L24" si="2">M42</f>
        <v>46023</v>
      </c>
      <c r="M24" s="271" t="s">
        <v>272</v>
      </c>
      <c r="N24" s="330">
        <f>O42</f>
        <v>45992</v>
      </c>
      <c r="O24" s="330">
        <f t="shared" ref="O24" si="3">P42</f>
        <v>45962</v>
      </c>
      <c r="P24" s="330">
        <f>Q42</f>
        <v>45931</v>
      </c>
      <c r="Q24" s="262" t="s">
        <v>267</v>
      </c>
      <c r="R24" s="330">
        <v>45901</v>
      </c>
      <c r="S24" s="330">
        <f>T42</f>
        <v>45870</v>
      </c>
      <c r="T24" s="330">
        <f t="shared" ref="T24" si="4">U42</f>
        <v>45839</v>
      </c>
      <c r="U24" s="262" t="s">
        <v>257</v>
      </c>
      <c r="V24" s="330">
        <f>W42</f>
        <v>45809</v>
      </c>
      <c r="W24" s="326">
        <f t="shared" ref="W24" si="5">X42</f>
        <v>45778</v>
      </c>
      <c r="X24" s="328">
        <f>Y42</f>
        <v>45748</v>
      </c>
      <c r="Y24" s="262" t="s">
        <v>251</v>
      </c>
      <c r="Z24" s="330">
        <f>AA42</f>
        <v>45717</v>
      </c>
      <c r="AA24" s="330">
        <f t="shared" ref="AA24" si="6">AB42</f>
        <v>45689</v>
      </c>
      <c r="AB24" s="330">
        <f t="shared" ref="AB24" si="7">AC42</f>
        <v>45658</v>
      </c>
      <c r="AC24" s="271" t="s">
        <v>247</v>
      </c>
      <c r="AD24" s="330">
        <f>AE42</f>
        <v>45627</v>
      </c>
      <c r="AE24" s="330">
        <f t="shared" ref="AE24" si="8">AF42</f>
        <v>45597</v>
      </c>
      <c r="AF24" s="330">
        <f>AG42</f>
        <v>45566</v>
      </c>
      <c r="AG24" s="262" t="s">
        <v>237</v>
      </c>
      <c r="AH24" s="330">
        <v>45536</v>
      </c>
      <c r="AI24" s="330">
        <f>AJ42</f>
        <v>45505</v>
      </c>
      <c r="AJ24" s="330">
        <f t="shared" ref="AJ24" si="9">AK42</f>
        <v>45474</v>
      </c>
      <c r="AK24" s="262" t="s">
        <v>232</v>
      </c>
      <c r="AL24" s="330">
        <f>AM42</f>
        <v>45444</v>
      </c>
      <c r="AM24" s="326">
        <f t="shared" ref="AM24" si="10">AN42</f>
        <v>45413</v>
      </c>
      <c r="AN24" s="328">
        <f>AO42</f>
        <v>45383</v>
      </c>
      <c r="AO24" s="262" t="s">
        <v>225</v>
      </c>
      <c r="AP24" s="330">
        <f>AQ42</f>
        <v>45352</v>
      </c>
      <c r="AQ24" s="330">
        <f t="shared" ref="AQ24" si="11">AR42</f>
        <v>45323</v>
      </c>
      <c r="AR24" s="330">
        <f t="shared" ref="AR24" si="12">AS42</f>
        <v>45292</v>
      </c>
      <c r="AS24" s="271" t="s">
        <v>222</v>
      </c>
      <c r="AT24" s="330">
        <f>AU42</f>
        <v>45261</v>
      </c>
      <c r="AU24" s="330">
        <f t="shared" ref="AU24" si="13">AV42</f>
        <v>45231</v>
      </c>
      <c r="AV24" s="330">
        <f>AW42</f>
        <v>45200</v>
      </c>
      <c r="AW24" s="262" t="s">
        <v>215</v>
      </c>
      <c r="AX24" s="330">
        <v>45170</v>
      </c>
      <c r="AY24" s="330">
        <f>AZ42</f>
        <v>45139</v>
      </c>
      <c r="AZ24" s="330">
        <f t="shared" ref="AZ24" si="14">BA42</f>
        <v>45108</v>
      </c>
      <c r="BA24" s="262" t="s">
        <v>210</v>
      </c>
      <c r="BB24" s="330">
        <f>BC42</f>
        <v>45078</v>
      </c>
      <c r="BC24" s="326">
        <f t="shared" ref="BC24" si="15">BD42</f>
        <v>45047</v>
      </c>
      <c r="BD24" s="328">
        <f>BE42</f>
        <v>45017</v>
      </c>
      <c r="BE24" s="262" t="s">
        <v>203</v>
      </c>
      <c r="BF24" s="330">
        <f>BG42</f>
        <v>44986</v>
      </c>
      <c r="BG24" s="330">
        <f t="shared" ref="BG24" si="16">BH42</f>
        <v>44958</v>
      </c>
      <c r="BH24" s="330">
        <f t="shared" ref="BH24" si="17">BI42</f>
        <v>44927</v>
      </c>
      <c r="BI24" s="271" t="s">
        <v>198</v>
      </c>
      <c r="BJ24" s="330">
        <f>BK42</f>
        <v>44896</v>
      </c>
      <c r="BK24" s="330">
        <f t="shared" ref="BK24" si="18">BL42</f>
        <v>44866</v>
      </c>
      <c r="BL24" s="330">
        <f>BM42</f>
        <v>44835</v>
      </c>
      <c r="BM24" s="262" t="s">
        <v>195</v>
      </c>
      <c r="BN24" s="330">
        <v>44805</v>
      </c>
      <c r="BO24" s="330">
        <f>BP42</f>
        <v>44774</v>
      </c>
      <c r="BP24" s="330">
        <f t="shared" ref="BP24" si="19">BQ42</f>
        <v>44743</v>
      </c>
      <c r="BQ24" s="262" t="s">
        <v>189</v>
      </c>
      <c r="BR24" s="330">
        <f>BS42</f>
        <v>44713</v>
      </c>
      <c r="BS24" s="326">
        <f t="shared" ref="BS24" si="20">BT42</f>
        <v>44682</v>
      </c>
      <c r="BT24" s="328">
        <f>BU42</f>
        <v>44652</v>
      </c>
      <c r="BU24" s="262" t="s">
        <v>179</v>
      </c>
      <c r="BV24" s="330">
        <f>BW42</f>
        <v>44621</v>
      </c>
      <c r="BW24" s="330">
        <f t="shared" ref="BW24" si="21">BX42</f>
        <v>44593</v>
      </c>
      <c r="BX24" s="330">
        <f t="shared" ref="BX24" si="22">BY42</f>
        <v>44562</v>
      </c>
      <c r="BY24" s="271" t="s">
        <v>174</v>
      </c>
      <c r="BZ24" s="330">
        <f>CA42</f>
        <v>44531</v>
      </c>
      <c r="CA24" s="330">
        <f t="shared" ref="CA24" si="23">CB42</f>
        <v>44501</v>
      </c>
      <c r="CB24" s="330">
        <f>CC42</f>
        <v>44470</v>
      </c>
      <c r="CC24" s="262" t="s">
        <v>170</v>
      </c>
      <c r="CD24" s="330">
        <f>CE42</f>
        <v>44440</v>
      </c>
      <c r="CE24" s="330">
        <f>CF42</f>
        <v>44409</v>
      </c>
      <c r="CF24" s="330">
        <f t="shared" ref="CF24" si="24">CG42</f>
        <v>44378</v>
      </c>
      <c r="CG24" s="262" t="s">
        <v>152</v>
      </c>
      <c r="CH24" s="330">
        <f>CI42</f>
        <v>44348</v>
      </c>
      <c r="CI24" s="330">
        <f t="shared" ref="CI24" si="25">CJ42</f>
        <v>44317</v>
      </c>
      <c r="CJ24" s="330">
        <f>CK42</f>
        <v>44287</v>
      </c>
      <c r="CK24" s="262" t="s">
        <v>143</v>
      </c>
      <c r="CL24" s="330">
        <f>CM42</f>
        <v>44256</v>
      </c>
      <c r="CM24" s="330">
        <f t="shared" ref="CM24:CN24" si="26">CN42</f>
        <v>44228</v>
      </c>
      <c r="CN24" s="330">
        <f t="shared" si="26"/>
        <v>44197</v>
      </c>
      <c r="CO24" s="262" t="s">
        <v>144</v>
      </c>
      <c r="CP24" s="330">
        <f>CQ42</f>
        <v>44166</v>
      </c>
      <c r="CQ24" s="330">
        <f t="shared" ref="CQ24:CR24" si="27">CR42</f>
        <v>44136</v>
      </c>
      <c r="CR24" s="330">
        <f t="shared" si="27"/>
        <v>44105</v>
      </c>
      <c r="CS24" s="262" t="s">
        <v>92</v>
      </c>
      <c r="CT24" s="330">
        <f>CU42</f>
        <v>44075</v>
      </c>
      <c r="CU24" s="330">
        <f t="shared" ref="CU24:CV24" si="28">CV42</f>
        <v>44044</v>
      </c>
      <c r="CV24" s="330">
        <f t="shared" si="28"/>
        <v>44013</v>
      </c>
      <c r="CW24" s="262" t="s">
        <v>93</v>
      </c>
      <c r="CX24" s="330">
        <f>CY42</f>
        <v>43983</v>
      </c>
      <c r="CY24" s="330">
        <f t="shared" ref="CY24:CZ24" si="29">CZ42</f>
        <v>43952</v>
      </c>
      <c r="CZ24" s="330">
        <f t="shared" si="29"/>
        <v>43922</v>
      </c>
      <c r="DA24" s="262" t="s">
        <v>88</v>
      </c>
      <c r="DB24" s="330">
        <f>DC42</f>
        <v>43891</v>
      </c>
      <c r="DC24" s="330">
        <f t="shared" ref="DC24:DD24" si="30">DD42</f>
        <v>43862</v>
      </c>
      <c r="DD24" s="330">
        <f t="shared" si="30"/>
        <v>43831</v>
      </c>
      <c r="DE24" s="262" t="s">
        <v>94</v>
      </c>
      <c r="DF24" s="262" t="s">
        <v>95</v>
      </c>
      <c r="DG24" s="262" t="s">
        <v>96</v>
      </c>
      <c r="DH24" s="262" t="s">
        <v>89</v>
      </c>
      <c r="DI24" s="262" t="s">
        <v>97</v>
      </c>
      <c r="DJ24" s="262" t="s">
        <v>98</v>
      </c>
      <c r="DK24" s="262" t="s">
        <v>99</v>
      </c>
      <c r="DL24" s="262" t="s">
        <v>90</v>
      </c>
      <c r="DM24" s="262" t="s">
        <v>100</v>
      </c>
      <c r="DN24" s="262" t="s">
        <v>101</v>
      </c>
      <c r="DO24" s="262" t="s">
        <v>102</v>
      </c>
      <c r="DP24" s="262" t="s">
        <v>91</v>
      </c>
      <c r="DQ24" s="28"/>
    </row>
    <row r="25" spans="1:121" ht="15.75" x14ac:dyDescent="0.25">
      <c r="A25" s="28"/>
      <c r="B25" s="296"/>
      <c r="C25" s="319"/>
      <c r="D25" s="319"/>
      <c r="E25" s="321"/>
      <c r="F25" s="323"/>
      <c r="G25" s="327"/>
      <c r="H25" s="329"/>
      <c r="I25" s="263"/>
      <c r="J25" s="331"/>
      <c r="K25" s="331"/>
      <c r="L25" s="333"/>
      <c r="M25" s="272"/>
      <c r="N25" s="331"/>
      <c r="O25" s="331"/>
      <c r="P25" s="331"/>
      <c r="Q25" s="263"/>
      <c r="R25" s="331"/>
      <c r="S25" s="331"/>
      <c r="T25" s="331"/>
      <c r="U25" s="263"/>
      <c r="V25" s="331"/>
      <c r="W25" s="327"/>
      <c r="X25" s="329"/>
      <c r="Y25" s="263"/>
      <c r="Z25" s="331"/>
      <c r="AA25" s="331"/>
      <c r="AB25" s="331"/>
      <c r="AC25" s="272"/>
      <c r="AD25" s="331"/>
      <c r="AE25" s="331"/>
      <c r="AF25" s="331"/>
      <c r="AG25" s="263"/>
      <c r="AH25" s="331"/>
      <c r="AI25" s="331"/>
      <c r="AJ25" s="331"/>
      <c r="AK25" s="263"/>
      <c r="AL25" s="331"/>
      <c r="AM25" s="327"/>
      <c r="AN25" s="329"/>
      <c r="AO25" s="263"/>
      <c r="AP25" s="331"/>
      <c r="AQ25" s="331"/>
      <c r="AR25" s="331"/>
      <c r="AS25" s="272"/>
      <c r="AT25" s="331"/>
      <c r="AU25" s="331"/>
      <c r="AV25" s="331"/>
      <c r="AW25" s="263"/>
      <c r="AX25" s="331"/>
      <c r="AY25" s="331"/>
      <c r="AZ25" s="331"/>
      <c r="BA25" s="263"/>
      <c r="BB25" s="331"/>
      <c r="BC25" s="327"/>
      <c r="BD25" s="329"/>
      <c r="BE25" s="263"/>
      <c r="BF25" s="331"/>
      <c r="BG25" s="331"/>
      <c r="BH25" s="331"/>
      <c r="BI25" s="272"/>
      <c r="BJ25" s="331"/>
      <c r="BK25" s="331"/>
      <c r="BL25" s="331"/>
      <c r="BM25" s="263"/>
      <c r="BN25" s="331"/>
      <c r="BO25" s="331"/>
      <c r="BP25" s="331"/>
      <c r="BQ25" s="263"/>
      <c r="BR25" s="331"/>
      <c r="BS25" s="327"/>
      <c r="BT25" s="329"/>
      <c r="BU25" s="263"/>
      <c r="BV25" s="331"/>
      <c r="BW25" s="331"/>
      <c r="BX25" s="331"/>
      <c r="BY25" s="272"/>
      <c r="BZ25" s="331"/>
      <c r="CA25" s="331"/>
      <c r="CB25" s="331"/>
      <c r="CC25" s="263"/>
      <c r="CD25" s="331"/>
      <c r="CE25" s="331"/>
      <c r="CF25" s="331"/>
      <c r="CG25" s="263"/>
      <c r="CH25" s="331"/>
      <c r="CI25" s="331"/>
      <c r="CJ25" s="331"/>
      <c r="CK25" s="263"/>
      <c r="CL25" s="331"/>
      <c r="CM25" s="331"/>
      <c r="CN25" s="331"/>
      <c r="CO25" s="263"/>
      <c r="CP25" s="331"/>
      <c r="CQ25" s="331"/>
      <c r="CR25" s="331"/>
      <c r="CS25" s="263"/>
      <c r="CT25" s="331"/>
      <c r="CU25" s="331"/>
      <c r="CV25" s="331"/>
      <c r="CW25" s="263"/>
      <c r="CX25" s="331"/>
      <c r="CY25" s="331"/>
      <c r="CZ25" s="331"/>
      <c r="DA25" s="263"/>
      <c r="DB25" s="331"/>
      <c r="DC25" s="331"/>
      <c r="DD25" s="331"/>
      <c r="DE25" s="263"/>
      <c r="DF25" s="263"/>
      <c r="DG25" s="263"/>
      <c r="DH25" s="263"/>
      <c r="DI25" s="263"/>
      <c r="DJ25" s="263"/>
      <c r="DK25" s="263"/>
      <c r="DL25" s="263"/>
      <c r="DM25" s="263"/>
      <c r="DN25" s="263"/>
      <c r="DO25" s="263"/>
      <c r="DP25" s="263"/>
      <c r="DQ25" s="36"/>
    </row>
    <row r="26" spans="1:121" ht="15.75" x14ac:dyDescent="0.25">
      <c r="A26" s="28"/>
      <c r="B26" s="4" t="s">
        <v>59</v>
      </c>
      <c r="C26" s="38"/>
      <c r="D26" s="38"/>
      <c r="E26" s="38"/>
      <c r="F26" s="92"/>
      <c r="G26" s="72"/>
      <c r="H26" s="72"/>
      <c r="I26" s="31"/>
      <c r="J26" s="72"/>
      <c r="K26" s="72"/>
      <c r="L26" s="72"/>
      <c r="M26" s="31"/>
      <c r="N26" s="72"/>
      <c r="O26" s="72"/>
      <c r="P26" s="72"/>
      <c r="Q26" s="31"/>
      <c r="R26" s="72"/>
      <c r="S26" s="72"/>
      <c r="T26" s="72"/>
      <c r="U26" s="31"/>
      <c r="V26" s="72"/>
      <c r="W26" s="72"/>
      <c r="X26" s="72"/>
      <c r="Y26" s="31"/>
      <c r="Z26" s="72"/>
      <c r="AA26" s="72"/>
      <c r="AB26" s="72"/>
      <c r="AC26" s="31"/>
      <c r="AD26" s="72"/>
      <c r="AE26" s="72"/>
      <c r="AF26" s="72"/>
      <c r="AG26" s="31"/>
      <c r="AH26" s="72"/>
      <c r="AI26" s="72"/>
      <c r="AJ26" s="72"/>
      <c r="AK26" s="31"/>
      <c r="AL26" s="72"/>
      <c r="AM26" s="72"/>
      <c r="AN26" s="72"/>
      <c r="AO26" s="31"/>
      <c r="AP26" s="72"/>
      <c r="AQ26" s="72"/>
      <c r="AR26" s="72"/>
      <c r="AS26" s="31"/>
      <c r="AT26" s="72"/>
      <c r="AU26" s="72"/>
      <c r="AV26" s="72"/>
      <c r="AW26" s="31"/>
      <c r="AX26" s="72"/>
      <c r="AY26" s="72"/>
      <c r="AZ26" s="72"/>
      <c r="BA26" s="31"/>
      <c r="BB26" s="72"/>
      <c r="BC26" s="72"/>
      <c r="BD26" s="72"/>
      <c r="BE26" s="31"/>
      <c r="BF26" s="72"/>
      <c r="BG26" s="72"/>
      <c r="BH26" s="72"/>
      <c r="BI26" s="31"/>
      <c r="BJ26" s="72"/>
      <c r="BK26" s="72"/>
      <c r="BL26" s="72"/>
      <c r="BM26" s="31"/>
      <c r="BN26" s="72"/>
      <c r="BO26" s="72"/>
      <c r="BP26" s="72"/>
      <c r="BQ26" s="31"/>
      <c r="BR26" s="72"/>
      <c r="BS26" s="72"/>
      <c r="BT26" s="72"/>
      <c r="BU26" s="31"/>
      <c r="BV26" s="72"/>
      <c r="BW26" s="72"/>
      <c r="BX26" s="72"/>
      <c r="BY26" s="31"/>
      <c r="BZ26" s="72"/>
      <c r="CA26" s="72"/>
      <c r="CB26" s="72"/>
      <c r="CC26" s="31"/>
      <c r="CD26" s="72"/>
      <c r="CE26" s="72"/>
      <c r="CF26" s="72"/>
      <c r="CG26" s="31"/>
      <c r="CH26" s="72"/>
      <c r="CI26" s="72"/>
      <c r="CJ26" s="72"/>
      <c r="CK26" s="31"/>
      <c r="CL26" s="72"/>
      <c r="CM26" s="72"/>
      <c r="CN26" s="72"/>
      <c r="CO26" s="31"/>
      <c r="CP26" s="72"/>
      <c r="CQ26" s="72"/>
      <c r="CR26" s="72"/>
      <c r="CS26" s="31"/>
      <c r="CT26" s="72"/>
      <c r="CU26" s="72"/>
      <c r="CV26" s="72"/>
      <c r="CW26" s="31"/>
      <c r="CX26" s="72"/>
      <c r="CY26" s="72"/>
      <c r="CZ26" s="72"/>
      <c r="DA26" s="31"/>
      <c r="DB26" s="72"/>
      <c r="DC26" s="72"/>
      <c r="DD26" s="72"/>
      <c r="DE26" s="39"/>
      <c r="DF26" s="39"/>
      <c r="DG26" s="39"/>
      <c r="DH26" s="39"/>
      <c r="DI26" s="37"/>
      <c r="DJ26" s="37"/>
      <c r="DK26" s="37"/>
      <c r="DL26" s="37"/>
      <c r="DM26" s="37"/>
      <c r="DN26" s="37"/>
      <c r="DO26" s="37"/>
      <c r="DP26" s="37"/>
      <c r="DQ26" s="36"/>
    </row>
    <row r="27" spans="1:121" ht="15.75" x14ac:dyDescent="0.25">
      <c r="A27" s="28"/>
      <c r="B27" s="37" t="s">
        <v>70</v>
      </c>
      <c r="C27" s="30"/>
      <c r="D27" s="30"/>
      <c r="E27" s="30"/>
      <c r="F27" s="92"/>
      <c r="G27" s="72"/>
      <c r="H27" s="72"/>
      <c r="I27" s="31"/>
      <c r="J27" s="72"/>
      <c r="K27" s="72"/>
      <c r="L27" s="72"/>
      <c r="M27" s="31"/>
      <c r="N27" s="72"/>
      <c r="O27" s="72"/>
      <c r="P27" s="72"/>
      <c r="Q27" s="31"/>
      <c r="R27" s="72"/>
      <c r="S27" s="72"/>
      <c r="T27" s="72"/>
      <c r="U27" s="31"/>
      <c r="V27" s="72"/>
      <c r="W27" s="72"/>
      <c r="X27" s="72"/>
      <c r="Y27" s="31"/>
      <c r="Z27" s="72"/>
      <c r="AA27" s="72"/>
      <c r="AB27" s="72"/>
      <c r="AC27" s="31"/>
      <c r="AD27" s="72"/>
      <c r="AE27" s="72"/>
      <c r="AF27" s="72"/>
      <c r="AG27" s="31"/>
      <c r="AH27" s="72"/>
      <c r="AI27" s="72"/>
      <c r="AJ27" s="72"/>
      <c r="AK27" s="31"/>
      <c r="AL27" s="72"/>
      <c r="AM27" s="72"/>
      <c r="AN27" s="72"/>
      <c r="AO27" s="31"/>
      <c r="AP27" s="72"/>
      <c r="AQ27" s="72"/>
      <c r="AR27" s="72"/>
      <c r="AS27" s="31"/>
      <c r="AT27" s="72"/>
      <c r="AU27" s="72"/>
      <c r="AV27" s="72"/>
      <c r="AW27" s="31"/>
      <c r="AX27" s="72"/>
      <c r="AY27" s="72"/>
      <c r="AZ27" s="72"/>
      <c r="BA27" s="31"/>
      <c r="BB27" s="72"/>
      <c r="BC27" s="72"/>
      <c r="BD27" s="72"/>
      <c r="BE27" s="31"/>
      <c r="BF27" s="72"/>
      <c r="BG27" s="72"/>
      <c r="BH27" s="72"/>
      <c r="BI27" s="31"/>
      <c r="BJ27" s="72"/>
      <c r="BK27" s="72"/>
      <c r="BL27" s="72"/>
      <c r="BM27" s="31"/>
      <c r="BN27" s="72"/>
      <c r="BO27" s="72"/>
      <c r="BP27" s="72"/>
      <c r="BQ27" s="31"/>
      <c r="BR27" s="72"/>
      <c r="BS27" s="72"/>
      <c r="BT27" s="72"/>
      <c r="BU27" s="31"/>
      <c r="BV27" s="72"/>
      <c r="BW27" s="72"/>
      <c r="BX27" s="72"/>
      <c r="BY27" s="31"/>
      <c r="BZ27" s="72"/>
      <c r="CA27" s="72"/>
      <c r="CB27" s="72"/>
      <c r="CC27" s="31"/>
      <c r="CD27" s="72"/>
      <c r="CE27" s="72"/>
      <c r="CF27" s="72"/>
      <c r="CG27" s="31"/>
      <c r="CH27" s="72"/>
      <c r="CI27" s="72"/>
      <c r="CJ27" s="72"/>
      <c r="CK27" s="31"/>
      <c r="CL27" s="72"/>
      <c r="CM27" s="72"/>
      <c r="CN27" s="72"/>
      <c r="CO27" s="31"/>
      <c r="CP27" s="72"/>
      <c r="CQ27" s="72"/>
      <c r="CR27" s="72"/>
      <c r="CS27" s="31"/>
      <c r="CT27" s="72"/>
      <c r="CU27" s="72"/>
      <c r="CV27" s="72"/>
      <c r="CW27" s="31"/>
      <c r="CX27" s="72"/>
      <c r="CY27" s="72"/>
      <c r="CZ27" s="72"/>
      <c r="DA27" s="31"/>
      <c r="DB27" s="72"/>
      <c r="DC27" s="72"/>
      <c r="DD27" s="72"/>
      <c r="DE27" s="31"/>
      <c r="DF27" s="31"/>
      <c r="DG27" s="31"/>
      <c r="DH27" s="31"/>
      <c r="DI27" s="37"/>
      <c r="DJ27" s="37"/>
      <c r="DK27" s="37"/>
      <c r="DL27" s="37"/>
      <c r="DM27" s="37"/>
      <c r="DN27" s="37"/>
      <c r="DO27" s="37"/>
      <c r="DP27" s="37"/>
      <c r="DQ27" s="36"/>
    </row>
    <row r="28" spans="1:121" ht="15.75" x14ac:dyDescent="0.25">
      <c r="A28" s="28"/>
      <c r="B28" s="5" t="s">
        <v>61</v>
      </c>
      <c r="C28" s="30"/>
      <c r="D28" s="30"/>
      <c r="E28" s="30"/>
      <c r="F28" s="92"/>
      <c r="G28" s="77"/>
      <c r="H28" s="77"/>
      <c r="I28" s="40"/>
      <c r="J28" s="77"/>
      <c r="K28" s="77"/>
      <c r="L28" s="77"/>
      <c r="M28" s="40"/>
      <c r="N28" s="77"/>
      <c r="O28" s="77"/>
      <c r="P28" s="77"/>
      <c r="Q28" s="40"/>
      <c r="R28" s="77"/>
      <c r="S28" s="77"/>
      <c r="T28" s="77"/>
      <c r="U28" s="40"/>
      <c r="V28" s="77"/>
      <c r="W28" s="77"/>
      <c r="X28" s="77"/>
      <c r="Y28" s="40"/>
      <c r="Z28" s="77"/>
      <c r="AA28" s="77"/>
      <c r="AB28" s="77"/>
      <c r="AC28" s="40"/>
      <c r="AD28" s="77"/>
      <c r="AE28" s="77"/>
      <c r="AF28" s="77"/>
      <c r="AG28" s="40"/>
      <c r="AH28" s="77"/>
      <c r="AI28" s="77"/>
      <c r="AJ28" s="77"/>
      <c r="AK28" s="40"/>
      <c r="AL28" s="77"/>
      <c r="AM28" s="77"/>
      <c r="AN28" s="77"/>
      <c r="AO28" s="40"/>
      <c r="AP28" s="77"/>
      <c r="AQ28" s="77"/>
      <c r="AR28" s="77"/>
      <c r="AS28" s="40"/>
      <c r="AT28" s="77"/>
      <c r="AU28" s="77"/>
      <c r="AV28" s="77"/>
      <c r="AW28" s="40"/>
      <c r="AX28" s="77"/>
      <c r="AY28" s="77"/>
      <c r="AZ28" s="77"/>
      <c r="BA28" s="40"/>
      <c r="BB28" s="77"/>
      <c r="BC28" s="77"/>
      <c r="BD28" s="77"/>
      <c r="BE28" s="40"/>
      <c r="BF28" s="77"/>
      <c r="BG28" s="77"/>
      <c r="BH28" s="77"/>
      <c r="BI28" s="40"/>
      <c r="BJ28" s="77"/>
      <c r="BK28" s="77"/>
      <c r="BL28" s="77"/>
      <c r="BM28" s="40"/>
      <c r="BN28" s="77"/>
      <c r="BO28" s="77"/>
      <c r="BP28" s="77"/>
      <c r="BQ28" s="40"/>
      <c r="BR28" s="77"/>
      <c r="BS28" s="77"/>
      <c r="BT28" s="77"/>
      <c r="BU28" s="40"/>
      <c r="BV28" s="77"/>
      <c r="BW28" s="77"/>
      <c r="BX28" s="77"/>
      <c r="BY28" s="40"/>
      <c r="BZ28" s="77"/>
      <c r="CA28" s="77"/>
      <c r="CB28" s="77"/>
      <c r="CC28" s="40"/>
      <c r="CD28" s="77"/>
      <c r="CE28" s="77"/>
      <c r="CF28" s="77"/>
      <c r="CG28" s="40"/>
      <c r="CH28" s="77"/>
      <c r="CI28" s="77"/>
      <c r="CJ28" s="77"/>
      <c r="CK28" s="40"/>
      <c r="CL28" s="77"/>
      <c r="CM28" s="77"/>
      <c r="CN28" s="77"/>
      <c r="CO28" s="40"/>
      <c r="CP28" s="77"/>
      <c r="CQ28" s="77"/>
      <c r="CR28" s="77"/>
      <c r="CS28" s="40"/>
      <c r="CT28" s="77"/>
      <c r="CU28" s="77"/>
      <c r="CV28" s="77"/>
      <c r="CW28" s="40"/>
      <c r="CX28" s="77"/>
      <c r="CY28" s="77"/>
      <c r="CZ28" s="77"/>
      <c r="DA28" s="40"/>
      <c r="DB28" s="77"/>
      <c r="DC28" s="77"/>
      <c r="DD28" s="77"/>
      <c r="DE28" s="40"/>
      <c r="DF28" s="40"/>
      <c r="DG28" s="40"/>
      <c r="DH28" s="40"/>
      <c r="DI28" s="40"/>
      <c r="DJ28" s="40"/>
      <c r="DK28" s="40"/>
      <c r="DL28" s="40"/>
      <c r="DM28" s="40"/>
      <c r="DN28" s="40"/>
      <c r="DO28" s="40"/>
      <c r="DP28" s="40"/>
      <c r="DQ28" s="36"/>
    </row>
    <row r="29" spans="1:121" ht="15.75" x14ac:dyDescent="0.25">
      <c r="A29" s="28"/>
      <c r="B29" s="5" t="s">
        <v>62</v>
      </c>
      <c r="C29" s="30"/>
      <c r="D29" s="30"/>
      <c r="E29" s="30"/>
      <c r="F29" s="92"/>
      <c r="G29" s="77"/>
      <c r="H29" s="77"/>
      <c r="I29" s="40"/>
      <c r="J29" s="77"/>
      <c r="K29" s="77"/>
      <c r="L29" s="77"/>
      <c r="M29" s="40"/>
      <c r="N29" s="77"/>
      <c r="O29" s="77"/>
      <c r="P29" s="77"/>
      <c r="Q29" s="40"/>
      <c r="R29" s="77"/>
      <c r="S29" s="77"/>
      <c r="T29" s="77"/>
      <c r="U29" s="40"/>
      <c r="V29" s="77"/>
      <c r="W29" s="77"/>
      <c r="X29" s="77"/>
      <c r="Y29" s="40"/>
      <c r="Z29" s="77"/>
      <c r="AA29" s="77"/>
      <c r="AB29" s="77"/>
      <c r="AC29" s="40"/>
      <c r="AD29" s="77"/>
      <c r="AE29" s="77"/>
      <c r="AF29" s="77"/>
      <c r="AG29" s="40"/>
      <c r="AH29" s="77"/>
      <c r="AI29" s="77"/>
      <c r="AJ29" s="77"/>
      <c r="AK29" s="40"/>
      <c r="AL29" s="77"/>
      <c r="AM29" s="77"/>
      <c r="AN29" s="77"/>
      <c r="AO29" s="40"/>
      <c r="AP29" s="77"/>
      <c r="AQ29" s="77"/>
      <c r="AR29" s="77"/>
      <c r="AS29" s="40"/>
      <c r="AT29" s="77"/>
      <c r="AU29" s="77"/>
      <c r="AV29" s="77"/>
      <c r="AW29" s="40"/>
      <c r="AX29" s="77"/>
      <c r="AY29" s="77"/>
      <c r="AZ29" s="77"/>
      <c r="BA29" s="40"/>
      <c r="BB29" s="77"/>
      <c r="BC29" s="77"/>
      <c r="BD29" s="77"/>
      <c r="BE29" s="40"/>
      <c r="BF29" s="77"/>
      <c r="BG29" s="77"/>
      <c r="BH29" s="77"/>
      <c r="BI29" s="40"/>
      <c r="BJ29" s="77"/>
      <c r="BK29" s="77"/>
      <c r="BL29" s="77"/>
      <c r="BM29" s="40"/>
      <c r="BN29" s="77"/>
      <c r="BO29" s="77"/>
      <c r="BP29" s="77"/>
      <c r="BQ29" s="40"/>
      <c r="BR29" s="77"/>
      <c r="BS29" s="77"/>
      <c r="BT29" s="77"/>
      <c r="BU29" s="40"/>
      <c r="BV29" s="77"/>
      <c r="BW29" s="77"/>
      <c r="BX29" s="77"/>
      <c r="BY29" s="40"/>
      <c r="BZ29" s="77"/>
      <c r="CA29" s="77"/>
      <c r="CB29" s="77"/>
      <c r="CC29" s="40"/>
      <c r="CD29" s="77"/>
      <c r="CE29" s="77"/>
      <c r="CF29" s="77"/>
      <c r="CG29" s="40"/>
      <c r="CH29" s="77"/>
      <c r="CI29" s="77"/>
      <c r="CJ29" s="77"/>
      <c r="CK29" s="40"/>
      <c r="CL29" s="77"/>
      <c r="CM29" s="77"/>
      <c r="CN29" s="77"/>
      <c r="CO29" s="40"/>
      <c r="CP29" s="77"/>
      <c r="CQ29" s="77"/>
      <c r="CR29" s="77"/>
      <c r="CS29" s="40"/>
      <c r="CT29" s="77"/>
      <c r="CU29" s="77"/>
      <c r="CV29" s="77"/>
      <c r="CW29" s="40"/>
      <c r="CX29" s="77"/>
      <c r="CY29" s="77"/>
      <c r="CZ29" s="77"/>
      <c r="DA29" s="40"/>
      <c r="DB29" s="77"/>
      <c r="DC29" s="77"/>
      <c r="DD29" s="77"/>
      <c r="DE29" s="40"/>
      <c r="DF29" s="40"/>
      <c r="DG29" s="40"/>
      <c r="DH29" s="40"/>
      <c r="DI29" s="40"/>
      <c r="DJ29" s="40"/>
      <c r="DK29" s="40"/>
      <c r="DL29" s="40"/>
      <c r="DM29" s="40"/>
      <c r="DN29" s="40"/>
      <c r="DO29" s="40"/>
      <c r="DP29" s="40"/>
      <c r="DQ29" s="36"/>
    </row>
    <row r="30" spans="1:121" ht="15.75" x14ac:dyDescent="0.25">
      <c r="A30" s="28"/>
      <c r="B30" s="6" t="s">
        <v>63</v>
      </c>
      <c r="C30" s="30"/>
      <c r="D30" s="30"/>
      <c r="E30" s="30"/>
      <c r="F30" s="92"/>
      <c r="G30" s="74"/>
      <c r="H30" s="74"/>
      <c r="I30" s="32"/>
      <c r="J30" s="74"/>
      <c r="K30" s="74"/>
      <c r="L30" s="74"/>
      <c r="M30" s="32"/>
      <c r="N30" s="74"/>
      <c r="O30" s="74"/>
      <c r="P30" s="74"/>
      <c r="Q30" s="32"/>
      <c r="R30" s="74"/>
      <c r="S30" s="74"/>
      <c r="T30" s="74"/>
      <c r="U30" s="32"/>
      <c r="V30" s="74"/>
      <c r="W30" s="74"/>
      <c r="X30" s="74"/>
      <c r="Y30" s="32"/>
      <c r="Z30" s="74"/>
      <c r="AA30" s="74"/>
      <c r="AB30" s="74"/>
      <c r="AC30" s="32"/>
      <c r="AD30" s="74"/>
      <c r="AE30" s="74"/>
      <c r="AF30" s="74"/>
      <c r="AG30" s="32"/>
      <c r="AH30" s="74"/>
      <c r="AI30" s="74"/>
      <c r="AJ30" s="74"/>
      <c r="AK30" s="32"/>
      <c r="AL30" s="74"/>
      <c r="AM30" s="74"/>
      <c r="AN30" s="74"/>
      <c r="AO30" s="32"/>
      <c r="AP30" s="74"/>
      <c r="AQ30" s="74"/>
      <c r="AR30" s="74"/>
      <c r="AS30" s="32"/>
      <c r="AT30" s="74"/>
      <c r="AU30" s="74"/>
      <c r="AV30" s="74"/>
      <c r="AW30" s="32"/>
      <c r="AX30" s="74"/>
      <c r="AY30" s="74"/>
      <c r="AZ30" s="74"/>
      <c r="BA30" s="32"/>
      <c r="BB30" s="74"/>
      <c r="BC30" s="74"/>
      <c r="BD30" s="74"/>
      <c r="BE30" s="32"/>
      <c r="BF30" s="74"/>
      <c r="BG30" s="74"/>
      <c r="BH30" s="74"/>
      <c r="BI30" s="32"/>
      <c r="BJ30" s="74"/>
      <c r="BK30" s="74"/>
      <c r="BL30" s="74"/>
      <c r="BM30" s="32"/>
      <c r="BN30" s="74"/>
      <c r="BO30" s="74"/>
      <c r="BP30" s="74"/>
      <c r="BQ30" s="32"/>
      <c r="BR30" s="74"/>
      <c r="BS30" s="74"/>
      <c r="BT30" s="74"/>
      <c r="BU30" s="32"/>
      <c r="BV30" s="74"/>
      <c r="BW30" s="74"/>
      <c r="BX30" s="74"/>
      <c r="BY30" s="32"/>
      <c r="BZ30" s="74"/>
      <c r="CA30" s="74"/>
      <c r="CB30" s="74"/>
      <c r="CC30" s="32"/>
      <c r="CD30" s="74"/>
      <c r="CE30" s="74"/>
      <c r="CF30" s="74"/>
      <c r="CG30" s="32"/>
      <c r="CH30" s="74"/>
      <c r="CI30" s="74"/>
      <c r="CJ30" s="74"/>
      <c r="CK30" s="32"/>
      <c r="CL30" s="74"/>
      <c r="CM30" s="74"/>
      <c r="CN30" s="74"/>
      <c r="CO30" s="32"/>
      <c r="CP30" s="74"/>
      <c r="CQ30" s="74"/>
      <c r="CR30" s="74"/>
      <c r="CS30" s="32"/>
      <c r="CT30" s="74"/>
      <c r="CU30" s="74"/>
      <c r="CV30" s="74"/>
      <c r="CW30" s="32"/>
      <c r="CX30" s="74"/>
      <c r="CY30" s="74"/>
      <c r="CZ30" s="74"/>
      <c r="DA30" s="32"/>
      <c r="DB30" s="74"/>
      <c r="DC30" s="74"/>
      <c r="DD30" s="74"/>
      <c r="DE30" s="32"/>
      <c r="DF30" s="32"/>
      <c r="DG30" s="32"/>
      <c r="DH30" s="32"/>
      <c r="DI30" s="32"/>
      <c r="DJ30" s="32"/>
      <c r="DK30" s="32"/>
      <c r="DL30" s="32"/>
      <c r="DM30" s="32"/>
      <c r="DN30" s="32"/>
      <c r="DO30" s="32"/>
      <c r="DP30" s="40"/>
      <c r="DQ30" s="36"/>
    </row>
    <row r="31" spans="1:121" ht="15.75" x14ac:dyDescent="0.25">
      <c r="A31" s="28"/>
      <c r="B31" s="5" t="s">
        <v>64</v>
      </c>
      <c r="C31" s="30"/>
      <c r="D31" s="30"/>
      <c r="E31" s="30"/>
      <c r="F31" s="92"/>
      <c r="G31" s="77"/>
      <c r="H31" s="77"/>
      <c r="I31" s="40"/>
      <c r="J31" s="77"/>
      <c r="K31" s="77"/>
      <c r="L31" s="77"/>
      <c r="M31" s="40"/>
      <c r="N31" s="77"/>
      <c r="O31" s="77"/>
      <c r="P31" s="77"/>
      <c r="Q31" s="40"/>
      <c r="R31" s="77"/>
      <c r="S31" s="77"/>
      <c r="T31" s="77"/>
      <c r="U31" s="40"/>
      <c r="V31" s="77"/>
      <c r="W31" s="77"/>
      <c r="X31" s="77"/>
      <c r="Y31" s="40"/>
      <c r="Z31" s="77"/>
      <c r="AA31" s="77"/>
      <c r="AB31" s="77"/>
      <c r="AC31" s="40"/>
      <c r="AD31" s="77"/>
      <c r="AE31" s="77"/>
      <c r="AF31" s="77"/>
      <c r="AG31" s="40"/>
      <c r="AH31" s="77"/>
      <c r="AI31" s="77"/>
      <c r="AJ31" s="77"/>
      <c r="AK31" s="40"/>
      <c r="AL31" s="77"/>
      <c r="AM31" s="77"/>
      <c r="AN31" s="77"/>
      <c r="AO31" s="40"/>
      <c r="AP31" s="77"/>
      <c r="AQ31" s="77"/>
      <c r="AR31" s="77"/>
      <c r="AS31" s="40"/>
      <c r="AT31" s="77"/>
      <c r="AU31" s="77"/>
      <c r="AV31" s="77"/>
      <c r="AW31" s="40"/>
      <c r="AX31" s="77"/>
      <c r="AY31" s="77"/>
      <c r="AZ31" s="77"/>
      <c r="BA31" s="40"/>
      <c r="BB31" s="77"/>
      <c r="BC31" s="77"/>
      <c r="BD31" s="77"/>
      <c r="BE31" s="40"/>
      <c r="BF31" s="77"/>
      <c r="BG31" s="77"/>
      <c r="BH31" s="77"/>
      <c r="BI31" s="40"/>
      <c r="BJ31" s="77"/>
      <c r="BK31" s="77"/>
      <c r="BL31" s="77"/>
      <c r="BM31" s="40"/>
      <c r="BN31" s="77"/>
      <c r="BO31" s="77"/>
      <c r="BP31" s="77"/>
      <c r="BQ31" s="40"/>
      <c r="BR31" s="77"/>
      <c r="BS31" s="77"/>
      <c r="BT31" s="77"/>
      <c r="BU31" s="40"/>
      <c r="BV31" s="77"/>
      <c r="BW31" s="77"/>
      <c r="BX31" s="77"/>
      <c r="BY31" s="40"/>
      <c r="BZ31" s="77"/>
      <c r="CA31" s="77"/>
      <c r="CB31" s="77"/>
      <c r="CC31" s="40"/>
      <c r="CD31" s="77"/>
      <c r="CE31" s="77"/>
      <c r="CF31" s="77"/>
      <c r="CG31" s="40"/>
      <c r="CH31" s="77"/>
      <c r="CI31" s="77"/>
      <c r="CJ31" s="77"/>
      <c r="CK31" s="40"/>
      <c r="CL31" s="77"/>
      <c r="CM31" s="77"/>
      <c r="CN31" s="77"/>
      <c r="CO31" s="40"/>
      <c r="CP31" s="77"/>
      <c r="CQ31" s="77"/>
      <c r="CR31" s="77"/>
      <c r="CS31" s="40"/>
      <c r="CT31" s="77"/>
      <c r="CU31" s="77"/>
      <c r="CV31" s="77"/>
      <c r="CW31" s="40"/>
      <c r="CX31" s="77"/>
      <c r="CY31" s="77"/>
      <c r="CZ31" s="77"/>
      <c r="DA31" s="40"/>
      <c r="DB31" s="77"/>
      <c r="DC31" s="77"/>
      <c r="DD31" s="77"/>
      <c r="DE31" s="40"/>
      <c r="DF31" s="40"/>
      <c r="DG31" s="40"/>
      <c r="DH31" s="40"/>
      <c r="DI31" s="40"/>
      <c r="DJ31" s="40"/>
      <c r="DK31" s="40"/>
      <c r="DL31" s="40"/>
      <c r="DM31" s="40"/>
      <c r="DN31" s="40"/>
      <c r="DO31" s="40"/>
      <c r="DP31" s="40"/>
      <c r="DQ31" s="36"/>
    </row>
    <row r="32" spans="1:121" ht="15.75" x14ac:dyDescent="0.25">
      <c r="A32" s="28"/>
      <c r="B32" s="7" t="s">
        <v>65</v>
      </c>
      <c r="C32" s="99"/>
      <c r="D32" s="99"/>
      <c r="E32" s="99"/>
      <c r="F32" s="95"/>
      <c r="G32" s="73"/>
      <c r="H32" s="73"/>
      <c r="I32" s="42"/>
      <c r="J32" s="73"/>
      <c r="K32" s="73"/>
      <c r="L32" s="73"/>
      <c r="M32" s="42"/>
      <c r="N32" s="73"/>
      <c r="O32" s="73"/>
      <c r="P32" s="73"/>
      <c r="Q32" s="42"/>
      <c r="R32" s="73"/>
      <c r="S32" s="73"/>
      <c r="T32" s="73"/>
      <c r="U32" s="42"/>
      <c r="V32" s="73"/>
      <c r="W32" s="73"/>
      <c r="X32" s="73"/>
      <c r="Y32" s="42"/>
      <c r="Z32" s="73"/>
      <c r="AA32" s="73"/>
      <c r="AB32" s="73"/>
      <c r="AC32" s="42"/>
      <c r="AD32" s="73"/>
      <c r="AE32" s="73"/>
      <c r="AF32" s="73"/>
      <c r="AG32" s="42"/>
      <c r="AH32" s="73"/>
      <c r="AI32" s="73"/>
      <c r="AJ32" s="73"/>
      <c r="AK32" s="42"/>
      <c r="AL32" s="73"/>
      <c r="AM32" s="73"/>
      <c r="AN32" s="73"/>
      <c r="AO32" s="42"/>
      <c r="AP32" s="73"/>
      <c r="AQ32" s="73"/>
      <c r="AR32" s="73"/>
      <c r="AS32" s="42"/>
      <c r="AT32" s="73"/>
      <c r="AU32" s="73"/>
      <c r="AV32" s="73"/>
      <c r="AW32" s="42"/>
      <c r="AX32" s="73"/>
      <c r="AY32" s="73"/>
      <c r="AZ32" s="73"/>
      <c r="BA32" s="42"/>
      <c r="BB32" s="73"/>
      <c r="BC32" s="73"/>
      <c r="BD32" s="73"/>
      <c r="BE32" s="42"/>
      <c r="BF32" s="73"/>
      <c r="BG32" s="73"/>
      <c r="BH32" s="73"/>
      <c r="BI32" s="42"/>
      <c r="BJ32" s="73"/>
      <c r="BK32" s="73"/>
      <c r="BL32" s="73"/>
      <c r="BM32" s="42"/>
      <c r="BN32" s="73"/>
      <c r="BO32" s="73"/>
      <c r="BP32" s="73"/>
      <c r="BQ32" s="42"/>
      <c r="BR32" s="73"/>
      <c r="BS32" s="73"/>
      <c r="BT32" s="73"/>
      <c r="BU32" s="42"/>
      <c r="BV32" s="73"/>
      <c r="BW32" s="73"/>
      <c r="BX32" s="73"/>
      <c r="BY32" s="42"/>
      <c r="BZ32" s="73"/>
      <c r="CA32" s="73"/>
      <c r="CB32" s="73"/>
      <c r="CC32" s="42"/>
      <c r="CD32" s="73"/>
      <c r="CE32" s="73"/>
      <c r="CF32" s="73"/>
      <c r="CG32" s="42"/>
      <c r="CH32" s="73"/>
      <c r="CI32" s="73"/>
      <c r="CJ32" s="73"/>
      <c r="CK32" s="42"/>
      <c r="CL32" s="73"/>
      <c r="CM32" s="73"/>
      <c r="CN32" s="73"/>
      <c r="CO32" s="42"/>
      <c r="CP32" s="73"/>
      <c r="CQ32" s="73"/>
      <c r="CR32" s="73"/>
      <c r="CS32" s="42"/>
      <c r="CT32" s="73"/>
      <c r="CU32" s="73"/>
      <c r="CV32" s="73"/>
      <c r="CW32" s="42"/>
      <c r="CX32" s="73"/>
      <c r="CY32" s="73"/>
      <c r="CZ32" s="73"/>
      <c r="DA32" s="42"/>
      <c r="DB32" s="73"/>
      <c r="DC32" s="73"/>
      <c r="DD32" s="73"/>
      <c r="DE32" s="42"/>
      <c r="DF32" s="42"/>
      <c r="DG32" s="42"/>
      <c r="DH32" s="42"/>
      <c r="DI32" s="42"/>
      <c r="DJ32" s="42"/>
      <c r="DK32" s="42"/>
      <c r="DL32" s="42"/>
      <c r="DM32" s="42"/>
      <c r="DN32" s="42"/>
      <c r="DO32" s="42"/>
      <c r="DP32" s="42"/>
      <c r="DQ32" s="36"/>
    </row>
    <row r="33" spans="1:121" ht="15.75" x14ac:dyDescent="0.25">
      <c r="A33" s="28"/>
      <c r="B33" s="29" t="s">
        <v>66</v>
      </c>
      <c r="C33" s="30"/>
      <c r="D33" s="30"/>
      <c r="E33" s="30"/>
      <c r="F33" s="92"/>
      <c r="G33" s="74"/>
      <c r="H33" s="74"/>
      <c r="I33" s="32"/>
      <c r="J33" s="74"/>
      <c r="K33" s="74"/>
      <c r="L33" s="74"/>
      <c r="M33" s="32"/>
      <c r="N33" s="74"/>
      <c r="O33" s="74"/>
      <c r="P33" s="74"/>
      <c r="Q33" s="32"/>
      <c r="R33" s="74"/>
      <c r="S33" s="74"/>
      <c r="T33" s="74"/>
      <c r="U33" s="32"/>
      <c r="V33" s="74"/>
      <c r="W33" s="74"/>
      <c r="X33" s="74"/>
      <c r="Y33" s="32"/>
      <c r="Z33" s="74"/>
      <c r="AA33" s="74"/>
      <c r="AB33" s="74"/>
      <c r="AC33" s="32"/>
      <c r="AD33" s="74"/>
      <c r="AE33" s="74"/>
      <c r="AF33" s="74"/>
      <c r="AG33" s="32"/>
      <c r="AH33" s="74"/>
      <c r="AI33" s="74"/>
      <c r="AJ33" s="74"/>
      <c r="AK33" s="32"/>
      <c r="AL33" s="74"/>
      <c r="AM33" s="74"/>
      <c r="AN33" s="74"/>
      <c r="AO33" s="32"/>
      <c r="AP33" s="74"/>
      <c r="AQ33" s="74"/>
      <c r="AR33" s="74"/>
      <c r="AS33" s="32"/>
      <c r="AT33" s="74"/>
      <c r="AU33" s="74"/>
      <c r="AV33" s="74"/>
      <c r="AW33" s="32"/>
      <c r="AX33" s="74"/>
      <c r="AY33" s="74"/>
      <c r="AZ33" s="74"/>
      <c r="BA33" s="32"/>
      <c r="BB33" s="74"/>
      <c r="BC33" s="74"/>
      <c r="BD33" s="74"/>
      <c r="BE33" s="32"/>
      <c r="BF33" s="74"/>
      <c r="BG33" s="74"/>
      <c r="BH33" s="74"/>
      <c r="BI33" s="32"/>
      <c r="BJ33" s="74"/>
      <c r="BK33" s="74"/>
      <c r="BL33" s="74"/>
      <c r="BM33" s="32"/>
      <c r="BN33" s="74"/>
      <c r="BO33" s="74"/>
      <c r="BP33" s="74"/>
      <c r="BQ33" s="32"/>
      <c r="BR33" s="74"/>
      <c r="BS33" s="74"/>
      <c r="BT33" s="74"/>
      <c r="BU33" s="32"/>
      <c r="BV33" s="74"/>
      <c r="BW33" s="74"/>
      <c r="BX33" s="74"/>
      <c r="BY33" s="32"/>
      <c r="BZ33" s="74"/>
      <c r="CA33" s="74"/>
      <c r="CB33" s="74"/>
      <c r="CC33" s="32"/>
      <c r="CD33" s="74"/>
      <c r="CE33" s="74"/>
      <c r="CF33" s="74"/>
      <c r="CG33" s="32"/>
      <c r="CH33" s="74"/>
      <c r="CI33" s="74"/>
      <c r="CJ33" s="74"/>
      <c r="CK33" s="32"/>
      <c r="CL33" s="74"/>
      <c r="CM33" s="74"/>
      <c r="CN33" s="74"/>
      <c r="CO33" s="32"/>
      <c r="CP33" s="74"/>
      <c r="CQ33" s="74"/>
      <c r="CR33" s="74"/>
      <c r="CS33" s="32"/>
      <c r="CT33" s="74"/>
      <c r="CU33" s="74"/>
      <c r="CV33" s="74"/>
      <c r="CW33" s="32"/>
      <c r="CX33" s="74"/>
      <c r="CY33" s="74"/>
      <c r="CZ33" s="74"/>
      <c r="DA33" s="32"/>
      <c r="DB33" s="74"/>
      <c r="DC33" s="74"/>
      <c r="DD33" s="74"/>
      <c r="DE33" s="32"/>
      <c r="DF33" s="32"/>
      <c r="DG33" s="32"/>
      <c r="DH33" s="32"/>
      <c r="DI33" s="32"/>
      <c r="DJ33" s="32"/>
      <c r="DK33" s="32"/>
      <c r="DL33" s="32"/>
      <c r="DM33" s="32"/>
      <c r="DN33" s="32"/>
      <c r="DO33" s="32"/>
      <c r="DP33" s="32"/>
      <c r="DQ33" s="36"/>
    </row>
    <row r="34" spans="1:121" ht="15.75" x14ac:dyDescent="0.25">
      <c r="A34" s="28"/>
      <c r="B34" s="29" t="s">
        <v>67</v>
      </c>
      <c r="C34" s="30"/>
      <c r="D34" s="30"/>
      <c r="E34" s="30"/>
      <c r="F34" s="92"/>
      <c r="G34" s="74"/>
      <c r="H34" s="74"/>
      <c r="I34" s="32"/>
      <c r="J34" s="74"/>
      <c r="K34" s="74"/>
      <c r="L34" s="74"/>
      <c r="M34" s="32"/>
      <c r="N34" s="74"/>
      <c r="O34" s="74"/>
      <c r="P34" s="74"/>
      <c r="Q34" s="32"/>
      <c r="R34" s="74"/>
      <c r="S34" s="74"/>
      <c r="T34" s="74"/>
      <c r="U34" s="32"/>
      <c r="V34" s="74"/>
      <c r="W34" s="74"/>
      <c r="X34" s="74"/>
      <c r="Y34" s="32"/>
      <c r="Z34" s="74"/>
      <c r="AA34" s="74"/>
      <c r="AB34" s="74"/>
      <c r="AC34" s="32"/>
      <c r="AD34" s="74"/>
      <c r="AE34" s="74"/>
      <c r="AF34" s="74"/>
      <c r="AG34" s="32"/>
      <c r="AH34" s="74"/>
      <c r="AI34" s="74"/>
      <c r="AJ34" s="74"/>
      <c r="AK34" s="32"/>
      <c r="AL34" s="74"/>
      <c r="AM34" s="74"/>
      <c r="AN34" s="74"/>
      <c r="AO34" s="32"/>
      <c r="AP34" s="74"/>
      <c r="AQ34" s="74"/>
      <c r="AR34" s="74"/>
      <c r="AS34" s="32"/>
      <c r="AT34" s="74"/>
      <c r="AU34" s="74"/>
      <c r="AV34" s="74"/>
      <c r="AW34" s="32"/>
      <c r="AX34" s="74"/>
      <c r="AY34" s="74"/>
      <c r="AZ34" s="74"/>
      <c r="BA34" s="32"/>
      <c r="BB34" s="74"/>
      <c r="BC34" s="74"/>
      <c r="BD34" s="74"/>
      <c r="BE34" s="32"/>
      <c r="BF34" s="74"/>
      <c r="BG34" s="74"/>
      <c r="BH34" s="74"/>
      <c r="BI34" s="32"/>
      <c r="BJ34" s="74"/>
      <c r="BK34" s="74"/>
      <c r="BL34" s="74"/>
      <c r="BM34" s="32"/>
      <c r="BN34" s="74"/>
      <c r="BO34" s="74"/>
      <c r="BP34" s="74"/>
      <c r="BQ34" s="32"/>
      <c r="BR34" s="74"/>
      <c r="BS34" s="74"/>
      <c r="BT34" s="74"/>
      <c r="BU34" s="32"/>
      <c r="BV34" s="74"/>
      <c r="BW34" s="74"/>
      <c r="BX34" s="74"/>
      <c r="BY34" s="32"/>
      <c r="BZ34" s="74"/>
      <c r="CA34" s="74"/>
      <c r="CB34" s="74"/>
      <c r="CC34" s="32"/>
      <c r="CD34" s="74"/>
      <c r="CE34" s="74"/>
      <c r="CF34" s="74"/>
      <c r="CG34" s="32"/>
      <c r="CH34" s="74"/>
      <c r="CI34" s="74"/>
      <c r="CJ34" s="74"/>
      <c r="CK34" s="32"/>
      <c r="CL34" s="74"/>
      <c r="CM34" s="74"/>
      <c r="CN34" s="74"/>
      <c r="CO34" s="32"/>
      <c r="CP34" s="74"/>
      <c r="CQ34" s="74"/>
      <c r="CR34" s="74"/>
      <c r="CS34" s="32"/>
      <c r="CT34" s="74"/>
      <c r="CU34" s="74"/>
      <c r="CV34" s="74"/>
      <c r="CW34" s="32"/>
      <c r="CX34" s="74"/>
      <c r="CY34" s="74"/>
      <c r="CZ34" s="74"/>
      <c r="DA34" s="32"/>
      <c r="DB34" s="74"/>
      <c r="DC34" s="74"/>
      <c r="DD34" s="74"/>
      <c r="DE34" s="32"/>
      <c r="DF34" s="32"/>
      <c r="DG34" s="32"/>
      <c r="DH34" s="32"/>
      <c r="DI34" s="32"/>
      <c r="DJ34" s="32"/>
      <c r="DK34" s="32"/>
      <c r="DL34" s="32"/>
      <c r="DM34" s="32"/>
      <c r="DN34" s="32"/>
      <c r="DO34" s="32"/>
      <c r="DP34" s="32"/>
      <c r="DQ34" s="36"/>
    </row>
    <row r="35" spans="1:121" ht="15.75" x14ac:dyDescent="0.25">
      <c r="A35" s="28"/>
      <c r="B35" s="162" t="s">
        <v>184</v>
      </c>
      <c r="C35" s="30"/>
      <c r="D35" s="86"/>
      <c r="E35" s="86"/>
      <c r="F35" s="92"/>
      <c r="G35" s="74"/>
      <c r="H35" s="74"/>
      <c r="I35" s="32"/>
      <c r="J35" s="74"/>
      <c r="K35" s="74"/>
      <c r="L35" s="74"/>
      <c r="M35" s="32"/>
      <c r="N35" s="74"/>
      <c r="O35" s="74"/>
      <c r="P35" s="74"/>
      <c r="Q35" s="32"/>
      <c r="R35" s="74"/>
      <c r="S35" s="74"/>
      <c r="T35" s="74"/>
      <c r="U35" s="32"/>
      <c r="V35" s="74"/>
      <c r="W35" s="74"/>
      <c r="X35" s="74"/>
      <c r="Y35" s="32"/>
      <c r="Z35" s="74"/>
      <c r="AA35" s="74"/>
      <c r="AB35" s="74"/>
      <c r="AC35" s="32"/>
      <c r="AD35" s="74"/>
      <c r="AE35" s="74"/>
      <c r="AF35" s="74"/>
      <c r="AG35" s="32"/>
      <c r="AH35" s="74"/>
      <c r="AI35" s="74"/>
      <c r="AJ35" s="74"/>
      <c r="AK35" s="32"/>
      <c r="AL35" s="74"/>
      <c r="AM35" s="74"/>
      <c r="AN35" s="74"/>
      <c r="AO35" s="32"/>
      <c r="AP35" s="74"/>
      <c r="AQ35" s="74"/>
      <c r="AR35" s="74"/>
      <c r="AS35" s="32"/>
      <c r="AT35" s="74"/>
      <c r="AU35" s="74"/>
      <c r="AV35" s="74"/>
      <c r="AW35" s="32"/>
      <c r="AX35" s="74"/>
      <c r="AY35" s="74"/>
      <c r="AZ35" s="74"/>
      <c r="BA35" s="32"/>
      <c r="BB35" s="74"/>
      <c r="BC35" s="74"/>
      <c r="BD35" s="74"/>
      <c r="BE35" s="32"/>
      <c r="BF35" s="74"/>
      <c r="BG35" s="74"/>
      <c r="BH35" s="74"/>
      <c r="BI35" s="32"/>
      <c r="BJ35" s="74"/>
      <c r="BK35" s="74"/>
      <c r="BL35" s="74"/>
      <c r="BM35" s="32"/>
      <c r="BN35" s="74"/>
      <c r="BO35" s="74"/>
      <c r="BP35" s="74"/>
      <c r="BQ35" s="32"/>
      <c r="BR35" s="74"/>
      <c r="BS35" s="74"/>
      <c r="BT35" s="74"/>
      <c r="BU35" s="32"/>
      <c r="BV35" s="74"/>
      <c r="BW35" s="74"/>
      <c r="BX35" s="74"/>
      <c r="BY35" s="32"/>
      <c r="BZ35" s="74"/>
      <c r="CA35" s="74"/>
      <c r="CB35" s="74"/>
      <c r="CC35" s="32"/>
      <c r="CD35" s="74"/>
      <c r="CE35" s="74"/>
      <c r="CF35" s="74"/>
      <c r="CG35" s="32"/>
      <c r="CH35" s="74"/>
      <c r="CI35" s="74"/>
      <c r="CJ35" s="74"/>
      <c r="CK35" s="32"/>
      <c r="CL35" s="74"/>
      <c r="CM35" s="74"/>
      <c r="CN35" s="74"/>
      <c r="CO35" s="32"/>
      <c r="CP35" s="74"/>
      <c r="CQ35" s="74"/>
      <c r="CR35" s="74"/>
      <c r="CS35" s="32"/>
      <c r="CT35" s="74"/>
      <c r="CU35" s="74"/>
      <c r="CV35" s="74"/>
      <c r="CW35" s="32"/>
      <c r="CX35" s="74"/>
      <c r="CY35" s="74"/>
      <c r="CZ35" s="74"/>
      <c r="DA35" s="32"/>
      <c r="DB35" s="74"/>
      <c r="DC35" s="74"/>
      <c r="DD35" s="74"/>
      <c r="DE35" s="32"/>
      <c r="DF35" s="32"/>
      <c r="DG35" s="32"/>
      <c r="DH35" s="32"/>
      <c r="DI35" s="32"/>
      <c r="DJ35" s="32"/>
      <c r="DK35" s="32"/>
      <c r="DL35" s="32"/>
      <c r="DM35" s="32"/>
      <c r="DN35" s="32"/>
      <c r="DO35" s="32"/>
      <c r="DP35" s="32"/>
      <c r="DQ35" s="36"/>
    </row>
    <row r="36" spans="1:121" s="154" customFormat="1" ht="15.75" x14ac:dyDescent="0.25">
      <c r="A36" s="150"/>
      <c r="B36" s="33" t="s">
        <v>166</v>
      </c>
      <c r="C36" s="99"/>
      <c r="D36" s="99"/>
      <c r="E36" s="99"/>
      <c r="F36" s="95"/>
      <c r="G36" s="151"/>
      <c r="H36" s="151"/>
      <c r="I36" s="152"/>
      <c r="J36" s="151"/>
      <c r="K36" s="151"/>
      <c r="L36" s="151"/>
      <c r="M36" s="152"/>
      <c r="N36" s="151"/>
      <c r="O36" s="151"/>
      <c r="P36" s="151"/>
      <c r="Q36" s="152"/>
      <c r="R36" s="151"/>
      <c r="S36" s="151"/>
      <c r="T36" s="151"/>
      <c r="U36" s="152"/>
      <c r="V36" s="151"/>
      <c r="W36" s="151"/>
      <c r="X36" s="151"/>
      <c r="Y36" s="152"/>
      <c r="Z36" s="151"/>
      <c r="AA36" s="151"/>
      <c r="AB36" s="151"/>
      <c r="AC36" s="152"/>
      <c r="AD36" s="151"/>
      <c r="AE36" s="151"/>
      <c r="AF36" s="151"/>
      <c r="AG36" s="152"/>
      <c r="AH36" s="151"/>
      <c r="AI36" s="151"/>
      <c r="AJ36" s="151"/>
      <c r="AK36" s="152"/>
      <c r="AL36" s="151"/>
      <c r="AM36" s="151"/>
      <c r="AN36" s="151"/>
      <c r="AO36" s="152"/>
      <c r="AP36" s="151"/>
      <c r="AQ36" s="151"/>
      <c r="AR36" s="151"/>
      <c r="AS36" s="152"/>
      <c r="AT36" s="151"/>
      <c r="AU36" s="151"/>
      <c r="AV36" s="151"/>
      <c r="AW36" s="152"/>
      <c r="AX36" s="151"/>
      <c r="AY36" s="151"/>
      <c r="AZ36" s="151"/>
      <c r="BA36" s="152"/>
      <c r="BB36" s="151"/>
      <c r="BC36" s="151"/>
      <c r="BD36" s="151"/>
      <c r="BE36" s="152"/>
      <c r="BF36" s="151"/>
      <c r="BG36" s="151"/>
      <c r="BH36" s="151"/>
      <c r="BI36" s="152"/>
      <c r="BJ36" s="151"/>
      <c r="BK36" s="151"/>
      <c r="BL36" s="151"/>
      <c r="BM36" s="152"/>
      <c r="BN36" s="151"/>
      <c r="BO36" s="151"/>
      <c r="BP36" s="151"/>
      <c r="BQ36" s="152"/>
      <c r="BR36" s="151"/>
      <c r="BS36" s="151"/>
      <c r="BT36" s="151"/>
      <c r="BU36" s="152"/>
      <c r="BV36" s="151"/>
      <c r="BW36" s="151"/>
      <c r="BX36" s="151"/>
      <c r="BY36" s="152"/>
      <c r="BZ36" s="151"/>
      <c r="CA36" s="151"/>
      <c r="CB36" s="151"/>
      <c r="CC36" s="152"/>
      <c r="CD36" s="151"/>
      <c r="CE36" s="151"/>
      <c r="CF36" s="151"/>
      <c r="CG36" s="152"/>
      <c r="CH36" s="151"/>
      <c r="CI36" s="151"/>
      <c r="CJ36" s="151"/>
      <c r="CK36" s="152"/>
      <c r="CL36" s="151"/>
      <c r="CM36" s="151"/>
      <c r="CN36" s="151"/>
      <c r="CO36" s="152"/>
      <c r="CP36" s="151"/>
      <c r="CQ36" s="151"/>
      <c r="CR36" s="151"/>
      <c r="CS36" s="152"/>
      <c r="CT36" s="151"/>
      <c r="CU36" s="151"/>
      <c r="CV36" s="151"/>
      <c r="CW36" s="152"/>
      <c r="CX36" s="151"/>
      <c r="CY36" s="151"/>
      <c r="CZ36" s="151"/>
      <c r="DA36" s="152"/>
      <c r="DB36" s="151"/>
      <c r="DC36" s="151"/>
      <c r="DD36" s="151"/>
      <c r="DE36" s="152"/>
      <c r="DF36" s="152"/>
      <c r="DG36" s="152"/>
      <c r="DH36" s="152"/>
      <c r="DI36" s="152"/>
      <c r="DJ36" s="152"/>
      <c r="DK36" s="152"/>
      <c r="DL36" s="152"/>
      <c r="DM36" s="152"/>
      <c r="DN36" s="152"/>
      <c r="DO36" s="152"/>
      <c r="DP36" s="152"/>
      <c r="DQ36" s="153"/>
    </row>
    <row r="37" spans="1:121" ht="15.75" x14ac:dyDescent="0.25">
      <c r="A37" s="28"/>
      <c r="B37" s="29" t="s">
        <v>167</v>
      </c>
      <c r="C37" s="30"/>
      <c r="D37" s="30"/>
      <c r="E37" s="30"/>
      <c r="F37" s="92"/>
      <c r="G37" s="74"/>
      <c r="H37" s="74"/>
      <c r="I37" s="32"/>
      <c r="J37" s="74"/>
      <c r="K37" s="74"/>
      <c r="L37" s="74"/>
      <c r="M37" s="32"/>
      <c r="N37" s="74"/>
      <c r="O37" s="74"/>
      <c r="P37" s="74"/>
      <c r="Q37" s="32"/>
      <c r="R37" s="74"/>
      <c r="S37" s="74"/>
      <c r="T37" s="74"/>
      <c r="U37" s="32"/>
      <c r="V37" s="74"/>
      <c r="W37" s="74"/>
      <c r="X37" s="74"/>
      <c r="Y37" s="32"/>
      <c r="Z37" s="74"/>
      <c r="AA37" s="74"/>
      <c r="AB37" s="74"/>
      <c r="AC37" s="32"/>
      <c r="AD37" s="74"/>
      <c r="AE37" s="74"/>
      <c r="AF37" s="74"/>
      <c r="AG37" s="32"/>
      <c r="AH37" s="74"/>
      <c r="AI37" s="74"/>
      <c r="AJ37" s="74"/>
      <c r="AK37" s="32"/>
      <c r="AL37" s="74"/>
      <c r="AM37" s="74"/>
      <c r="AN37" s="74"/>
      <c r="AO37" s="32"/>
      <c r="AP37" s="74"/>
      <c r="AQ37" s="74"/>
      <c r="AR37" s="74"/>
      <c r="AS37" s="32"/>
      <c r="AT37" s="74"/>
      <c r="AU37" s="74"/>
      <c r="AV37" s="74"/>
      <c r="AW37" s="32"/>
      <c r="AX37" s="74"/>
      <c r="AY37" s="74"/>
      <c r="AZ37" s="74"/>
      <c r="BA37" s="32"/>
      <c r="BB37" s="74"/>
      <c r="BC37" s="74"/>
      <c r="BD37" s="74"/>
      <c r="BE37" s="32"/>
      <c r="BF37" s="74"/>
      <c r="BG37" s="74"/>
      <c r="BH37" s="74"/>
      <c r="BI37" s="32"/>
      <c r="BJ37" s="74"/>
      <c r="BK37" s="74"/>
      <c r="BL37" s="74"/>
      <c r="BM37" s="32"/>
      <c r="BN37" s="74"/>
      <c r="BO37" s="74"/>
      <c r="BP37" s="74"/>
      <c r="BQ37" s="32"/>
      <c r="BR37" s="74"/>
      <c r="BS37" s="74"/>
      <c r="BT37" s="74"/>
      <c r="BU37" s="32"/>
      <c r="BV37" s="74"/>
      <c r="BW37" s="74"/>
      <c r="BX37" s="74"/>
      <c r="BY37" s="32"/>
      <c r="BZ37" s="74"/>
      <c r="CA37" s="74"/>
      <c r="CB37" s="74"/>
      <c r="CC37" s="32"/>
      <c r="CD37" s="74"/>
      <c r="CE37" s="74"/>
      <c r="CF37" s="74"/>
      <c r="CG37" s="32"/>
      <c r="CH37" s="74"/>
      <c r="CI37" s="74"/>
      <c r="CJ37" s="74"/>
      <c r="CK37" s="32"/>
      <c r="CL37" s="74"/>
      <c r="CM37" s="74"/>
      <c r="CN37" s="74"/>
      <c r="CO37" s="32"/>
      <c r="CP37" s="74"/>
      <c r="CQ37" s="74"/>
      <c r="CR37" s="74"/>
      <c r="CS37" s="32"/>
      <c r="CT37" s="74"/>
      <c r="CU37" s="74"/>
      <c r="CV37" s="74"/>
      <c r="CW37" s="32"/>
      <c r="CX37" s="74"/>
      <c r="CY37" s="74"/>
      <c r="CZ37" s="74"/>
      <c r="DA37" s="32"/>
      <c r="DB37" s="74"/>
      <c r="DC37" s="74"/>
      <c r="DD37" s="74"/>
      <c r="DE37" s="32"/>
      <c r="DF37" s="32"/>
      <c r="DG37" s="32"/>
      <c r="DH37" s="32"/>
      <c r="DI37" s="32"/>
      <c r="DJ37" s="32"/>
      <c r="DK37" s="32"/>
      <c r="DL37" s="32"/>
      <c r="DM37" s="32"/>
      <c r="DN37" s="32"/>
      <c r="DO37" s="32"/>
      <c r="DP37" s="32"/>
      <c r="DQ37" s="36"/>
    </row>
    <row r="38" spans="1:121" ht="15.75" x14ac:dyDescent="0.25">
      <c r="A38" s="28"/>
      <c r="B38" s="33" t="s">
        <v>68</v>
      </c>
      <c r="C38" s="99"/>
      <c r="D38" s="99"/>
      <c r="E38" s="99"/>
      <c r="F38" s="95"/>
      <c r="G38" s="73"/>
      <c r="H38" s="73"/>
      <c r="I38" s="42"/>
      <c r="J38" s="73"/>
      <c r="K38" s="73"/>
      <c r="L38" s="73"/>
      <c r="M38" s="42"/>
      <c r="N38" s="73"/>
      <c r="O38" s="73"/>
      <c r="P38" s="73"/>
      <c r="Q38" s="42"/>
      <c r="R38" s="73"/>
      <c r="S38" s="73"/>
      <c r="T38" s="73"/>
      <c r="U38" s="42"/>
      <c r="V38" s="73"/>
      <c r="W38" s="73"/>
      <c r="X38" s="73"/>
      <c r="Y38" s="42"/>
      <c r="Z38" s="73"/>
      <c r="AA38" s="73"/>
      <c r="AB38" s="73"/>
      <c r="AC38" s="42"/>
      <c r="AD38" s="73"/>
      <c r="AE38" s="73"/>
      <c r="AF38" s="73"/>
      <c r="AG38" s="42"/>
      <c r="AH38" s="73"/>
      <c r="AI38" s="73"/>
      <c r="AJ38" s="73"/>
      <c r="AK38" s="42"/>
      <c r="AL38" s="73"/>
      <c r="AM38" s="73"/>
      <c r="AN38" s="73"/>
      <c r="AO38" s="42"/>
      <c r="AP38" s="73"/>
      <c r="AQ38" s="73"/>
      <c r="AR38" s="73"/>
      <c r="AS38" s="42"/>
      <c r="AT38" s="73"/>
      <c r="AU38" s="73"/>
      <c r="AV38" s="73"/>
      <c r="AW38" s="42"/>
      <c r="AX38" s="73"/>
      <c r="AY38" s="73"/>
      <c r="AZ38" s="73"/>
      <c r="BA38" s="42"/>
      <c r="BB38" s="73"/>
      <c r="BC38" s="73"/>
      <c r="BD38" s="73"/>
      <c r="BE38" s="42"/>
      <c r="BF38" s="73"/>
      <c r="BG38" s="73"/>
      <c r="BH38" s="73"/>
      <c r="BI38" s="42"/>
      <c r="BJ38" s="73"/>
      <c r="BK38" s="73"/>
      <c r="BL38" s="73"/>
      <c r="BM38" s="42"/>
      <c r="BN38" s="73"/>
      <c r="BO38" s="73"/>
      <c r="BP38" s="73"/>
      <c r="BQ38" s="42"/>
      <c r="BR38" s="73"/>
      <c r="BS38" s="73"/>
      <c r="BT38" s="73"/>
      <c r="BU38" s="42"/>
      <c r="BV38" s="73"/>
      <c r="BW38" s="73"/>
      <c r="BX38" s="73"/>
      <c r="BY38" s="42"/>
      <c r="BZ38" s="73"/>
      <c r="CA38" s="73"/>
      <c r="CB38" s="73"/>
      <c r="CC38" s="42"/>
      <c r="CD38" s="73"/>
      <c r="CE38" s="73"/>
      <c r="CF38" s="73"/>
      <c r="CG38" s="42"/>
      <c r="CH38" s="73"/>
      <c r="CI38" s="73"/>
      <c r="CJ38" s="73"/>
      <c r="CK38" s="42"/>
      <c r="CL38" s="73"/>
      <c r="CM38" s="73"/>
      <c r="CN38" s="73"/>
      <c r="CO38" s="42"/>
      <c r="CP38" s="73"/>
      <c r="CQ38" s="73"/>
      <c r="CR38" s="73"/>
      <c r="CS38" s="42"/>
      <c r="CT38" s="73"/>
      <c r="CU38" s="73"/>
      <c r="CV38" s="73"/>
      <c r="CW38" s="42"/>
      <c r="CX38" s="73"/>
      <c r="CY38" s="73"/>
      <c r="CZ38" s="73"/>
      <c r="DA38" s="42"/>
      <c r="DB38" s="73"/>
      <c r="DC38" s="73"/>
      <c r="DD38" s="73"/>
      <c r="DE38" s="42"/>
      <c r="DF38" s="42"/>
      <c r="DG38" s="42"/>
      <c r="DH38" s="42"/>
      <c r="DI38" s="42"/>
      <c r="DJ38" s="42"/>
      <c r="DK38" s="42"/>
      <c r="DL38" s="42"/>
      <c r="DM38" s="42"/>
      <c r="DN38" s="42"/>
      <c r="DO38" s="42"/>
      <c r="DP38" s="42"/>
      <c r="DQ38" s="36"/>
    </row>
    <row r="39" spans="1:121" ht="14.1" customHeight="1" x14ac:dyDescent="0.25">
      <c r="A39" s="28"/>
      <c r="B39" s="33"/>
      <c r="C39" s="30"/>
      <c r="D39" s="86"/>
      <c r="E39" s="86"/>
      <c r="F39" s="92"/>
      <c r="G39" s="77"/>
      <c r="H39" s="77"/>
      <c r="I39" s="40"/>
      <c r="J39" s="77"/>
      <c r="K39" s="77"/>
      <c r="L39" s="77"/>
      <c r="M39" s="40"/>
      <c r="N39" s="72"/>
      <c r="O39" s="72"/>
      <c r="P39" s="77"/>
      <c r="Q39" s="40"/>
      <c r="R39" s="77"/>
      <c r="S39" s="77"/>
      <c r="T39" s="77"/>
      <c r="U39" s="40"/>
      <c r="V39" s="77"/>
      <c r="W39" s="77"/>
      <c r="X39" s="77"/>
      <c r="Y39" s="40"/>
      <c r="Z39" s="77"/>
      <c r="AA39" s="77"/>
      <c r="AB39" s="77"/>
      <c r="AC39" s="40"/>
      <c r="AD39" s="72"/>
      <c r="AE39" s="72"/>
      <c r="AF39" s="77"/>
      <c r="AG39" s="40"/>
      <c r="AH39" s="77"/>
      <c r="AI39" s="77"/>
      <c r="AJ39" s="77"/>
      <c r="AK39" s="40"/>
      <c r="AL39" s="77"/>
      <c r="AM39" s="77"/>
      <c r="AN39" s="77"/>
      <c r="AO39" s="40"/>
      <c r="AP39" s="77"/>
      <c r="AQ39" s="77"/>
      <c r="AR39" s="77"/>
      <c r="AS39" s="40"/>
      <c r="AT39" s="72"/>
      <c r="AU39" s="72"/>
      <c r="AV39" s="77"/>
      <c r="AW39" s="40"/>
      <c r="AX39" s="77"/>
      <c r="AY39" s="77"/>
      <c r="AZ39" s="77"/>
      <c r="BA39" s="40"/>
      <c r="BB39" s="77"/>
      <c r="BC39" s="77"/>
      <c r="BD39" s="77"/>
      <c r="BE39" s="40"/>
      <c r="BF39" s="77"/>
      <c r="BG39" s="77"/>
      <c r="BH39" s="77"/>
      <c r="BI39" s="40"/>
      <c r="BJ39" s="72"/>
      <c r="BK39" s="72"/>
      <c r="BL39" s="77"/>
      <c r="BM39" s="40"/>
      <c r="BN39" s="77"/>
      <c r="BO39" s="77"/>
      <c r="BP39" s="77"/>
      <c r="BQ39" s="40"/>
      <c r="BR39" s="77"/>
      <c r="BS39" s="77"/>
      <c r="BT39" s="77"/>
      <c r="BU39" s="40"/>
      <c r="BV39" s="77"/>
      <c r="BW39" s="77"/>
      <c r="BX39" s="77"/>
      <c r="BY39" s="40"/>
      <c r="BZ39" s="72"/>
      <c r="CA39" s="72"/>
      <c r="CB39" s="77"/>
      <c r="CC39" s="40"/>
      <c r="CD39" s="77"/>
      <c r="CE39" s="77"/>
      <c r="CF39" s="77"/>
      <c r="CG39" s="40"/>
      <c r="CH39" s="77"/>
      <c r="CI39" s="77"/>
      <c r="CJ39" s="77"/>
      <c r="CK39" s="40"/>
      <c r="CL39" s="77"/>
      <c r="CM39" s="77"/>
      <c r="CN39" s="77"/>
      <c r="CO39" s="40"/>
      <c r="CP39" s="72"/>
      <c r="CQ39" s="72"/>
      <c r="CR39" s="77"/>
      <c r="CS39" s="40"/>
      <c r="CT39" s="77"/>
      <c r="CU39" s="77"/>
      <c r="CV39" s="77"/>
      <c r="CW39" s="40"/>
      <c r="CX39" s="77"/>
      <c r="CY39" s="77"/>
      <c r="CZ39" s="77"/>
      <c r="DA39" s="40"/>
      <c r="DB39" s="77"/>
      <c r="DC39" s="77"/>
      <c r="DD39" s="77"/>
      <c r="DE39" s="40"/>
      <c r="DF39" s="40"/>
      <c r="DG39" s="40"/>
      <c r="DH39" s="40"/>
      <c r="DI39" s="40"/>
      <c r="DJ39" s="40"/>
      <c r="DK39" s="40"/>
      <c r="DL39" s="40"/>
      <c r="DM39" s="40"/>
      <c r="DN39" s="40"/>
      <c r="DO39" s="40"/>
      <c r="DP39" s="40"/>
      <c r="DQ39" s="36"/>
    </row>
    <row r="40" spans="1:121" ht="14.1" customHeight="1" x14ac:dyDescent="0.25">
      <c r="B40" s="29" t="s">
        <v>69</v>
      </c>
      <c r="C40" s="22"/>
      <c r="D40" s="87"/>
      <c r="E40" s="87"/>
      <c r="F40" s="91"/>
      <c r="G40" s="76"/>
      <c r="H40" s="76"/>
      <c r="I40" s="35"/>
      <c r="J40" s="76"/>
      <c r="K40" s="76"/>
      <c r="L40" s="76"/>
      <c r="M40" s="9"/>
      <c r="N40" s="76"/>
      <c r="O40" s="76"/>
      <c r="P40" s="76"/>
      <c r="Q40" s="9"/>
      <c r="R40" s="76"/>
      <c r="S40" s="76"/>
      <c r="T40" s="76"/>
      <c r="U40" s="9"/>
      <c r="V40" s="76"/>
      <c r="W40" s="76"/>
      <c r="X40" s="76"/>
      <c r="Y40" s="35"/>
      <c r="Z40" s="76"/>
      <c r="AA40" s="76"/>
      <c r="AB40" s="76"/>
      <c r="AC40" s="9"/>
      <c r="AD40" s="76"/>
      <c r="AE40" s="76"/>
      <c r="AF40" s="76"/>
      <c r="AG40" s="9"/>
      <c r="AH40" s="76"/>
      <c r="AI40" s="76"/>
      <c r="AJ40" s="76"/>
      <c r="AK40" s="9"/>
      <c r="AL40" s="76"/>
      <c r="AM40" s="76"/>
      <c r="AN40" s="76"/>
      <c r="AO40" s="35"/>
      <c r="AP40" s="76"/>
      <c r="AQ40" s="76"/>
      <c r="AR40" s="76"/>
      <c r="AS40" s="9"/>
      <c r="AT40" s="76"/>
      <c r="AU40" s="76"/>
      <c r="AV40" s="76"/>
      <c r="AW40" s="9"/>
      <c r="AX40" s="76"/>
      <c r="AY40" s="76"/>
      <c r="AZ40" s="76"/>
      <c r="BA40" s="9"/>
      <c r="BB40" s="76"/>
      <c r="BC40" s="76"/>
      <c r="BD40" s="76"/>
      <c r="BE40" s="35"/>
      <c r="BF40" s="76"/>
      <c r="BG40" s="76"/>
      <c r="BH40" s="76"/>
      <c r="BI40" s="9"/>
      <c r="BJ40" s="76"/>
      <c r="BK40" s="76"/>
      <c r="BL40" s="76"/>
      <c r="BM40" s="9"/>
      <c r="BN40" s="76"/>
      <c r="BO40" s="76"/>
      <c r="BP40" s="76"/>
      <c r="BQ40" s="9"/>
      <c r="BR40" s="76"/>
      <c r="BS40" s="76"/>
      <c r="BT40" s="76"/>
      <c r="BU40" s="35"/>
      <c r="BV40" s="76"/>
      <c r="BW40" s="76"/>
      <c r="BX40" s="76"/>
      <c r="BY40" s="9"/>
      <c r="BZ40" s="76"/>
      <c r="CA40" s="76"/>
      <c r="CB40" s="76"/>
      <c r="CC40" s="9"/>
      <c r="CD40" s="76"/>
      <c r="CE40" s="76"/>
      <c r="CF40" s="76"/>
      <c r="CG40" s="9"/>
      <c r="CH40" s="76"/>
      <c r="CI40" s="76"/>
      <c r="CJ40" s="76"/>
      <c r="CK40" s="35"/>
      <c r="CL40" s="76"/>
      <c r="CM40" s="76"/>
      <c r="CN40" s="76"/>
      <c r="CO40" s="9"/>
      <c r="CP40" s="76"/>
      <c r="CQ40" s="76"/>
      <c r="CR40" s="76"/>
      <c r="CS40" s="9"/>
      <c r="CT40" s="76"/>
      <c r="CU40" s="76"/>
      <c r="CV40" s="76"/>
      <c r="CW40" s="9"/>
      <c r="CX40" s="76"/>
      <c r="CY40" s="76"/>
      <c r="CZ40" s="76"/>
      <c r="DA40" s="9"/>
      <c r="DB40" s="76"/>
      <c r="DC40" s="76"/>
      <c r="DD40" s="76"/>
      <c r="DE40" s="9"/>
      <c r="DF40" s="9"/>
      <c r="DG40" s="9"/>
      <c r="DH40" s="9"/>
      <c r="DI40" s="9"/>
      <c r="DJ40" s="9"/>
      <c r="DK40" s="9"/>
      <c r="DL40" s="9"/>
      <c r="DM40" s="9"/>
      <c r="DN40" s="9"/>
      <c r="DO40" s="9"/>
      <c r="DP40" s="9"/>
      <c r="DQ40" s="3"/>
    </row>
    <row r="41" spans="1:121" ht="14.1" customHeight="1" x14ac:dyDescent="0.25">
      <c r="B41" s="5"/>
      <c r="C41" s="5"/>
      <c r="D41" s="5"/>
      <c r="E41" s="5"/>
      <c r="F41" s="93"/>
      <c r="G41" s="78"/>
      <c r="H41" s="78"/>
      <c r="I41" s="29"/>
      <c r="J41" s="78"/>
      <c r="K41" s="78"/>
      <c r="L41" s="78"/>
      <c r="M41" s="5"/>
      <c r="N41" s="78"/>
      <c r="O41" s="98"/>
      <c r="P41" s="78"/>
      <c r="Q41" s="7"/>
      <c r="R41" s="78"/>
      <c r="S41" s="78"/>
      <c r="T41" s="78"/>
      <c r="U41" s="7"/>
      <c r="V41" s="78"/>
      <c r="W41" s="78"/>
      <c r="X41" s="78"/>
      <c r="Y41" s="29"/>
      <c r="Z41" s="78"/>
      <c r="AA41" s="78"/>
      <c r="AB41" s="78"/>
      <c r="AC41" s="5"/>
      <c r="AD41" s="78"/>
      <c r="AE41" s="98"/>
      <c r="AF41" s="78"/>
      <c r="AG41" s="7"/>
      <c r="AH41" s="78"/>
      <c r="AI41" s="78"/>
      <c r="AJ41" s="78"/>
      <c r="AK41" s="7"/>
      <c r="AL41" s="78"/>
      <c r="AM41" s="78"/>
      <c r="AN41" s="78"/>
      <c r="AO41" s="29"/>
      <c r="AP41" s="78"/>
      <c r="AQ41" s="78"/>
      <c r="AR41" s="78"/>
      <c r="AS41" s="5"/>
      <c r="AT41" s="78"/>
      <c r="AU41" s="98"/>
      <c r="AV41" s="78"/>
      <c r="AW41" s="7"/>
      <c r="AX41" s="78"/>
      <c r="AY41" s="78"/>
      <c r="AZ41" s="78"/>
      <c r="BA41" s="7"/>
      <c r="BB41" s="78"/>
      <c r="BC41" s="78"/>
      <c r="BD41" s="78"/>
      <c r="BE41" s="29"/>
      <c r="BF41" s="78"/>
      <c r="BG41" s="78"/>
      <c r="BH41" s="78"/>
      <c r="BI41" s="5"/>
      <c r="BJ41" s="78"/>
      <c r="BK41" s="98"/>
      <c r="BL41" s="78"/>
      <c r="BM41" s="7"/>
      <c r="BN41" s="78"/>
      <c r="BO41" s="78"/>
      <c r="BP41" s="78"/>
      <c r="BQ41" s="7"/>
      <c r="BR41" s="78"/>
      <c r="BS41" s="78"/>
      <c r="BT41" s="78"/>
      <c r="BU41" s="29"/>
      <c r="BV41" s="78"/>
      <c r="BW41" s="78"/>
      <c r="BX41" s="78"/>
      <c r="BY41" s="5"/>
      <c r="BZ41" s="78"/>
      <c r="CA41" s="98"/>
      <c r="CB41" s="78"/>
      <c r="CC41" s="5"/>
      <c r="CD41" s="78"/>
      <c r="CE41" s="78"/>
      <c r="CF41" s="78"/>
      <c r="CG41" s="7"/>
      <c r="CH41" s="78"/>
      <c r="CI41" s="78"/>
      <c r="CJ41" s="78"/>
      <c r="CK41" s="29"/>
      <c r="CL41" s="78"/>
      <c r="CM41" s="78"/>
      <c r="CN41" s="78"/>
      <c r="CO41" s="5"/>
      <c r="CP41" s="78"/>
      <c r="CQ41" s="98"/>
      <c r="CR41" s="78"/>
      <c r="CS41" s="5"/>
      <c r="CT41" s="78"/>
      <c r="CU41" s="78"/>
      <c r="CV41" s="78"/>
      <c r="CW41" s="7"/>
      <c r="CX41" s="78"/>
      <c r="CY41" s="78"/>
      <c r="CZ41" s="78"/>
      <c r="DA41" s="5"/>
      <c r="DB41" s="78"/>
      <c r="DC41" s="78"/>
      <c r="DD41" s="78"/>
      <c r="DE41" s="5"/>
      <c r="DF41" s="5"/>
      <c r="DG41" s="5"/>
      <c r="DH41" s="5"/>
      <c r="DI41" s="5"/>
      <c r="DJ41" s="5"/>
      <c r="DK41" s="5"/>
      <c r="DL41" s="5"/>
      <c r="DM41" s="5"/>
      <c r="DN41" s="5"/>
      <c r="DO41" s="5"/>
      <c r="DP41" s="3"/>
      <c r="DQ41" s="1"/>
    </row>
    <row r="42" spans="1:121" ht="14.1" customHeight="1" x14ac:dyDescent="0.2">
      <c r="B42" s="310" t="s">
        <v>71</v>
      </c>
      <c r="C42" s="336" t="s">
        <v>142</v>
      </c>
      <c r="D42" s="137"/>
      <c r="E42" s="338" t="s">
        <v>149</v>
      </c>
      <c r="F42" s="341" t="s">
        <v>131</v>
      </c>
      <c r="G42" s="303">
        <v>46174</v>
      </c>
      <c r="H42" s="256">
        <v>46143</v>
      </c>
      <c r="I42" s="308">
        <v>46113</v>
      </c>
      <c r="J42" s="264"/>
      <c r="K42" s="264">
        <v>46082</v>
      </c>
      <c r="L42" s="279">
        <v>46054</v>
      </c>
      <c r="M42" s="269">
        <v>46023</v>
      </c>
      <c r="N42" s="250"/>
      <c r="O42" s="264">
        <v>45992</v>
      </c>
      <c r="P42" s="264">
        <v>45962</v>
      </c>
      <c r="Q42" s="277">
        <v>45931</v>
      </c>
      <c r="R42" s="256"/>
      <c r="S42" s="256">
        <v>45901</v>
      </c>
      <c r="T42" s="256">
        <v>45870</v>
      </c>
      <c r="U42" s="277">
        <v>45839</v>
      </c>
      <c r="V42" s="243"/>
      <c r="W42" s="303">
        <v>45809</v>
      </c>
      <c r="X42" s="256">
        <v>45778</v>
      </c>
      <c r="Y42" s="308">
        <v>45748</v>
      </c>
      <c r="Z42" s="264"/>
      <c r="AA42" s="264">
        <v>45717</v>
      </c>
      <c r="AB42" s="264">
        <v>45689</v>
      </c>
      <c r="AC42" s="269">
        <v>45658</v>
      </c>
      <c r="AD42" s="232"/>
      <c r="AE42" s="264">
        <v>45627</v>
      </c>
      <c r="AF42" s="264">
        <v>45597</v>
      </c>
      <c r="AG42" s="277">
        <v>45566</v>
      </c>
      <c r="AH42" s="256"/>
      <c r="AI42" s="256">
        <v>45536</v>
      </c>
      <c r="AJ42" s="256">
        <v>45505</v>
      </c>
      <c r="AK42" s="277">
        <v>45474</v>
      </c>
      <c r="AL42" s="227"/>
      <c r="AM42" s="303">
        <v>45444</v>
      </c>
      <c r="AN42" s="256">
        <v>45413</v>
      </c>
      <c r="AO42" s="308">
        <v>45383</v>
      </c>
      <c r="AP42" s="264"/>
      <c r="AQ42" s="264">
        <v>45352</v>
      </c>
      <c r="AR42" s="264">
        <v>45323</v>
      </c>
      <c r="AS42" s="269">
        <v>45292</v>
      </c>
      <c r="AT42" s="196"/>
      <c r="AU42" s="264">
        <v>45261</v>
      </c>
      <c r="AV42" s="264">
        <v>45231</v>
      </c>
      <c r="AW42" s="277">
        <v>45200</v>
      </c>
      <c r="AX42" s="256"/>
      <c r="AY42" s="256">
        <v>45170</v>
      </c>
      <c r="AZ42" s="256">
        <v>45139</v>
      </c>
      <c r="BA42" s="277">
        <v>45108</v>
      </c>
      <c r="BB42" s="192"/>
      <c r="BC42" s="303">
        <v>45078</v>
      </c>
      <c r="BD42" s="256">
        <v>45047</v>
      </c>
      <c r="BE42" s="308">
        <v>45017</v>
      </c>
      <c r="BF42" s="264"/>
      <c r="BG42" s="264">
        <v>44986</v>
      </c>
      <c r="BH42" s="264">
        <v>44958</v>
      </c>
      <c r="BI42" s="269">
        <v>44927</v>
      </c>
      <c r="BJ42" s="173"/>
      <c r="BK42" s="264">
        <v>44896</v>
      </c>
      <c r="BL42" s="264">
        <v>44866</v>
      </c>
      <c r="BM42" s="277">
        <v>44835</v>
      </c>
      <c r="BN42" s="256"/>
      <c r="BO42" s="256">
        <v>44805</v>
      </c>
      <c r="BP42" s="256">
        <v>44774</v>
      </c>
      <c r="BQ42" s="277">
        <v>44743</v>
      </c>
      <c r="BR42" s="169"/>
      <c r="BS42" s="303">
        <v>44713</v>
      </c>
      <c r="BT42" s="256">
        <v>44682</v>
      </c>
      <c r="BU42" s="308">
        <v>44652</v>
      </c>
      <c r="BV42" s="264"/>
      <c r="BW42" s="264">
        <v>44621</v>
      </c>
      <c r="BX42" s="264">
        <v>44593</v>
      </c>
      <c r="BY42" s="269">
        <v>44562</v>
      </c>
      <c r="BZ42" s="159"/>
      <c r="CA42" s="264">
        <v>44531</v>
      </c>
      <c r="CB42" s="264">
        <v>44501</v>
      </c>
      <c r="CC42" s="277">
        <v>44470</v>
      </c>
      <c r="CD42" s="156"/>
      <c r="CE42" s="256">
        <v>44440</v>
      </c>
      <c r="CF42" s="256">
        <v>44409</v>
      </c>
      <c r="CG42" s="277">
        <v>44378</v>
      </c>
      <c r="CH42" s="130"/>
      <c r="CI42" s="256">
        <v>44348</v>
      </c>
      <c r="CJ42" s="256">
        <v>44317</v>
      </c>
      <c r="CK42" s="308">
        <v>44287</v>
      </c>
      <c r="CL42" s="264"/>
      <c r="CM42" s="264">
        <v>44256</v>
      </c>
      <c r="CN42" s="264">
        <v>44228</v>
      </c>
      <c r="CO42" s="277">
        <v>44197</v>
      </c>
      <c r="CP42" s="100"/>
      <c r="CQ42" s="264">
        <v>44166</v>
      </c>
      <c r="CR42" s="264">
        <v>44136</v>
      </c>
      <c r="CS42" s="277">
        <v>44105</v>
      </c>
      <c r="CT42" s="103"/>
      <c r="CU42" s="256">
        <v>44075</v>
      </c>
      <c r="CV42" s="256">
        <v>44044</v>
      </c>
      <c r="CW42" s="277">
        <v>44013</v>
      </c>
      <c r="CX42" s="103"/>
      <c r="CY42" s="256">
        <v>43983</v>
      </c>
      <c r="CZ42" s="256">
        <v>43952</v>
      </c>
      <c r="DA42" s="285">
        <v>43922</v>
      </c>
      <c r="DB42" s="264"/>
      <c r="DC42" s="264">
        <v>43891</v>
      </c>
      <c r="DD42" s="264">
        <v>43862</v>
      </c>
      <c r="DE42" s="285">
        <v>43831</v>
      </c>
      <c r="DF42" s="285">
        <v>43739</v>
      </c>
      <c r="DG42" s="277">
        <v>43647</v>
      </c>
      <c r="DH42" s="277">
        <v>43556</v>
      </c>
      <c r="DI42" s="277">
        <v>43466</v>
      </c>
      <c r="DJ42" s="277">
        <v>43374</v>
      </c>
      <c r="DK42" s="277">
        <v>43282</v>
      </c>
      <c r="DL42" s="277">
        <v>43191</v>
      </c>
      <c r="DM42" s="277">
        <v>43101</v>
      </c>
      <c r="DN42" s="277">
        <v>43009</v>
      </c>
      <c r="DO42" s="277">
        <v>42917</v>
      </c>
      <c r="DP42" s="277">
        <v>42826</v>
      </c>
      <c r="DQ42" s="277">
        <v>42736</v>
      </c>
    </row>
    <row r="43" spans="1:121" ht="14.1" customHeight="1" x14ac:dyDescent="0.2">
      <c r="B43" s="311"/>
      <c r="C43" s="337"/>
      <c r="D43" s="138"/>
      <c r="E43" s="339"/>
      <c r="F43" s="342"/>
      <c r="G43" s="304"/>
      <c r="H43" s="257"/>
      <c r="I43" s="309"/>
      <c r="J43" s="268"/>
      <c r="K43" s="268"/>
      <c r="L43" s="280"/>
      <c r="M43" s="270"/>
      <c r="N43" s="252"/>
      <c r="O43" s="268"/>
      <c r="P43" s="268"/>
      <c r="Q43" s="278"/>
      <c r="R43" s="307"/>
      <c r="S43" s="307"/>
      <c r="T43" s="307"/>
      <c r="U43" s="278"/>
      <c r="V43" s="245"/>
      <c r="W43" s="304"/>
      <c r="X43" s="257"/>
      <c r="Y43" s="309"/>
      <c r="Z43" s="268"/>
      <c r="AA43" s="268"/>
      <c r="AB43" s="268"/>
      <c r="AC43" s="270"/>
      <c r="AD43" s="233"/>
      <c r="AE43" s="268"/>
      <c r="AF43" s="268"/>
      <c r="AG43" s="278"/>
      <c r="AH43" s="307"/>
      <c r="AI43" s="307"/>
      <c r="AJ43" s="307"/>
      <c r="AK43" s="278"/>
      <c r="AL43" s="229"/>
      <c r="AM43" s="304"/>
      <c r="AN43" s="257"/>
      <c r="AO43" s="309"/>
      <c r="AP43" s="268"/>
      <c r="AQ43" s="268"/>
      <c r="AR43" s="268"/>
      <c r="AS43" s="270"/>
      <c r="AT43" s="198"/>
      <c r="AU43" s="268"/>
      <c r="AV43" s="268"/>
      <c r="AW43" s="278"/>
      <c r="AX43" s="307"/>
      <c r="AY43" s="307"/>
      <c r="AZ43" s="307"/>
      <c r="BA43" s="278"/>
      <c r="BB43" s="194"/>
      <c r="BC43" s="304"/>
      <c r="BD43" s="257"/>
      <c r="BE43" s="309"/>
      <c r="BF43" s="268"/>
      <c r="BG43" s="268"/>
      <c r="BH43" s="268"/>
      <c r="BI43" s="270"/>
      <c r="BJ43" s="174"/>
      <c r="BK43" s="268"/>
      <c r="BL43" s="268"/>
      <c r="BM43" s="278"/>
      <c r="BN43" s="307"/>
      <c r="BO43" s="307"/>
      <c r="BP43" s="307"/>
      <c r="BQ43" s="278"/>
      <c r="BR43" s="171"/>
      <c r="BS43" s="304"/>
      <c r="BT43" s="257"/>
      <c r="BU43" s="309"/>
      <c r="BV43" s="268"/>
      <c r="BW43" s="268"/>
      <c r="BX43" s="268"/>
      <c r="BY43" s="270"/>
      <c r="BZ43" s="161"/>
      <c r="CA43" s="268"/>
      <c r="CB43" s="268"/>
      <c r="CC43" s="278"/>
      <c r="CD43" s="158"/>
      <c r="CE43" s="307"/>
      <c r="CF43" s="307"/>
      <c r="CG43" s="278"/>
      <c r="CH43" s="131"/>
      <c r="CI43" s="307"/>
      <c r="CJ43" s="307"/>
      <c r="CK43" s="309"/>
      <c r="CL43" s="268"/>
      <c r="CM43" s="268"/>
      <c r="CN43" s="268"/>
      <c r="CO43" s="278"/>
      <c r="CP43" s="102"/>
      <c r="CQ43" s="268"/>
      <c r="CR43" s="268"/>
      <c r="CS43" s="278"/>
      <c r="CT43" s="105"/>
      <c r="CU43" s="307"/>
      <c r="CV43" s="307"/>
      <c r="CW43" s="278"/>
      <c r="CX43" s="105"/>
      <c r="CY43" s="307"/>
      <c r="CZ43" s="307"/>
      <c r="DA43" s="286"/>
      <c r="DB43" s="268"/>
      <c r="DC43" s="268"/>
      <c r="DD43" s="268"/>
      <c r="DE43" s="286"/>
      <c r="DF43" s="286"/>
      <c r="DG43" s="278"/>
      <c r="DH43" s="278"/>
      <c r="DI43" s="287"/>
      <c r="DJ43" s="287"/>
      <c r="DK43" s="287"/>
      <c r="DL43" s="278"/>
      <c r="DM43" s="287"/>
      <c r="DN43" s="287"/>
      <c r="DO43" s="287"/>
      <c r="DP43" s="287"/>
      <c r="DQ43" s="287"/>
    </row>
    <row r="44" spans="1:121" ht="9" customHeight="1" x14ac:dyDescent="0.2">
      <c r="B44" s="4" t="s">
        <v>59</v>
      </c>
      <c r="C44" s="21"/>
      <c r="D44" s="88"/>
      <c r="E44" s="88"/>
      <c r="F44" s="94"/>
      <c r="G44" s="79"/>
      <c r="H44" s="79"/>
      <c r="I44" s="39"/>
      <c r="J44" s="79"/>
      <c r="K44" s="79"/>
      <c r="L44" s="79"/>
      <c r="M44" s="10"/>
      <c r="N44" s="79"/>
      <c r="O44" s="79"/>
      <c r="P44" s="79"/>
      <c r="Q44" s="10"/>
      <c r="R44" s="79"/>
      <c r="S44" s="79"/>
      <c r="T44" s="79"/>
      <c r="U44" s="10"/>
      <c r="V44" s="79"/>
      <c r="W44" s="79"/>
      <c r="X44" s="79"/>
      <c r="Y44" s="39"/>
      <c r="Z44" s="79"/>
      <c r="AA44" s="79"/>
      <c r="AB44" s="79"/>
      <c r="AC44" s="10"/>
      <c r="AD44" s="79"/>
      <c r="AE44" s="79"/>
      <c r="AF44" s="79"/>
      <c r="AG44" s="10"/>
      <c r="AH44" s="79"/>
      <c r="AI44" s="79"/>
      <c r="AJ44" s="79"/>
      <c r="AK44" s="10"/>
      <c r="AL44" s="79"/>
      <c r="AM44" s="79"/>
      <c r="AN44" s="79"/>
      <c r="AO44" s="39"/>
      <c r="AP44" s="79"/>
      <c r="AQ44" s="79"/>
      <c r="AR44" s="79"/>
      <c r="AS44" s="10"/>
      <c r="AT44" s="79"/>
      <c r="AU44" s="79"/>
      <c r="AV44" s="79"/>
      <c r="AW44" s="10"/>
      <c r="AX44" s="79"/>
      <c r="AY44" s="79"/>
      <c r="AZ44" s="79"/>
      <c r="BA44" s="10"/>
      <c r="BB44" s="79"/>
      <c r="BC44" s="79"/>
      <c r="BD44" s="79"/>
      <c r="BE44" s="39"/>
      <c r="BF44" s="79"/>
      <c r="BG44" s="79"/>
      <c r="BH44" s="79"/>
      <c r="BI44" s="10"/>
      <c r="BJ44" s="79"/>
      <c r="BK44" s="79"/>
      <c r="BL44" s="79"/>
      <c r="BM44" s="10"/>
      <c r="BN44" s="79"/>
      <c r="BO44" s="79"/>
      <c r="BP44" s="79"/>
      <c r="BQ44" s="10"/>
      <c r="BR44" s="79"/>
      <c r="BS44" s="79"/>
      <c r="BT44" s="79"/>
      <c r="BU44" s="39"/>
      <c r="BV44" s="79"/>
      <c r="BW44" s="79"/>
      <c r="BX44" s="79"/>
      <c r="BY44" s="10"/>
      <c r="BZ44" s="79"/>
      <c r="CA44" s="79"/>
      <c r="CB44" s="79"/>
      <c r="CC44" s="10"/>
      <c r="CD44" s="79"/>
      <c r="CE44" s="79"/>
      <c r="CF44" s="79"/>
      <c r="CG44" s="10"/>
      <c r="CH44" s="79"/>
      <c r="CI44" s="79"/>
      <c r="CJ44" s="79"/>
      <c r="CK44" s="39"/>
      <c r="CL44" s="79"/>
      <c r="CM44" s="79"/>
      <c r="CN44" s="79"/>
      <c r="CO44" s="10"/>
      <c r="CP44" s="79"/>
      <c r="CQ44" s="79"/>
      <c r="CR44" s="79"/>
      <c r="CS44" s="10"/>
      <c r="CT44" s="79"/>
      <c r="CU44" s="79"/>
      <c r="CV44" s="79"/>
      <c r="CW44" s="10"/>
      <c r="CX44" s="79"/>
      <c r="CY44" s="79"/>
      <c r="CZ44" s="79"/>
      <c r="DA44" s="10"/>
      <c r="DB44" s="79"/>
      <c r="DC44" s="79"/>
      <c r="DD44" s="79"/>
      <c r="DE44" s="10"/>
      <c r="DF44" s="10"/>
      <c r="DG44" s="10"/>
      <c r="DH44" s="10"/>
      <c r="DI44" s="10"/>
      <c r="DJ44" s="10"/>
      <c r="DK44" s="10"/>
      <c r="DL44" s="10"/>
      <c r="DM44" s="10"/>
      <c r="DN44" s="10"/>
      <c r="DO44" s="10"/>
      <c r="DP44" s="10"/>
      <c r="DQ44" s="10"/>
    </row>
    <row r="45" spans="1:121" ht="14.1" customHeight="1" x14ac:dyDescent="0.2">
      <c r="B45" s="19" t="s">
        <v>72</v>
      </c>
      <c r="C45" s="96"/>
      <c r="D45" s="139"/>
      <c r="E45" s="97"/>
      <c r="F45" s="95"/>
      <c r="G45" s="80"/>
      <c r="H45" s="80"/>
      <c r="I45" s="125"/>
      <c r="J45" s="80"/>
      <c r="K45" s="80"/>
      <c r="L45" s="80"/>
      <c r="M45" s="16"/>
      <c r="N45" s="80"/>
      <c r="O45" s="80"/>
      <c r="P45" s="80"/>
      <c r="Q45" s="16"/>
      <c r="R45" s="80"/>
      <c r="S45" s="80"/>
      <c r="T45" s="80"/>
      <c r="U45" s="16"/>
      <c r="V45" s="80"/>
      <c r="W45" s="80"/>
      <c r="X45" s="80"/>
      <c r="Y45" s="125"/>
      <c r="Z45" s="80"/>
      <c r="AA45" s="80"/>
      <c r="AB45" s="80"/>
      <c r="AC45" s="16"/>
      <c r="AD45" s="80"/>
      <c r="AE45" s="80"/>
      <c r="AF45" s="80"/>
      <c r="AG45" s="16"/>
      <c r="AH45" s="80"/>
      <c r="AI45" s="80"/>
      <c r="AJ45" s="80"/>
      <c r="AK45" s="16"/>
      <c r="AL45" s="80"/>
      <c r="AM45" s="80"/>
      <c r="AN45" s="80"/>
      <c r="AO45" s="125"/>
      <c r="AP45" s="80"/>
      <c r="AQ45" s="80"/>
      <c r="AR45" s="80"/>
      <c r="AS45" s="16"/>
      <c r="AT45" s="80"/>
      <c r="AU45" s="80"/>
      <c r="AV45" s="80"/>
      <c r="AW45" s="16"/>
      <c r="AX45" s="80"/>
      <c r="AY45" s="80"/>
      <c r="AZ45" s="80"/>
      <c r="BA45" s="16"/>
      <c r="BB45" s="80"/>
      <c r="BC45" s="80"/>
      <c r="BD45" s="80"/>
      <c r="BE45" s="125"/>
      <c r="BF45" s="80"/>
      <c r="BG45" s="80"/>
      <c r="BH45" s="80"/>
      <c r="BI45" s="16"/>
      <c r="BJ45" s="80"/>
      <c r="BK45" s="80"/>
      <c r="BL45" s="80"/>
      <c r="BM45" s="16"/>
      <c r="BN45" s="80"/>
      <c r="BO45" s="80"/>
      <c r="BP45" s="80"/>
      <c r="BQ45" s="16"/>
      <c r="BR45" s="80"/>
      <c r="BS45" s="80"/>
      <c r="BT45" s="80"/>
      <c r="BU45" s="125"/>
      <c r="BV45" s="80"/>
      <c r="BW45" s="80"/>
      <c r="BX45" s="80"/>
      <c r="BY45" s="16"/>
      <c r="BZ45" s="80"/>
      <c r="CA45" s="80"/>
      <c r="CB45" s="80"/>
      <c r="CC45" s="16"/>
      <c r="CD45" s="80"/>
      <c r="CE45" s="80"/>
      <c r="CF45" s="80"/>
      <c r="CG45" s="16"/>
      <c r="CH45" s="80"/>
      <c r="CI45" s="80"/>
      <c r="CJ45" s="80"/>
      <c r="CK45" s="125"/>
      <c r="CL45" s="80"/>
      <c r="CM45" s="80"/>
      <c r="CN45" s="80"/>
      <c r="CO45" s="16"/>
      <c r="CP45" s="80"/>
      <c r="CQ45" s="80"/>
      <c r="CR45" s="80"/>
      <c r="CS45" s="16"/>
      <c r="CT45" s="80"/>
      <c r="CU45" s="80"/>
      <c r="CV45" s="80"/>
      <c r="CW45" s="16"/>
      <c r="CX45" s="80"/>
      <c r="CY45" s="80"/>
      <c r="CZ45" s="80"/>
      <c r="DA45" s="16"/>
      <c r="DB45" s="80"/>
      <c r="DC45" s="80"/>
      <c r="DD45" s="80"/>
      <c r="DE45" s="16"/>
      <c r="DF45" s="16"/>
      <c r="DG45" s="16"/>
      <c r="DH45" s="16"/>
      <c r="DI45" s="16"/>
      <c r="DJ45" s="15"/>
      <c r="DK45" s="15"/>
      <c r="DL45" s="15"/>
      <c r="DM45" s="16"/>
      <c r="DN45" s="16"/>
      <c r="DO45" s="16"/>
      <c r="DP45" s="16"/>
      <c r="DQ45" s="16"/>
    </row>
    <row r="46" spans="1:121" ht="14.1" customHeight="1" x14ac:dyDescent="0.2">
      <c r="B46" s="20" t="s">
        <v>110</v>
      </c>
      <c r="C46" s="96"/>
      <c r="D46" s="139"/>
      <c r="E46" s="97"/>
      <c r="F46" s="95"/>
      <c r="G46" s="81"/>
      <c r="H46" s="81"/>
      <c r="I46" s="43"/>
      <c r="J46" s="81"/>
      <c r="K46" s="81"/>
      <c r="L46" s="81"/>
      <c r="M46" s="15"/>
      <c r="N46" s="81"/>
      <c r="O46" s="81"/>
      <c r="P46" s="81"/>
      <c r="Q46" s="15"/>
      <c r="R46" s="81"/>
      <c r="S46" s="81"/>
      <c r="T46" s="81"/>
      <c r="U46" s="15"/>
      <c r="V46" s="81"/>
      <c r="W46" s="81"/>
      <c r="X46" s="81"/>
      <c r="Y46" s="43"/>
      <c r="Z46" s="81"/>
      <c r="AA46" s="81"/>
      <c r="AB46" s="81"/>
      <c r="AC46" s="15"/>
      <c r="AD46" s="81"/>
      <c r="AE46" s="81"/>
      <c r="AF46" s="81"/>
      <c r="AG46" s="15"/>
      <c r="AH46" s="81"/>
      <c r="AI46" s="81"/>
      <c r="AJ46" s="81"/>
      <c r="AK46" s="15"/>
      <c r="AL46" s="81"/>
      <c r="AM46" s="81"/>
      <c r="AN46" s="81"/>
      <c r="AO46" s="43"/>
      <c r="AP46" s="81"/>
      <c r="AQ46" s="81"/>
      <c r="AR46" s="81"/>
      <c r="AS46" s="15"/>
      <c r="AT46" s="81"/>
      <c r="AU46" s="81"/>
      <c r="AV46" s="81"/>
      <c r="AW46" s="15"/>
      <c r="AX46" s="81"/>
      <c r="AY46" s="81"/>
      <c r="AZ46" s="81"/>
      <c r="BA46" s="15"/>
      <c r="BB46" s="81"/>
      <c r="BC46" s="81"/>
      <c r="BD46" s="81"/>
      <c r="BE46" s="43"/>
      <c r="BF46" s="81"/>
      <c r="BG46" s="81"/>
      <c r="BH46" s="81"/>
      <c r="BI46" s="15"/>
      <c r="BJ46" s="81"/>
      <c r="BK46" s="81"/>
      <c r="BL46" s="81"/>
      <c r="BM46" s="15"/>
      <c r="BN46" s="81"/>
      <c r="BO46" s="81"/>
      <c r="BP46" s="81"/>
      <c r="BQ46" s="15"/>
      <c r="BR46" s="81"/>
      <c r="BS46" s="81"/>
      <c r="BT46" s="81"/>
      <c r="BU46" s="43"/>
      <c r="BV46" s="81"/>
      <c r="BW46" s="81"/>
      <c r="BX46" s="81"/>
      <c r="BY46" s="15"/>
      <c r="BZ46" s="81"/>
      <c r="CA46" s="81"/>
      <c r="CB46" s="81"/>
      <c r="CC46" s="15"/>
      <c r="CD46" s="81"/>
      <c r="CE46" s="81"/>
      <c r="CF46" s="81"/>
      <c r="CG46" s="15"/>
      <c r="CH46" s="81"/>
      <c r="CI46" s="81"/>
      <c r="CJ46" s="81"/>
      <c r="CK46" s="43"/>
      <c r="CL46" s="81"/>
      <c r="CM46" s="81"/>
      <c r="CN46" s="81"/>
      <c r="CO46" s="15"/>
      <c r="CP46" s="81"/>
      <c r="CQ46" s="81"/>
      <c r="CR46" s="81"/>
      <c r="CS46" s="15"/>
      <c r="CT46" s="81"/>
      <c r="CU46" s="81"/>
      <c r="CV46" s="81"/>
      <c r="CW46" s="15"/>
      <c r="CX46" s="81"/>
      <c r="CY46" s="81"/>
      <c r="CZ46" s="81"/>
      <c r="DA46" s="15"/>
      <c r="DB46" s="81"/>
      <c r="DC46" s="81"/>
      <c r="DD46" s="81"/>
      <c r="DE46" s="15"/>
      <c r="DF46" s="15"/>
      <c r="DG46" s="15"/>
      <c r="DH46" s="15"/>
      <c r="DI46" s="15"/>
      <c r="DJ46" s="15"/>
      <c r="DK46" s="15"/>
      <c r="DL46" s="15"/>
      <c r="DM46" s="15"/>
      <c r="DN46" s="15"/>
      <c r="DO46" s="15"/>
      <c r="DP46" s="15"/>
      <c r="DQ46" s="15"/>
    </row>
    <row r="47" spans="1:121" ht="14.1" customHeight="1" x14ac:dyDescent="0.2">
      <c r="B47" s="13" t="s">
        <v>73</v>
      </c>
      <c r="C47" s="22"/>
      <c r="D47" s="87"/>
      <c r="E47" s="86"/>
      <c r="F47" s="92"/>
      <c r="G47" s="82"/>
      <c r="H47" s="82"/>
      <c r="I47" s="126"/>
      <c r="J47" s="82"/>
      <c r="K47" s="82"/>
      <c r="L47" s="82"/>
      <c r="M47" s="17"/>
      <c r="N47" s="82"/>
      <c r="O47" s="82"/>
      <c r="P47" s="82"/>
      <c r="Q47" s="17"/>
      <c r="R47" s="82"/>
      <c r="S47" s="82"/>
      <c r="T47" s="82"/>
      <c r="U47" s="17"/>
      <c r="V47" s="82"/>
      <c r="W47" s="82"/>
      <c r="X47" s="82"/>
      <c r="Y47" s="126"/>
      <c r="Z47" s="82"/>
      <c r="AA47" s="82"/>
      <c r="AB47" s="82"/>
      <c r="AC47" s="17"/>
      <c r="AD47" s="82"/>
      <c r="AE47" s="82"/>
      <c r="AF47" s="82"/>
      <c r="AG47" s="17"/>
      <c r="AH47" s="82"/>
      <c r="AI47" s="82"/>
      <c r="AJ47" s="82"/>
      <c r="AK47" s="17"/>
      <c r="AL47" s="82"/>
      <c r="AM47" s="82"/>
      <c r="AN47" s="82"/>
      <c r="AO47" s="126"/>
      <c r="AP47" s="82"/>
      <c r="AQ47" s="82"/>
      <c r="AR47" s="82"/>
      <c r="AS47" s="17"/>
      <c r="AT47" s="82"/>
      <c r="AU47" s="82"/>
      <c r="AV47" s="82"/>
      <c r="AW47" s="17"/>
      <c r="AX47" s="82"/>
      <c r="AY47" s="82"/>
      <c r="AZ47" s="82"/>
      <c r="BA47" s="17"/>
      <c r="BB47" s="82"/>
      <c r="BC47" s="82"/>
      <c r="BD47" s="82"/>
      <c r="BE47" s="126"/>
      <c r="BF47" s="82"/>
      <c r="BG47" s="82"/>
      <c r="BH47" s="82"/>
      <c r="BI47" s="17"/>
      <c r="BJ47" s="82"/>
      <c r="BK47" s="82"/>
      <c r="BL47" s="82"/>
      <c r="BM47" s="17"/>
      <c r="BN47" s="82"/>
      <c r="BO47" s="82"/>
      <c r="BP47" s="82"/>
      <c r="BQ47" s="17"/>
      <c r="BR47" s="82"/>
      <c r="BS47" s="82"/>
      <c r="BT47" s="82"/>
      <c r="BU47" s="126"/>
      <c r="BV47" s="82"/>
      <c r="BW47" s="82"/>
      <c r="BX47" s="82"/>
      <c r="BY47" s="17"/>
      <c r="BZ47" s="82"/>
      <c r="CA47" s="82"/>
      <c r="CB47" s="82"/>
      <c r="CC47" s="17"/>
      <c r="CD47" s="82"/>
      <c r="CE47" s="82"/>
      <c r="CF47" s="82"/>
      <c r="CG47" s="17"/>
      <c r="CH47" s="82"/>
      <c r="CI47" s="82"/>
      <c r="CJ47" s="82"/>
      <c r="CK47" s="126"/>
      <c r="CL47" s="82"/>
      <c r="CM47" s="82"/>
      <c r="CN47" s="82"/>
      <c r="CO47" s="17"/>
      <c r="CP47" s="82"/>
      <c r="CQ47" s="82"/>
      <c r="CR47" s="82"/>
      <c r="CS47" s="17"/>
      <c r="CT47" s="82"/>
      <c r="CU47" s="82"/>
      <c r="CV47" s="82"/>
      <c r="CW47" s="17"/>
      <c r="CX47" s="82"/>
      <c r="CY47" s="82"/>
      <c r="CZ47" s="82"/>
      <c r="DA47" s="17"/>
      <c r="DB47" s="82"/>
      <c r="DC47" s="82"/>
      <c r="DD47" s="82"/>
      <c r="DE47" s="17"/>
      <c r="DF47" s="17"/>
      <c r="DG47" s="17"/>
      <c r="DH47" s="17"/>
      <c r="DI47" s="17"/>
      <c r="DJ47" s="17"/>
      <c r="DK47" s="17"/>
      <c r="DL47" s="17"/>
      <c r="DM47" s="17"/>
      <c r="DN47" s="17"/>
      <c r="DO47" s="17"/>
      <c r="DP47" s="17"/>
      <c r="DQ47" s="17"/>
    </row>
    <row r="48" spans="1:121" ht="14.1" customHeight="1" x14ac:dyDescent="0.2">
      <c r="B48" s="14" t="s">
        <v>74</v>
      </c>
      <c r="C48" s="22"/>
      <c r="D48" s="87"/>
      <c r="E48" s="86"/>
      <c r="F48" s="92"/>
      <c r="G48" s="82"/>
      <c r="H48" s="82"/>
      <c r="I48" s="126"/>
      <c r="J48" s="82"/>
      <c r="K48" s="82"/>
      <c r="L48" s="82"/>
      <c r="M48" s="17"/>
      <c r="N48" s="82"/>
      <c r="O48" s="82"/>
      <c r="P48" s="82"/>
      <c r="Q48" s="17"/>
      <c r="R48" s="82"/>
      <c r="S48" s="82"/>
      <c r="T48" s="82"/>
      <c r="U48" s="17"/>
      <c r="V48" s="82"/>
      <c r="W48" s="82"/>
      <c r="X48" s="82"/>
      <c r="Y48" s="126"/>
      <c r="Z48" s="82"/>
      <c r="AA48" s="82"/>
      <c r="AB48" s="82"/>
      <c r="AC48" s="17"/>
      <c r="AD48" s="82"/>
      <c r="AE48" s="82"/>
      <c r="AF48" s="82"/>
      <c r="AG48" s="17"/>
      <c r="AH48" s="82"/>
      <c r="AI48" s="82"/>
      <c r="AJ48" s="82"/>
      <c r="AK48" s="17"/>
      <c r="AL48" s="82"/>
      <c r="AM48" s="82"/>
      <c r="AN48" s="82"/>
      <c r="AO48" s="126"/>
      <c r="AP48" s="82"/>
      <c r="AQ48" s="82"/>
      <c r="AR48" s="82"/>
      <c r="AS48" s="17"/>
      <c r="AT48" s="82"/>
      <c r="AU48" s="82"/>
      <c r="AV48" s="82"/>
      <c r="AW48" s="17"/>
      <c r="AX48" s="82"/>
      <c r="AY48" s="82"/>
      <c r="AZ48" s="82"/>
      <c r="BA48" s="17"/>
      <c r="BB48" s="82"/>
      <c r="BC48" s="82"/>
      <c r="BD48" s="82"/>
      <c r="BE48" s="126"/>
      <c r="BF48" s="82"/>
      <c r="BG48" s="82"/>
      <c r="BH48" s="82"/>
      <c r="BI48" s="17"/>
      <c r="BJ48" s="82"/>
      <c r="BK48" s="82"/>
      <c r="BL48" s="82"/>
      <c r="BM48" s="17"/>
      <c r="BN48" s="82"/>
      <c r="BO48" s="82"/>
      <c r="BP48" s="82"/>
      <c r="BQ48" s="17"/>
      <c r="BR48" s="82"/>
      <c r="BS48" s="82"/>
      <c r="BT48" s="82"/>
      <c r="BU48" s="126"/>
      <c r="BV48" s="82"/>
      <c r="BW48" s="82"/>
      <c r="BX48" s="82"/>
      <c r="BY48" s="17"/>
      <c r="BZ48" s="82"/>
      <c r="CA48" s="82"/>
      <c r="CB48" s="82"/>
      <c r="CC48" s="17"/>
      <c r="CD48" s="82"/>
      <c r="CE48" s="82"/>
      <c r="CF48" s="82"/>
      <c r="CG48" s="17"/>
      <c r="CH48" s="82"/>
      <c r="CI48" s="82"/>
      <c r="CJ48" s="82"/>
      <c r="CK48" s="126"/>
      <c r="CL48" s="82"/>
      <c r="CM48" s="82"/>
      <c r="CN48" s="82"/>
      <c r="CO48" s="17"/>
      <c r="CP48" s="82"/>
      <c r="CQ48" s="82"/>
      <c r="CR48" s="82"/>
      <c r="CS48" s="17"/>
      <c r="CT48" s="82"/>
      <c r="CU48" s="82"/>
      <c r="CV48" s="82"/>
      <c r="CW48" s="17"/>
      <c r="CX48" s="82"/>
      <c r="CY48" s="82"/>
      <c r="CZ48" s="82"/>
      <c r="DA48" s="17"/>
      <c r="DB48" s="82"/>
      <c r="DC48" s="82"/>
      <c r="DD48" s="82"/>
      <c r="DE48" s="17"/>
      <c r="DF48" s="17"/>
      <c r="DG48" s="17"/>
      <c r="DH48" s="17"/>
      <c r="DI48" s="17"/>
      <c r="DJ48" s="17"/>
      <c r="DK48" s="17"/>
      <c r="DL48" s="17"/>
      <c r="DM48" s="17"/>
      <c r="DN48" s="17"/>
      <c r="DO48" s="17"/>
      <c r="DP48" s="17"/>
      <c r="DQ48" s="17"/>
    </row>
    <row r="49" spans="2:121" ht="14.1" customHeight="1" x14ac:dyDescent="0.2">
      <c r="B49" s="13" t="s">
        <v>75</v>
      </c>
      <c r="C49" s="22"/>
      <c r="D49" s="87"/>
      <c r="E49" s="87"/>
      <c r="F49" s="92"/>
      <c r="G49" s="83"/>
      <c r="H49" s="83"/>
      <c r="I49" s="71"/>
      <c r="J49" s="83"/>
      <c r="K49" s="83"/>
      <c r="L49" s="83"/>
      <c r="M49" s="23"/>
      <c r="N49" s="83"/>
      <c r="O49" s="83"/>
      <c r="P49" s="83"/>
      <c r="Q49" s="23"/>
      <c r="R49" s="83"/>
      <c r="S49" s="83"/>
      <c r="T49" s="83"/>
      <c r="U49" s="23"/>
      <c r="V49" s="83"/>
      <c r="W49" s="83"/>
      <c r="X49" s="83"/>
      <c r="Y49" s="71"/>
      <c r="Z49" s="83"/>
      <c r="AA49" s="83"/>
      <c r="AB49" s="83"/>
      <c r="AC49" s="23"/>
      <c r="AD49" s="83"/>
      <c r="AE49" s="83"/>
      <c r="AF49" s="83"/>
      <c r="AG49" s="23"/>
      <c r="AH49" s="83"/>
      <c r="AI49" s="83"/>
      <c r="AJ49" s="83"/>
      <c r="AK49" s="23"/>
      <c r="AL49" s="83"/>
      <c r="AM49" s="83"/>
      <c r="AN49" s="83"/>
      <c r="AO49" s="71"/>
      <c r="AP49" s="83"/>
      <c r="AQ49" s="83"/>
      <c r="AR49" s="83"/>
      <c r="AS49" s="23"/>
      <c r="AT49" s="83"/>
      <c r="AU49" s="83"/>
      <c r="AV49" s="83"/>
      <c r="AW49" s="23"/>
      <c r="AX49" s="83"/>
      <c r="AY49" s="83"/>
      <c r="AZ49" s="83"/>
      <c r="BA49" s="23"/>
      <c r="BB49" s="83"/>
      <c r="BC49" s="83"/>
      <c r="BD49" s="83"/>
      <c r="BE49" s="71"/>
      <c r="BF49" s="83"/>
      <c r="BG49" s="83"/>
      <c r="BH49" s="83"/>
      <c r="BI49" s="23"/>
      <c r="BJ49" s="83"/>
      <c r="BK49" s="83"/>
      <c r="BL49" s="83"/>
      <c r="BM49" s="23"/>
      <c r="BN49" s="83"/>
      <c r="BO49" s="83"/>
      <c r="BP49" s="83"/>
      <c r="BQ49" s="23"/>
      <c r="BR49" s="83"/>
      <c r="BS49" s="83"/>
      <c r="BT49" s="83"/>
      <c r="BU49" s="71"/>
      <c r="BV49" s="83"/>
      <c r="BW49" s="83"/>
      <c r="BX49" s="83"/>
      <c r="BY49" s="23"/>
      <c r="BZ49" s="83"/>
      <c r="CA49" s="83"/>
      <c r="CB49" s="83"/>
      <c r="CC49" s="23"/>
      <c r="CD49" s="83"/>
      <c r="CE49" s="83"/>
      <c r="CF49" s="83"/>
      <c r="CG49" s="23"/>
      <c r="CH49" s="83"/>
      <c r="CI49" s="83"/>
      <c r="CJ49" s="83"/>
      <c r="CK49" s="71"/>
      <c r="CL49" s="83"/>
      <c r="CM49" s="83"/>
      <c r="CN49" s="83"/>
      <c r="CO49" s="23"/>
      <c r="CP49" s="83"/>
      <c r="CQ49" s="83"/>
      <c r="CR49" s="83"/>
      <c r="CS49" s="23"/>
      <c r="CT49" s="83"/>
      <c r="CU49" s="83"/>
      <c r="CV49" s="83"/>
      <c r="CW49" s="23"/>
      <c r="CX49" s="83"/>
      <c r="CY49" s="83"/>
      <c r="CZ49" s="83"/>
      <c r="DA49" s="23"/>
      <c r="DB49" s="83"/>
      <c r="DC49" s="83"/>
      <c r="DD49" s="83"/>
      <c r="DE49" s="23"/>
      <c r="DF49" s="23"/>
      <c r="DG49" s="23"/>
      <c r="DH49" s="23"/>
      <c r="DI49" s="23"/>
      <c r="DJ49" s="23"/>
      <c r="DK49" s="23"/>
      <c r="DL49" s="23"/>
      <c r="DM49" s="23"/>
      <c r="DN49" s="23"/>
      <c r="DO49" s="23"/>
      <c r="DP49" s="23"/>
      <c r="DQ49" s="23"/>
    </row>
    <row r="50" spans="2:121" ht="14.1" customHeight="1" x14ac:dyDescent="0.2">
      <c r="B50" s="13" t="s">
        <v>76</v>
      </c>
      <c r="C50" s="22"/>
      <c r="D50" s="87"/>
      <c r="E50" s="87"/>
      <c r="F50" s="92"/>
      <c r="G50" s="84"/>
      <c r="H50" s="84"/>
      <c r="I50" s="127"/>
      <c r="J50" s="84"/>
      <c r="K50" s="84"/>
      <c r="L50" s="84"/>
      <c r="M50" s="24"/>
      <c r="N50" s="84"/>
      <c r="O50" s="84"/>
      <c r="P50" s="84"/>
      <c r="Q50" s="24"/>
      <c r="R50" s="84"/>
      <c r="S50" s="84"/>
      <c r="T50" s="84"/>
      <c r="U50" s="24"/>
      <c r="V50" s="84"/>
      <c r="W50" s="84"/>
      <c r="X50" s="84"/>
      <c r="Y50" s="127"/>
      <c r="Z50" s="84"/>
      <c r="AA50" s="84"/>
      <c r="AB50" s="84"/>
      <c r="AC50" s="24"/>
      <c r="AD50" s="84"/>
      <c r="AE50" s="84"/>
      <c r="AF50" s="84"/>
      <c r="AG50" s="24"/>
      <c r="AH50" s="84"/>
      <c r="AI50" s="84"/>
      <c r="AJ50" s="84"/>
      <c r="AK50" s="24"/>
      <c r="AL50" s="84"/>
      <c r="AM50" s="84"/>
      <c r="AN50" s="84"/>
      <c r="AO50" s="127"/>
      <c r="AP50" s="84"/>
      <c r="AQ50" s="84"/>
      <c r="AR50" s="84"/>
      <c r="AS50" s="24"/>
      <c r="AT50" s="84"/>
      <c r="AU50" s="84"/>
      <c r="AV50" s="84"/>
      <c r="AW50" s="24"/>
      <c r="AX50" s="84"/>
      <c r="AY50" s="84"/>
      <c r="AZ50" s="84"/>
      <c r="BA50" s="24"/>
      <c r="BB50" s="84"/>
      <c r="BC50" s="84"/>
      <c r="BD50" s="84"/>
      <c r="BE50" s="127"/>
      <c r="BF50" s="84"/>
      <c r="BG50" s="84"/>
      <c r="BH50" s="84"/>
      <c r="BI50" s="24"/>
      <c r="BJ50" s="84"/>
      <c r="BK50" s="84"/>
      <c r="BL50" s="84"/>
      <c r="BM50" s="24"/>
      <c r="BN50" s="84"/>
      <c r="BO50" s="84"/>
      <c r="BP50" s="84"/>
      <c r="BQ50" s="24"/>
      <c r="BR50" s="84"/>
      <c r="BS50" s="84"/>
      <c r="BT50" s="84"/>
      <c r="BU50" s="127"/>
      <c r="BV50" s="84"/>
      <c r="BW50" s="84"/>
      <c r="BX50" s="84"/>
      <c r="BY50" s="24"/>
      <c r="BZ50" s="84"/>
      <c r="CA50" s="84"/>
      <c r="CB50" s="84"/>
      <c r="CC50" s="24"/>
      <c r="CD50" s="84"/>
      <c r="CE50" s="84"/>
      <c r="CF50" s="84"/>
      <c r="CG50" s="24"/>
      <c r="CH50" s="84"/>
      <c r="CI50" s="84"/>
      <c r="CJ50" s="84"/>
      <c r="CK50" s="127"/>
      <c r="CL50" s="84"/>
      <c r="CM50" s="84"/>
      <c r="CN50" s="84"/>
      <c r="CO50" s="24"/>
      <c r="CP50" s="84"/>
      <c r="CQ50" s="84"/>
      <c r="CR50" s="84"/>
      <c r="CS50" s="24"/>
      <c r="CT50" s="84"/>
      <c r="CU50" s="84"/>
      <c r="CV50" s="84"/>
      <c r="CW50" s="24"/>
      <c r="CX50" s="84"/>
      <c r="CY50" s="84"/>
      <c r="CZ50" s="84"/>
      <c r="DA50" s="24"/>
      <c r="DB50" s="84"/>
      <c r="DC50" s="84"/>
      <c r="DD50" s="84"/>
      <c r="DE50" s="24"/>
      <c r="DF50" s="24"/>
      <c r="DG50" s="24"/>
      <c r="DH50" s="24"/>
      <c r="DI50" s="24"/>
      <c r="DJ50" s="24"/>
      <c r="DK50" s="24"/>
      <c r="DL50" s="24"/>
      <c r="DM50" s="24"/>
      <c r="DN50" s="24"/>
      <c r="DO50" s="24"/>
      <c r="DP50" s="24"/>
      <c r="DQ50" s="24"/>
    </row>
    <row r="51" spans="2:121" ht="14.1" customHeight="1" x14ac:dyDescent="0.2">
      <c r="B51" s="20" t="s">
        <v>77</v>
      </c>
      <c r="C51" s="96"/>
      <c r="D51" s="139"/>
      <c r="E51" s="97"/>
      <c r="F51" s="95"/>
      <c r="G51" s="81"/>
      <c r="H51" s="81"/>
      <c r="I51" s="43"/>
      <c r="J51" s="81"/>
      <c r="K51" s="81"/>
      <c r="L51" s="81"/>
      <c r="M51" s="15"/>
      <c r="N51" s="81"/>
      <c r="O51" s="81"/>
      <c r="P51" s="81"/>
      <c r="Q51" s="15"/>
      <c r="R51" s="81"/>
      <c r="S51" s="81"/>
      <c r="T51" s="81"/>
      <c r="U51" s="15"/>
      <c r="V51" s="81"/>
      <c r="W51" s="81"/>
      <c r="X51" s="81"/>
      <c r="Y51" s="43"/>
      <c r="Z51" s="81"/>
      <c r="AA51" s="81"/>
      <c r="AB51" s="81"/>
      <c r="AC51" s="15"/>
      <c r="AD51" s="81"/>
      <c r="AE51" s="81"/>
      <c r="AF51" s="81"/>
      <c r="AG51" s="15"/>
      <c r="AH51" s="81"/>
      <c r="AI51" s="81"/>
      <c r="AJ51" s="81"/>
      <c r="AK51" s="15"/>
      <c r="AL51" s="81"/>
      <c r="AM51" s="81"/>
      <c r="AN51" s="81"/>
      <c r="AO51" s="43"/>
      <c r="AP51" s="81"/>
      <c r="AQ51" s="81"/>
      <c r="AR51" s="81"/>
      <c r="AS51" s="15"/>
      <c r="AT51" s="81"/>
      <c r="AU51" s="81"/>
      <c r="AV51" s="81"/>
      <c r="AW51" s="15"/>
      <c r="AX51" s="81"/>
      <c r="AY51" s="81"/>
      <c r="AZ51" s="81"/>
      <c r="BA51" s="15"/>
      <c r="BB51" s="81"/>
      <c r="BC51" s="81"/>
      <c r="BD51" s="81"/>
      <c r="BE51" s="43"/>
      <c r="BF51" s="81"/>
      <c r="BG51" s="81"/>
      <c r="BH51" s="81"/>
      <c r="BI51" s="15"/>
      <c r="BJ51" s="81"/>
      <c r="BK51" s="81"/>
      <c r="BL51" s="81"/>
      <c r="BM51" s="15"/>
      <c r="BN51" s="81"/>
      <c r="BO51" s="81"/>
      <c r="BP51" s="81"/>
      <c r="BQ51" s="15"/>
      <c r="BR51" s="81"/>
      <c r="BS51" s="81"/>
      <c r="BT51" s="81"/>
      <c r="BU51" s="43"/>
      <c r="BV51" s="81"/>
      <c r="BW51" s="81"/>
      <c r="BX51" s="81"/>
      <c r="BY51" s="15"/>
      <c r="BZ51" s="81"/>
      <c r="CA51" s="81"/>
      <c r="CB51" s="81"/>
      <c r="CC51" s="15"/>
      <c r="CD51" s="81"/>
      <c r="CE51" s="81"/>
      <c r="CF51" s="81"/>
      <c r="CG51" s="15"/>
      <c r="CH51" s="81"/>
      <c r="CI51" s="81"/>
      <c r="CJ51" s="81"/>
      <c r="CK51" s="43"/>
      <c r="CL51" s="81"/>
      <c r="CM51" s="81"/>
      <c r="CN51" s="81"/>
      <c r="CO51" s="15"/>
      <c r="CP51" s="81"/>
      <c r="CQ51" s="81"/>
      <c r="CR51" s="81"/>
      <c r="CS51" s="15"/>
      <c r="CT51" s="81"/>
      <c r="CU51" s="81"/>
      <c r="CV51" s="81"/>
      <c r="CW51" s="15"/>
      <c r="CX51" s="81"/>
      <c r="CY51" s="81"/>
      <c r="CZ51" s="81"/>
      <c r="DA51" s="15"/>
      <c r="DB51" s="81"/>
      <c r="DC51" s="81"/>
      <c r="DD51" s="81"/>
      <c r="DE51" s="15"/>
      <c r="DF51" s="15"/>
      <c r="DG51" s="15"/>
      <c r="DH51" s="15"/>
      <c r="DI51" s="15"/>
      <c r="DJ51" s="15"/>
      <c r="DK51" s="15"/>
      <c r="DL51" s="15"/>
      <c r="DM51" s="15"/>
      <c r="DN51" s="15"/>
      <c r="DO51" s="15"/>
      <c r="DP51" s="15"/>
      <c r="DQ51" s="15"/>
    </row>
    <row r="52" spans="2:121" ht="14.1" customHeight="1" x14ac:dyDescent="0.2">
      <c r="B52" s="18" t="s">
        <v>78</v>
      </c>
      <c r="C52" s="22"/>
      <c r="D52" s="87"/>
      <c r="E52" s="86"/>
      <c r="F52" s="92"/>
      <c r="G52" s="82"/>
      <c r="H52" s="82"/>
      <c r="I52" s="126"/>
      <c r="J52" s="82"/>
      <c r="K52" s="82"/>
      <c r="L52" s="82"/>
      <c r="M52" s="17"/>
      <c r="N52" s="82"/>
      <c r="O52" s="82"/>
      <c r="P52" s="82"/>
      <c r="Q52" s="17"/>
      <c r="R52" s="82"/>
      <c r="S52" s="82"/>
      <c r="T52" s="82"/>
      <c r="U52" s="17"/>
      <c r="V52" s="82"/>
      <c r="W52" s="82"/>
      <c r="X52" s="82"/>
      <c r="Y52" s="126"/>
      <c r="Z52" s="82"/>
      <c r="AA52" s="82"/>
      <c r="AB52" s="82"/>
      <c r="AC52" s="17"/>
      <c r="AD52" s="82"/>
      <c r="AE52" s="82"/>
      <c r="AF52" s="82"/>
      <c r="AG52" s="17"/>
      <c r="AH52" s="82"/>
      <c r="AI52" s="82"/>
      <c r="AJ52" s="82"/>
      <c r="AK52" s="17"/>
      <c r="AL52" s="82"/>
      <c r="AM52" s="82"/>
      <c r="AN52" s="82"/>
      <c r="AO52" s="126"/>
      <c r="AP52" s="82"/>
      <c r="AQ52" s="82"/>
      <c r="AR52" s="82"/>
      <c r="AS52" s="17"/>
      <c r="AT52" s="82"/>
      <c r="AU52" s="82"/>
      <c r="AV52" s="82"/>
      <c r="AW52" s="17"/>
      <c r="AX52" s="82"/>
      <c r="AY52" s="82"/>
      <c r="AZ52" s="82"/>
      <c r="BA52" s="17"/>
      <c r="BB52" s="82"/>
      <c r="BC52" s="82"/>
      <c r="BD52" s="82"/>
      <c r="BE52" s="126"/>
      <c r="BF52" s="82"/>
      <c r="BG52" s="82"/>
      <c r="BH52" s="82"/>
      <c r="BI52" s="17"/>
      <c r="BJ52" s="82"/>
      <c r="BK52" s="82"/>
      <c r="BL52" s="82"/>
      <c r="BM52" s="17"/>
      <c r="BN52" s="82"/>
      <c r="BO52" s="82"/>
      <c r="BP52" s="82"/>
      <c r="BQ52" s="17"/>
      <c r="BR52" s="82"/>
      <c r="BS52" s="82"/>
      <c r="BT52" s="82"/>
      <c r="BU52" s="126"/>
      <c r="BV52" s="82"/>
      <c r="BW52" s="82"/>
      <c r="BX52" s="82"/>
      <c r="BY52" s="17"/>
      <c r="BZ52" s="82"/>
      <c r="CA52" s="82"/>
      <c r="CB52" s="82"/>
      <c r="CC52" s="17"/>
      <c r="CD52" s="82"/>
      <c r="CE52" s="82"/>
      <c r="CF52" s="82"/>
      <c r="CG52" s="17"/>
      <c r="CH52" s="82"/>
      <c r="CI52" s="82"/>
      <c r="CJ52" s="82"/>
      <c r="CK52" s="126"/>
      <c r="CL52" s="82"/>
      <c r="CM52" s="82"/>
      <c r="CN52" s="82"/>
      <c r="CO52" s="17"/>
      <c r="CP52" s="82"/>
      <c r="CQ52" s="82"/>
      <c r="CR52" s="82"/>
      <c r="CS52" s="17"/>
      <c r="CT52" s="82"/>
      <c r="CU52" s="82"/>
      <c r="CV52" s="82"/>
      <c r="CW52" s="17"/>
      <c r="CX52" s="82"/>
      <c r="CY52" s="82"/>
      <c r="CZ52" s="82"/>
      <c r="DA52" s="17"/>
      <c r="DB52" s="82"/>
      <c r="DC52" s="82"/>
      <c r="DD52" s="82"/>
      <c r="DE52" s="17"/>
      <c r="DF52" s="17"/>
      <c r="DG52" s="17"/>
      <c r="DH52" s="17"/>
      <c r="DI52" s="17"/>
      <c r="DJ52" s="17"/>
      <c r="DK52" s="17"/>
      <c r="DL52" s="17"/>
      <c r="DM52" s="17"/>
      <c r="DN52" s="17"/>
      <c r="DO52" s="17"/>
      <c r="DP52" s="17"/>
      <c r="DQ52" s="17"/>
    </row>
    <row r="53" spans="2:121" ht="14.1" customHeight="1" x14ac:dyDescent="0.2">
      <c r="B53" s="18" t="s">
        <v>79</v>
      </c>
      <c r="C53" s="22"/>
      <c r="D53" s="87"/>
      <c r="E53" s="86"/>
      <c r="F53" s="92"/>
      <c r="G53" s="82"/>
      <c r="H53" s="82"/>
      <c r="I53" s="126"/>
      <c r="J53" s="82"/>
      <c r="K53" s="82"/>
      <c r="L53" s="82"/>
      <c r="M53" s="17"/>
      <c r="N53" s="82"/>
      <c r="O53" s="82"/>
      <c r="P53" s="82"/>
      <c r="Q53" s="17"/>
      <c r="R53" s="82"/>
      <c r="S53" s="82"/>
      <c r="T53" s="82"/>
      <c r="U53" s="17"/>
      <c r="V53" s="82"/>
      <c r="W53" s="82"/>
      <c r="X53" s="82"/>
      <c r="Y53" s="126"/>
      <c r="Z53" s="82"/>
      <c r="AA53" s="82"/>
      <c r="AB53" s="82"/>
      <c r="AC53" s="17"/>
      <c r="AD53" s="82"/>
      <c r="AE53" s="82"/>
      <c r="AF53" s="82"/>
      <c r="AG53" s="17"/>
      <c r="AH53" s="82"/>
      <c r="AI53" s="82"/>
      <c r="AJ53" s="82"/>
      <c r="AK53" s="17"/>
      <c r="AL53" s="82"/>
      <c r="AM53" s="82"/>
      <c r="AN53" s="82"/>
      <c r="AO53" s="126"/>
      <c r="AP53" s="82"/>
      <c r="AQ53" s="82"/>
      <c r="AR53" s="82"/>
      <c r="AS53" s="17"/>
      <c r="AT53" s="82"/>
      <c r="AU53" s="82"/>
      <c r="AV53" s="82"/>
      <c r="AW53" s="17"/>
      <c r="AX53" s="82"/>
      <c r="AY53" s="82"/>
      <c r="AZ53" s="82"/>
      <c r="BA53" s="17"/>
      <c r="BB53" s="82"/>
      <c r="BC53" s="82"/>
      <c r="BD53" s="82"/>
      <c r="BE53" s="126"/>
      <c r="BF53" s="82"/>
      <c r="BG53" s="82"/>
      <c r="BH53" s="82"/>
      <c r="BI53" s="17"/>
      <c r="BJ53" s="82"/>
      <c r="BK53" s="82"/>
      <c r="BL53" s="82"/>
      <c r="BM53" s="17"/>
      <c r="BN53" s="82"/>
      <c r="BO53" s="82"/>
      <c r="BP53" s="82"/>
      <c r="BQ53" s="17"/>
      <c r="BR53" s="82"/>
      <c r="BS53" s="82"/>
      <c r="BT53" s="82"/>
      <c r="BU53" s="126"/>
      <c r="BV53" s="82"/>
      <c r="BW53" s="82"/>
      <c r="BX53" s="82"/>
      <c r="BY53" s="17"/>
      <c r="BZ53" s="82"/>
      <c r="CA53" s="82"/>
      <c r="CB53" s="82"/>
      <c r="CC53" s="17"/>
      <c r="CD53" s="82"/>
      <c r="CE53" s="82"/>
      <c r="CF53" s="82"/>
      <c r="CG53" s="17"/>
      <c r="CH53" s="82"/>
      <c r="CI53" s="82"/>
      <c r="CJ53" s="82"/>
      <c r="CK53" s="126"/>
      <c r="CL53" s="82"/>
      <c r="CM53" s="82"/>
      <c r="CN53" s="82"/>
      <c r="CO53" s="17"/>
      <c r="CP53" s="82"/>
      <c r="CQ53" s="82"/>
      <c r="CR53" s="82"/>
      <c r="CS53" s="17"/>
      <c r="CT53" s="82"/>
      <c r="CU53" s="82"/>
      <c r="CV53" s="82"/>
      <c r="CW53" s="17"/>
      <c r="CX53" s="82"/>
      <c r="CY53" s="82"/>
      <c r="CZ53" s="82"/>
      <c r="DA53" s="17"/>
      <c r="DB53" s="82"/>
      <c r="DC53" s="82"/>
      <c r="DD53" s="82"/>
      <c r="DE53" s="17"/>
      <c r="DF53" s="17"/>
      <c r="DG53" s="17"/>
      <c r="DH53" s="17"/>
      <c r="DI53" s="17"/>
      <c r="DJ53" s="17"/>
      <c r="DK53" s="17"/>
      <c r="DL53" s="17"/>
      <c r="DM53" s="17"/>
      <c r="DN53" s="17"/>
      <c r="DO53" s="17"/>
      <c r="DP53" s="17"/>
      <c r="DQ53" s="17"/>
    </row>
    <row r="54" spans="2:121" ht="14.1" customHeight="1" x14ac:dyDescent="0.2">
      <c r="B54" s="18"/>
      <c r="C54" s="22"/>
      <c r="D54" s="87"/>
      <c r="E54" s="86"/>
      <c r="F54" s="92"/>
      <c r="G54" s="82"/>
      <c r="H54" s="82"/>
      <c r="I54" s="126"/>
      <c r="J54" s="82"/>
      <c r="K54" s="82"/>
      <c r="L54" s="82"/>
      <c r="M54" s="17"/>
      <c r="N54" s="82"/>
      <c r="O54" s="82"/>
      <c r="P54" s="82"/>
      <c r="Q54" s="17"/>
      <c r="R54" s="82"/>
      <c r="S54" s="82"/>
      <c r="T54" s="82"/>
      <c r="U54" s="17"/>
      <c r="V54" s="82"/>
      <c r="W54" s="82"/>
      <c r="X54" s="82"/>
      <c r="Y54" s="126"/>
      <c r="Z54" s="82"/>
      <c r="AA54" s="82"/>
      <c r="AB54" s="82"/>
      <c r="AC54" s="17"/>
      <c r="AD54" s="82"/>
      <c r="AE54" s="82"/>
      <c r="AF54" s="82"/>
      <c r="AG54" s="17"/>
      <c r="AH54" s="82"/>
      <c r="AI54" s="82"/>
      <c r="AJ54" s="82"/>
      <c r="AK54" s="17"/>
      <c r="AL54" s="82"/>
      <c r="AM54" s="82"/>
      <c r="AN54" s="82"/>
      <c r="AO54" s="126"/>
      <c r="AP54" s="82"/>
      <c r="AQ54" s="82"/>
      <c r="AR54" s="82"/>
      <c r="AS54" s="17"/>
      <c r="AT54" s="82"/>
      <c r="AU54" s="82"/>
      <c r="AV54" s="82"/>
      <c r="AW54" s="17"/>
      <c r="AX54" s="82"/>
      <c r="AY54" s="82"/>
      <c r="AZ54" s="82"/>
      <c r="BA54" s="17"/>
      <c r="BB54" s="82"/>
      <c r="BC54" s="82"/>
      <c r="BD54" s="82"/>
      <c r="BE54" s="126"/>
      <c r="BF54" s="82"/>
      <c r="BG54" s="82"/>
      <c r="BH54" s="82"/>
      <c r="BI54" s="17"/>
      <c r="BJ54" s="82"/>
      <c r="BK54" s="82"/>
      <c r="BL54" s="82"/>
      <c r="BM54" s="17"/>
      <c r="BN54" s="82"/>
      <c r="BO54" s="82"/>
      <c r="BP54" s="82"/>
      <c r="BQ54" s="17"/>
      <c r="BR54" s="82"/>
      <c r="BS54" s="82"/>
      <c r="BT54" s="82"/>
      <c r="BU54" s="126"/>
      <c r="BV54" s="82"/>
      <c r="BW54" s="82"/>
      <c r="BX54" s="82"/>
      <c r="BY54" s="17"/>
      <c r="BZ54" s="82"/>
      <c r="CA54" s="82"/>
      <c r="CB54" s="82"/>
      <c r="CC54" s="17"/>
      <c r="CD54" s="82"/>
      <c r="CE54" s="82"/>
      <c r="CF54" s="82"/>
      <c r="CG54" s="17"/>
      <c r="CH54" s="82"/>
      <c r="CI54" s="82"/>
      <c r="CJ54" s="82"/>
      <c r="CK54" s="126"/>
      <c r="CL54" s="82"/>
      <c r="CM54" s="82"/>
      <c r="CN54" s="82"/>
      <c r="CO54" s="17"/>
      <c r="CP54" s="82"/>
      <c r="CQ54" s="82"/>
      <c r="CR54" s="82"/>
      <c r="CS54" s="17"/>
      <c r="CT54" s="82"/>
      <c r="CU54" s="82"/>
      <c r="CV54" s="82"/>
      <c r="CW54" s="17"/>
      <c r="CX54" s="82"/>
      <c r="CY54" s="82"/>
      <c r="CZ54" s="82"/>
      <c r="DA54" s="17"/>
      <c r="DB54" s="82"/>
      <c r="DC54" s="82"/>
      <c r="DD54" s="82"/>
      <c r="DE54" s="17"/>
      <c r="DF54" s="17"/>
      <c r="DG54" s="17"/>
      <c r="DH54" s="17"/>
      <c r="DI54" s="17"/>
      <c r="DJ54" s="17"/>
      <c r="DK54" s="17"/>
      <c r="DL54" s="17"/>
      <c r="DM54" s="17"/>
      <c r="DN54" s="17"/>
      <c r="DO54" s="17"/>
      <c r="DP54" s="17"/>
      <c r="DQ54" s="17"/>
    </row>
    <row r="55" spans="2:121" ht="14.1" customHeight="1" x14ac:dyDescent="0.2">
      <c r="B55" s="19" t="s">
        <v>181</v>
      </c>
      <c r="C55" s="22"/>
      <c r="D55" s="22"/>
      <c r="E55" s="22"/>
      <c r="F55" s="92"/>
      <c r="G55" s="82"/>
      <c r="H55" s="82"/>
      <c r="I55" s="126"/>
      <c r="J55" s="82"/>
      <c r="K55" s="82"/>
      <c r="L55" s="82"/>
      <c r="M55" s="17"/>
      <c r="N55" s="82"/>
      <c r="O55" s="82"/>
      <c r="P55" s="82"/>
      <c r="Q55" s="17"/>
      <c r="R55" s="82"/>
      <c r="S55" s="82"/>
      <c r="T55" s="82"/>
      <c r="U55" s="17"/>
      <c r="V55" s="82"/>
      <c r="W55" s="82"/>
      <c r="X55" s="82"/>
      <c r="Y55" s="126"/>
      <c r="Z55" s="82"/>
      <c r="AA55" s="82"/>
      <c r="AB55" s="82"/>
      <c r="AC55" s="17"/>
      <c r="AD55" s="82"/>
      <c r="AE55" s="82"/>
      <c r="AF55" s="82"/>
      <c r="AG55" s="17"/>
      <c r="AH55" s="82"/>
      <c r="AI55" s="82"/>
      <c r="AJ55" s="82"/>
      <c r="AK55" s="17"/>
      <c r="AL55" s="82"/>
      <c r="AM55" s="82"/>
      <c r="AN55" s="82"/>
      <c r="AO55" s="126"/>
      <c r="AP55" s="82"/>
      <c r="AQ55" s="82"/>
      <c r="AR55" s="82"/>
      <c r="AS55" s="17"/>
      <c r="AT55" s="82"/>
      <c r="AU55" s="82"/>
      <c r="AV55" s="82"/>
      <c r="AW55" s="17"/>
      <c r="AX55" s="82"/>
      <c r="AY55" s="82"/>
      <c r="AZ55" s="82"/>
      <c r="BA55" s="17"/>
      <c r="BB55" s="82"/>
      <c r="BC55" s="82"/>
      <c r="BD55" s="82"/>
      <c r="BE55" s="126"/>
      <c r="BF55" s="82"/>
      <c r="BG55" s="82"/>
      <c r="BH55" s="82"/>
      <c r="BI55" s="17"/>
      <c r="BJ55" s="82"/>
      <c r="BK55" s="82"/>
      <c r="BL55" s="82"/>
      <c r="BM55" s="17"/>
      <c r="BN55" s="82"/>
      <c r="BO55" s="82"/>
      <c r="BP55" s="82"/>
      <c r="BQ55" s="17"/>
      <c r="BR55" s="82"/>
      <c r="BS55" s="82"/>
      <c r="BT55" s="82"/>
      <c r="BU55" s="126"/>
      <c r="BV55" s="82"/>
      <c r="BW55" s="82"/>
      <c r="BX55" s="82"/>
      <c r="BY55" s="17"/>
      <c r="BZ55" s="82"/>
      <c r="CA55" s="82"/>
      <c r="CB55" s="82"/>
      <c r="CC55" s="17"/>
      <c r="CD55" s="82"/>
      <c r="CE55" s="82"/>
      <c r="CF55" s="82"/>
      <c r="CG55" s="17"/>
      <c r="CH55" s="82"/>
      <c r="CI55" s="82"/>
      <c r="CJ55" s="82"/>
      <c r="CK55" s="126"/>
      <c r="CL55" s="82"/>
      <c r="CM55" s="82"/>
      <c r="CN55" s="82"/>
      <c r="CO55" s="17"/>
      <c r="CP55" s="82"/>
      <c r="CQ55" s="82"/>
      <c r="CR55" s="82"/>
      <c r="CS55" s="17"/>
      <c r="CT55" s="82"/>
      <c r="CU55" s="82"/>
      <c r="CV55" s="82"/>
      <c r="CW55" s="17"/>
      <c r="CX55" s="82"/>
      <c r="CY55" s="82"/>
      <c r="CZ55" s="82"/>
      <c r="DA55" s="17"/>
      <c r="DB55" s="82"/>
      <c r="DC55" s="82"/>
      <c r="DD55" s="82"/>
      <c r="DE55" s="17"/>
      <c r="DF55" s="17"/>
      <c r="DG55" s="17"/>
      <c r="DH55" s="17"/>
      <c r="DI55" s="17"/>
      <c r="DJ55" s="17"/>
      <c r="DK55" s="17"/>
      <c r="DL55" s="17"/>
      <c r="DM55" s="17"/>
      <c r="DN55" s="17"/>
      <c r="DO55" s="17"/>
      <c r="DP55" s="17"/>
      <c r="DQ55" s="17"/>
    </row>
    <row r="56" spans="2:121" ht="14.1" customHeight="1" x14ac:dyDescent="0.2">
      <c r="B56" s="148" t="s">
        <v>160</v>
      </c>
      <c r="C56" s="22"/>
      <c r="D56" s="22"/>
      <c r="E56" s="22"/>
      <c r="F56" s="92"/>
      <c r="G56" s="82"/>
      <c r="H56" s="82"/>
      <c r="I56" s="126"/>
      <c r="J56" s="82"/>
      <c r="K56" s="82"/>
      <c r="L56" s="82"/>
      <c r="M56" s="17"/>
      <c r="N56" s="82"/>
      <c r="O56" s="82"/>
      <c r="P56" s="82"/>
      <c r="Q56" s="17"/>
      <c r="R56" s="82"/>
      <c r="S56" s="82"/>
      <c r="T56" s="82"/>
      <c r="U56" s="17"/>
      <c r="V56" s="82"/>
      <c r="W56" s="82"/>
      <c r="X56" s="82"/>
      <c r="Y56" s="126"/>
      <c r="Z56" s="82"/>
      <c r="AA56" s="82"/>
      <c r="AB56" s="82"/>
      <c r="AC56" s="17"/>
      <c r="AD56" s="82"/>
      <c r="AE56" s="82"/>
      <c r="AF56" s="82"/>
      <c r="AG56" s="17"/>
      <c r="AH56" s="82"/>
      <c r="AI56" s="82"/>
      <c r="AJ56" s="82"/>
      <c r="AK56" s="17"/>
      <c r="AL56" s="82"/>
      <c r="AM56" s="82"/>
      <c r="AN56" s="82"/>
      <c r="AO56" s="126"/>
      <c r="AP56" s="82"/>
      <c r="AQ56" s="82"/>
      <c r="AR56" s="82"/>
      <c r="AS56" s="17"/>
      <c r="AT56" s="82"/>
      <c r="AU56" s="82"/>
      <c r="AV56" s="82"/>
      <c r="AW56" s="17"/>
      <c r="AX56" s="82"/>
      <c r="AY56" s="82"/>
      <c r="AZ56" s="82"/>
      <c r="BA56" s="17"/>
      <c r="BB56" s="82"/>
      <c r="BC56" s="82"/>
      <c r="BD56" s="82"/>
      <c r="BE56" s="126"/>
      <c r="BF56" s="82"/>
      <c r="BG56" s="82"/>
      <c r="BH56" s="82"/>
      <c r="BI56" s="17"/>
      <c r="BJ56" s="82"/>
      <c r="BK56" s="82"/>
      <c r="BL56" s="82"/>
      <c r="BM56" s="17"/>
      <c r="BN56" s="82"/>
      <c r="BO56" s="82"/>
      <c r="BP56" s="82"/>
      <c r="BQ56" s="17"/>
      <c r="BR56" s="82"/>
      <c r="BS56" s="82"/>
      <c r="BT56" s="82"/>
      <c r="BU56" s="126"/>
      <c r="BV56" s="82"/>
      <c r="BW56" s="82"/>
      <c r="BX56" s="82"/>
      <c r="BY56" s="17"/>
      <c r="BZ56" s="82"/>
      <c r="CA56" s="82"/>
      <c r="CB56" s="82"/>
      <c r="CC56" s="17"/>
      <c r="CD56" s="82"/>
      <c r="CE56" s="82"/>
      <c r="CF56" s="82"/>
      <c r="CG56" s="17"/>
      <c r="CH56" s="82"/>
      <c r="CI56" s="82"/>
      <c r="CJ56" s="82"/>
      <c r="CK56" s="126"/>
      <c r="CL56" s="82"/>
      <c r="CM56" s="82"/>
      <c r="CN56" s="82"/>
      <c r="CO56" s="17"/>
      <c r="CP56" s="82"/>
      <c r="CQ56" s="82"/>
      <c r="CR56" s="82"/>
      <c r="CS56" s="17"/>
      <c r="CT56" s="82"/>
      <c r="CU56" s="82"/>
      <c r="CV56" s="82"/>
      <c r="CW56" s="17"/>
      <c r="CX56" s="82"/>
      <c r="CY56" s="82"/>
      <c r="CZ56" s="82"/>
      <c r="DA56" s="17"/>
      <c r="DB56" s="82"/>
      <c r="DC56" s="82"/>
      <c r="DD56" s="82"/>
      <c r="DE56" s="17"/>
      <c r="DF56" s="17"/>
      <c r="DG56" s="17"/>
      <c r="DH56" s="17"/>
      <c r="DI56" s="17"/>
      <c r="DJ56" s="17"/>
      <c r="DK56" s="17"/>
      <c r="DL56" s="17"/>
      <c r="DM56" s="17"/>
      <c r="DN56" s="17"/>
      <c r="DO56" s="17"/>
      <c r="DP56" s="17"/>
      <c r="DQ56" s="17"/>
    </row>
    <row r="57" spans="2:121" ht="13.9" customHeight="1" x14ac:dyDescent="0.2">
      <c r="B57" s="148" t="s">
        <v>161</v>
      </c>
      <c r="C57" s="22"/>
      <c r="D57" s="22"/>
      <c r="E57" s="22"/>
      <c r="F57" s="92"/>
      <c r="G57" s="82"/>
      <c r="H57" s="82"/>
      <c r="I57" s="126"/>
      <c r="J57" s="82"/>
      <c r="K57" s="82"/>
      <c r="L57" s="82"/>
      <c r="M57" s="17"/>
      <c r="N57" s="82"/>
      <c r="O57" s="82"/>
      <c r="P57" s="82"/>
      <c r="Q57" s="17"/>
      <c r="R57" s="82"/>
      <c r="S57" s="82"/>
      <c r="T57" s="82"/>
      <c r="U57" s="17"/>
      <c r="V57" s="82"/>
      <c r="W57" s="82"/>
      <c r="X57" s="82"/>
      <c r="Y57" s="126"/>
      <c r="Z57" s="82"/>
      <c r="AA57" s="82"/>
      <c r="AB57" s="82"/>
      <c r="AC57" s="17"/>
      <c r="AD57" s="82"/>
      <c r="AE57" s="82"/>
      <c r="AF57" s="82"/>
      <c r="AG57" s="17"/>
      <c r="AH57" s="82"/>
      <c r="AI57" s="82"/>
      <c r="AJ57" s="82"/>
      <c r="AK57" s="17"/>
      <c r="AL57" s="82"/>
      <c r="AM57" s="82"/>
      <c r="AN57" s="82"/>
      <c r="AO57" s="126"/>
      <c r="AP57" s="82"/>
      <c r="AQ57" s="82"/>
      <c r="AR57" s="82"/>
      <c r="AS57" s="17"/>
      <c r="AT57" s="82"/>
      <c r="AU57" s="82"/>
      <c r="AV57" s="82"/>
      <c r="AW57" s="17"/>
      <c r="AX57" s="82"/>
      <c r="AY57" s="82"/>
      <c r="AZ57" s="82"/>
      <c r="BA57" s="17"/>
      <c r="BB57" s="82"/>
      <c r="BC57" s="82"/>
      <c r="BD57" s="82"/>
      <c r="BE57" s="126"/>
      <c r="BF57" s="82"/>
      <c r="BG57" s="82"/>
      <c r="BH57" s="82"/>
      <c r="BI57" s="17"/>
      <c r="BJ57" s="82"/>
      <c r="BK57" s="82"/>
      <c r="BL57" s="82"/>
      <c r="BM57" s="17"/>
      <c r="BN57" s="82"/>
      <c r="BO57" s="82"/>
      <c r="BP57" s="82"/>
      <c r="BQ57" s="17"/>
      <c r="BR57" s="82"/>
      <c r="BS57" s="82"/>
      <c r="BT57" s="82"/>
      <c r="BU57" s="126"/>
      <c r="BV57" s="82"/>
      <c r="BW57" s="82"/>
      <c r="BX57" s="82"/>
      <c r="BY57" s="17"/>
      <c r="BZ57" s="82"/>
      <c r="CA57" s="82"/>
      <c r="CB57" s="82"/>
      <c r="CC57" s="17"/>
      <c r="CD57" s="82"/>
      <c r="CE57" s="82"/>
      <c r="CF57" s="82"/>
      <c r="CG57" s="17"/>
      <c r="CH57" s="82"/>
      <c r="CI57" s="82"/>
      <c r="CJ57" s="82"/>
      <c r="CK57" s="126"/>
      <c r="CL57" s="82"/>
      <c r="CM57" s="82"/>
      <c r="CN57" s="82"/>
      <c r="CO57" s="17"/>
      <c r="CP57" s="82"/>
      <c r="CQ57" s="82"/>
      <c r="CR57" s="82"/>
      <c r="CS57" s="17"/>
      <c r="CT57" s="82"/>
      <c r="CU57" s="82"/>
      <c r="CV57" s="82"/>
      <c r="CW57" s="17"/>
      <c r="CX57" s="82"/>
      <c r="CY57" s="82"/>
      <c r="CZ57" s="82"/>
      <c r="DA57" s="17"/>
      <c r="DB57" s="82"/>
      <c r="DC57" s="82"/>
      <c r="DD57" s="82"/>
      <c r="DE57" s="17"/>
      <c r="DF57" s="17"/>
      <c r="DG57" s="17"/>
      <c r="DH57" s="17"/>
      <c r="DI57" s="17"/>
      <c r="DJ57" s="17"/>
      <c r="DK57" s="17"/>
      <c r="DL57" s="17"/>
      <c r="DM57" s="17"/>
      <c r="DN57" s="17"/>
      <c r="DO57" s="17"/>
      <c r="DP57" s="17"/>
      <c r="DQ57" s="17"/>
    </row>
    <row r="58" spans="2:121" ht="14.1" customHeight="1" x14ac:dyDescent="0.2">
      <c r="B58" s="18"/>
      <c r="C58" s="22"/>
      <c r="D58" s="87"/>
      <c r="E58" s="86"/>
      <c r="F58" s="92"/>
      <c r="G58" s="82"/>
      <c r="H58" s="82"/>
      <c r="I58" s="126"/>
      <c r="J58" s="82"/>
      <c r="K58" s="82"/>
      <c r="L58" s="82"/>
      <c r="M58" s="17"/>
      <c r="N58" s="82"/>
      <c r="O58" s="82"/>
      <c r="P58" s="82"/>
      <c r="Q58" s="17"/>
      <c r="R58" s="82"/>
      <c r="S58" s="82"/>
      <c r="T58" s="82"/>
      <c r="U58" s="17"/>
      <c r="V58" s="82"/>
      <c r="W58" s="82"/>
      <c r="X58" s="82"/>
      <c r="Y58" s="126"/>
      <c r="Z58" s="82"/>
      <c r="AA58" s="82"/>
      <c r="AB58" s="82"/>
      <c r="AC58" s="17"/>
      <c r="AD58" s="82"/>
      <c r="AE58" s="82"/>
      <c r="AF58" s="82"/>
      <c r="AG58" s="17"/>
      <c r="AH58" s="82"/>
      <c r="AI58" s="82"/>
      <c r="AJ58" s="82"/>
      <c r="AK58" s="17"/>
      <c r="AL58" s="82"/>
      <c r="AM58" s="82"/>
      <c r="AN58" s="82"/>
      <c r="AO58" s="126"/>
      <c r="AP58" s="82"/>
      <c r="AQ58" s="82"/>
      <c r="AR58" s="82"/>
      <c r="AS58" s="17"/>
      <c r="AT58" s="82"/>
      <c r="AU58" s="82"/>
      <c r="AV58" s="82"/>
      <c r="AW58" s="17"/>
      <c r="AX58" s="82"/>
      <c r="AY58" s="82"/>
      <c r="AZ58" s="82"/>
      <c r="BA58" s="17"/>
      <c r="BB58" s="82"/>
      <c r="BC58" s="82"/>
      <c r="BD58" s="82"/>
      <c r="BE58" s="126"/>
      <c r="BF58" s="82"/>
      <c r="BG58" s="82"/>
      <c r="BH58" s="82"/>
      <c r="BI58" s="17"/>
      <c r="BJ58" s="82"/>
      <c r="BK58" s="82"/>
      <c r="BL58" s="82"/>
      <c r="BM58" s="17"/>
      <c r="BN58" s="82"/>
      <c r="BO58" s="82"/>
      <c r="BP58" s="82"/>
      <c r="BQ58" s="17"/>
      <c r="BR58" s="82"/>
      <c r="BS58" s="82"/>
      <c r="BT58" s="82"/>
      <c r="BU58" s="126"/>
      <c r="BV58" s="82"/>
      <c r="BW58" s="82"/>
      <c r="BX58" s="82"/>
      <c r="BY58" s="17"/>
      <c r="BZ58" s="82"/>
      <c r="CA58" s="82"/>
      <c r="CB58" s="82"/>
      <c r="CC58" s="17"/>
      <c r="CD58" s="82"/>
      <c r="CE58" s="82"/>
      <c r="CF58" s="82"/>
      <c r="CG58" s="17"/>
      <c r="CH58" s="82"/>
      <c r="CI58" s="82"/>
      <c r="CJ58" s="82"/>
      <c r="CK58" s="126"/>
      <c r="CL58" s="82"/>
      <c r="CM58" s="82"/>
      <c r="CN58" s="82"/>
      <c r="CO58" s="17"/>
      <c r="CP58" s="82"/>
      <c r="CQ58" s="82"/>
      <c r="CR58" s="82"/>
      <c r="CS58" s="17"/>
      <c r="CT58" s="82"/>
      <c r="CU58" s="82"/>
      <c r="CV58" s="82"/>
      <c r="CW58" s="17"/>
      <c r="CX58" s="82"/>
      <c r="CY58" s="82"/>
      <c r="CZ58" s="82"/>
      <c r="DA58" s="17"/>
      <c r="DB58" s="82"/>
      <c r="DC58" s="82"/>
      <c r="DD58" s="82"/>
      <c r="DE58" s="17"/>
      <c r="DF58" s="17"/>
      <c r="DG58" s="17"/>
      <c r="DH58" s="17"/>
      <c r="DI58" s="17"/>
      <c r="DJ58" s="17"/>
      <c r="DK58" s="17"/>
      <c r="DL58" s="17"/>
      <c r="DM58" s="17"/>
      <c r="DN58" s="17"/>
      <c r="DO58" s="17"/>
      <c r="DP58" s="17"/>
      <c r="DQ58" s="17"/>
    </row>
    <row r="59" spans="2:121" ht="14.1" customHeight="1" x14ac:dyDescent="0.2">
      <c r="B59" s="19" t="s">
        <v>158</v>
      </c>
      <c r="C59" s="22"/>
      <c r="D59" s="22"/>
      <c r="E59" s="22"/>
      <c r="F59" s="92"/>
      <c r="G59" s="82"/>
      <c r="H59" s="82"/>
      <c r="I59" s="126"/>
      <c r="J59" s="82"/>
      <c r="K59" s="82"/>
      <c r="L59" s="82"/>
      <c r="M59" s="17"/>
      <c r="N59" s="82"/>
      <c r="O59" s="82"/>
      <c r="P59" s="82"/>
      <c r="Q59" s="17"/>
      <c r="R59" s="82"/>
      <c r="S59" s="82"/>
      <c r="T59" s="82"/>
      <c r="U59" s="17"/>
      <c r="V59" s="82"/>
      <c r="W59" s="82"/>
      <c r="X59" s="82"/>
      <c r="Y59" s="126"/>
      <c r="Z59" s="82"/>
      <c r="AA59" s="82"/>
      <c r="AB59" s="82"/>
      <c r="AC59" s="17"/>
      <c r="AD59" s="82"/>
      <c r="AE59" s="82"/>
      <c r="AF59" s="82"/>
      <c r="AG59" s="17"/>
      <c r="AH59" s="82"/>
      <c r="AI59" s="82"/>
      <c r="AJ59" s="82"/>
      <c r="AK59" s="17"/>
      <c r="AL59" s="82"/>
      <c r="AM59" s="82"/>
      <c r="AN59" s="82"/>
      <c r="AO59" s="126"/>
      <c r="AP59" s="82"/>
      <c r="AQ59" s="82"/>
      <c r="AR59" s="82"/>
      <c r="AS59" s="17"/>
      <c r="AT59" s="82"/>
      <c r="AU59" s="82"/>
      <c r="AV59" s="82"/>
      <c r="AW59" s="17"/>
      <c r="AX59" s="82"/>
      <c r="AY59" s="82"/>
      <c r="AZ59" s="82"/>
      <c r="BA59" s="17"/>
      <c r="BB59" s="82"/>
      <c r="BC59" s="82"/>
      <c r="BD59" s="82"/>
      <c r="BE59" s="126"/>
      <c r="BF59" s="82"/>
      <c r="BG59" s="82"/>
      <c r="BH59" s="82"/>
      <c r="BI59" s="17"/>
      <c r="BJ59" s="82"/>
      <c r="BK59" s="82"/>
      <c r="BL59" s="82"/>
      <c r="BM59" s="17"/>
      <c r="BN59" s="82"/>
      <c r="BO59" s="82"/>
      <c r="BP59" s="82"/>
      <c r="BQ59" s="17"/>
      <c r="BR59" s="82"/>
      <c r="BS59" s="82"/>
      <c r="BT59" s="82"/>
      <c r="BU59" s="126"/>
      <c r="BV59" s="82"/>
      <c r="BW59" s="82"/>
      <c r="BX59" s="82"/>
      <c r="BY59" s="17"/>
      <c r="BZ59" s="82"/>
      <c r="CA59" s="82"/>
      <c r="CB59" s="82"/>
      <c r="CC59" s="17"/>
      <c r="CD59" s="82"/>
      <c r="CE59" s="82"/>
      <c r="CF59" s="82"/>
      <c r="CG59" s="17"/>
      <c r="CH59" s="82"/>
      <c r="CI59" s="82"/>
      <c r="CJ59" s="82"/>
      <c r="CK59" s="126"/>
      <c r="CL59" s="82"/>
      <c r="CM59" s="82"/>
      <c r="CN59" s="82"/>
      <c r="CO59" s="17"/>
      <c r="CP59" s="82"/>
      <c r="CQ59" s="82"/>
      <c r="CR59" s="82"/>
      <c r="CS59" s="17"/>
      <c r="CT59" s="82"/>
      <c r="CU59" s="82"/>
      <c r="CV59" s="82"/>
      <c r="CW59" s="17"/>
      <c r="CX59" s="82"/>
      <c r="CY59" s="82"/>
      <c r="CZ59" s="82"/>
      <c r="DA59" s="17"/>
      <c r="DB59" s="82"/>
      <c r="DC59" s="82"/>
      <c r="DD59" s="82"/>
      <c r="DE59" s="17"/>
      <c r="DF59" s="17"/>
      <c r="DG59" s="17"/>
      <c r="DH59" s="17"/>
      <c r="DI59" s="17"/>
      <c r="DJ59" s="17"/>
      <c r="DK59" s="17"/>
      <c r="DL59" s="17"/>
      <c r="DM59" s="17"/>
      <c r="DN59" s="17"/>
      <c r="DO59" s="17"/>
      <c r="DP59" s="17"/>
      <c r="DQ59" s="17"/>
    </row>
    <row r="60" spans="2:121" ht="14.1" customHeight="1" x14ac:dyDescent="0.2">
      <c r="B60" s="148" t="s">
        <v>160</v>
      </c>
      <c r="C60" s="22"/>
      <c r="D60" s="22"/>
      <c r="E60" s="22"/>
      <c r="F60" s="92"/>
      <c r="G60" s="82"/>
      <c r="H60" s="82"/>
      <c r="I60" s="126"/>
      <c r="J60" s="82"/>
      <c r="K60" s="82"/>
      <c r="L60" s="82"/>
      <c r="M60" s="17"/>
      <c r="N60" s="82"/>
      <c r="O60" s="82"/>
      <c r="P60" s="82"/>
      <c r="Q60" s="17"/>
      <c r="R60" s="82"/>
      <c r="S60" s="82"/>
      <c r="T60" s="82"/>
      <c r="U60" s="17"/>
      <c r="V60" s="82"/>
      <c r="W60" s="82"/>
      <c r="X60" s="82"/>
      <c r="Y60" s="126"/>
      <c r="Z60" s="82"/>
      <c r="AA60" s="82"/>
      <c r="AB60" s="82"/>
      <c r="AC60" s="17"/>
      <c r="AD60" s="82"/>
      <c r="AE60" s="82"/>
      <c r="AF60" s="82"/>
      <c r="AG60" s="17"/>
      <c r="AH60" s="82"/>
      <c r="AI60" s="82"/>
      <c r="AJ60" s="82"/>
      <c r="AK60" s="17"/>
      <c r="AL60" s="82"/>
      <c r="AM60" s="82"/>
      <c r="AN60" s="82"/>
      <c r="AO60" s="126"/>
      <c r="AP60" s="82"/>
      <c r="AQ60" s="82"/>
      <c r="AR60" s="82"/>
      <c r="AS60" s="17"/>
      <c r="AT60" s="82"/>
      <c r="AU60" s="82"/>
      <c r="AV60" s="82"/>
      <c r="AW60" s="17"/>
      <c r="AX60" s="82"/>
      <c r="AY60" s="82"/>
      <c r="AZ60" s="82"/>
      <c r="BA60" s="17"/>
      <c r="BB60" s="82"/>
      <c r="BC60" s="82"/>
      <c r="BD60" s="82"/>
      <c r="BE60" s="126"/>
      <c r="BF60" s="82"/>
      <c r="BG60" s="82"/>
      <c r="BH60" s="82"/>
      <c r="BI60" s="17"/>
      <c r="BJ60" s="82"/>
      <c r="BK60" s="82"/>
      <c r="BL60" s="82"/>
      <c r="BM60" s="17"/>
      <c r="BN60" s="82"/>
      <c r="BO60" s="82"/>
      <c r="BP60" s="82"/>
      <c r="BQ60" s="17"/>
      <c r="BR60" s="82"/>
      <c r="BS60" s="82"/>
      <c r="BT60" s="82"/>
      <c r="BU60" s="126"/>
      <c r="BV60" s="82"/>
      <c r="BW60" s="82"/>
      <c r="BX60" s="82"/>
      <c r="BY60" s="17"/>
      <c r="BZ60" s="82"/>
      <c r="CA60" s="82"/>
      <c r="CB60" s="82"/>
      <c r="CC60" s="17"/>
      <c r="CD60" s="82"/>
      <c r="CE60" s="82"/>
      <c r="CF60" s="82"/>
      <c r="CG60" s="17"/>
      <c r="CH60" s="82"/>
      <c r="CI60" s="82"/>
      <c r="CJ60" s="82"/>
      <c r="CK60" s="126"/>
      <c r="CL60" s="82"/>
      <c r="CM60" s="82"/>
      <c r="CN60" s="82"/>
      <c r="CO60" s="17"/>
      <c r="CP60" s="82"/>
      <c r="CQ60" s="82"/>
      <c r="CR60" s="82"/>
      <c r="CS60" s="17"/>
      <c r="CT60" s="82"/>
      <c r="CU60" s="82"/>
      <c r="CV60" s="82"/>
      <c r="CW60" s="17"/>
      <c r="CX60" s="82"/>
      <c r="CY60" s="82"/>
      <c r="CZ60" s="82"/>
      <c r="DA60" s="17"/>
      <c r="DB60" s="82"/>
      <c r="DC60" s="82"/>
      <c r="DD60" s="82"/>
      <c r="DE60" s="17"/>
      <c r="DF60" s="17"/>
      <c r="DG60" s="17"/>
      <c r="DH60" s="17"/>
      <c r="DI60" s="17"/>
      <c r="DJ60" s="17"/>
      <c r="DK60" s="17"/>
      <c r="DL60" s="17"/>
      <c r="DM60" s="17"/>
      <c r="DN60" s="17"/>
      <c r="DO60" s="17"/>
      <c r="DP60" s="17"/>
      <c r="DQ60" s="17"/>
    </row>
    <row r="61" spans="2:121" ht="14.1" customHeight="1" x14ac:dyDescent="0.2">
      <c r="B61" s="18" t="s">
        <v>157</v>
      </c>
      <c r="C61" s="22"/>
      <c r="D61" s="22"/>
      <c r="E61" s="22"/>
      <c r="F61" s="92"/>
      <c r="G61" s="82"/>
      <c r="H61" s="82"/>
      <c r="I61" s="126"/>
      <c r="J61" s="82"/>
      <c r="K61" s="82"/>
      <c r="L61" s="82"/>
      <c r="M61" s="17"/>
      <c r="N61" s="82"/>
      <c r="O61" s="82"/>
      <c r="P61" s="82"/>
      <c r="Q61" s="17"/>
      <c r="R61" s="82"/>
      <c r="S61" s="82"/>
      <c r="T61" s="82"/>
      <c r="U61" s="17"/>
      <c r="V61" s="82"/>
      <c r="W61" s="82"/>
      <c r="X61" s="82"/>
      <c r="Y61" s="126"/>
      <c r="Z61" s="82"/>
      <c r="AA61" s="82"/>
      <c r="AB61" s="82"/>
      <c r="AC61" s="17"/>
      <c r="AD61" s="82"/>
      <c r="AE61" s="82"/>
      <c r="AF61" s="82"/>
      <c r="AG61" s="17"/>
      <c r="AH61" s="82"/>
      <c r="AI61" s="82"/>
      <c r="AJ61" s="82"/>
      <c r="AK61" s="17"/>
      <c r="AL61" s="82"/>
      <c r="AM61" s="82"/>
      <c r="AN61" s="82"/>
      <c r="AO61" s="126"/>
      <c r="AP61" s="82"/>
      <c r="AQ61" s="82"/>
      <c r="AR61" s="82"/>
      <c r="AS61" s="17"/>
      <c r="AT61" s="82"/>
      <c r="AU61" s="82"/>
      <c r="AV61" s="82"/>
      <c r="AW61" s="17"/>
      <c r="AX61" s="82"/>
      <c r="AY61" s="82"/>
      <c r="AZ61" s="82"/>
      <c r="BA61" s="17"/>
      <c r="BB61" s="82"/>
      <c r="BC61" s="82"/>
      <c r="BD61" s="82"/>
      <c r="BE61" s="126"/>
      <c r="BF61" s="82"/>
      <c r="BG61" s="82"/>
      <c r="BH61" s="82"/>
      <c r="BI61" s="17"/>
      <c r="BJ61" s="82"/>
      <c r="BK61" s="82"/>
      <c r="BL61" s="82"/>
      <c r="BM61" s="17"/>
      <c r="BN61" s="82"/>
      <c r="BO61" s="82"/>
      <c r="BP61" s="82"/>
      <c r="BQ61" s="17"/>
      <c r="BR61" s="82"/>
      <c r="BS61" s="82"/>
      <c r="BT61" s="82"/>
      <c r="BU61" s="126"/>
      <c r="BV61" s="82"/>
      <c r="BW61" s="82"/>
      <c r="BX61" s="82"/>
      <c r="BY61" s="17"/>
      <c r="BZ61" s="82"/>
      <c r="CA61" s="82"/>
      <c r="CB61" s="82"/>
      <c r="CC61" s="17"/>
      <c r="CD61" s="82"/>
      <c r="CE61" s="82"/>
      <c r="CF61" s="82"/>
      <c r="CG61" s="17"/>
      <c r="CH61" s="82"/>
      <c r="CI61" s="82"/>
      <c r="CJ61" s="82"/>
      <c r="CK61" s="126"/>
      <c r="CL61" s="82"/>
      <c r="CM61" s="82"/>
      <c r="CN61" s="82"/>
      <c r="CO61" s="17"/>
      <c r="CP61" s="82"/>
      <c r="CQ61" s="82"/>
      <c r="CR61" s="82"/>
      <c r="CS61" s="17"/>
      <c r="CT61" s="82"/>
      <c r="CU61" s="82"/>
      <c r="CV61" s="82"/>
      <c r="CW61" s="17"/>
      <c r="CX61" s="82"/>
      <c r="CY61" s="82"/>
      <c r="CZ61" s="82"/>
      <c r="DA61" s="17"/>
      <c r="DB61" s="82"/>
      <c r="DC61" s="82"/>
      <c r="DD61" s="82"/>
      <c r="DE61" s="17"/>
      <c r="DF61" s="17"/>
      <c r="DG61" s="17"/>
      <c r="DH61" s="17"/>
      <c r="DI61" s="17"/>
      <c r="DJ61" s="17"/>
      <c r="DK61" s="17"/>
      <c r="DL61" s="17"/>
      <c r="DM61" s="17"/>
      <c r="DN61" s="17"/>
      <c r="DO61" s="17"/>
      <c r="DP61" s="17"/>
      <c r="DQ61" s="17"/>
    </row>
    <row r="62" spans="2:121" ht="14.1" customHeight="1" x14ac:dyDescent="0.2">
      <c r="B62" s="18" t="s">
        <v>156</v>
      </c>
      <c r="C62" s="22"/>
      <c r="D62" s="22"/>
      <c r="E62" s="22"/>
      <c r="F62" s="92"/>
      <c r="G62" s="82"/>
      <c r="H62" s="82"/>
      <c r="I62" s="126"/>
      <c r="J62" s="82"/>
      <c r="K62" s="82"/>
      <c r="L62" s="82"/>
      <c r="M62" s="17"/>
      <c r="N62" s="82"/>
      <c r="O62" s="82"/>
      <c r="P62" s="82"/>
      <c r="Q62" s="17"/>
      <c r="R62" s="82"/>
      <c r="S62" s="82"/>
      <c r="T62" s="82"/>
      <c r="U62" s="17"/>
      <c r="V62" s="82"/>
      <c r="W62" s="82"/>
      <c r="X62" s="82"/>
      <c r="Y62" s="126"/>
      <c r="Z62" s="82"/>
      <c r="AA62" s="82"/>
      <c r="AB62" s="82"/>
      <c r="AC62" s="17"/>
      <c r="AD62" s="82"/>
      <c r="AE62" s="82"/>
      <c r="AF62" s="82"/>
      <c r="AG62" s="17"/>
      <c r="AH62" s="82"/>
      <c r="AI62" s="82"/>
      <c r="AJ62" s="82"/>
      <c r="AK62" s="17"/>
      <c r="AL62" s="82"/>
      <c r="AM62" s="82"/>
      <c r="AN62" s="82"/>
      <c r="AO62" s="126"/>
      <c r="AP62" s="82"/>
      <c r="AQ62" s="82"/>
      <c r="AR62" s="82"/>
      <c r="AS62" s="17"/>
      <c r="AT62" s="82"/>
      <c r="AU62" s="82"/>
      <c r="AV62" s="82"/>
      <c r="AW62" s="17"/>
      <c r="AX62" s="82"/>
      <c r="AY62" s="82"/>
      <c r="AZ62" s="82"/>
      <c r="BA62" s="17"/>
      <c r="BB62" s="82"/>
      <c r="BC62" s="82"/>
      <c r="BD62" s="82"/>
      <c r="BE62" s="126"/>
      <c r="BF62" s="82"/>
      <c r="BG62" s="82"/>
      <c r="BH62" s="82"/>
      <c r="BI62" s="17"/>
      <c r="BJ62" s="82"/>
      <c r="BK62" s="82"/>
      <c r="BL62" s="82"/>
      <c r="BM62" s="17"/>
      <c r="BN62" s="82"/>
      <c r="BO62" s="82"/>
      <c r="BP62" s="82"/>
      <c r="BQ62" s="17"/>
      <c r="BR62" s="82"/>
      <c r="BS62" s="82"/>
      <c r="BT62" s="82"/>
      <c r="BU62" s="126"/>
      <c r="BV62" s="82"/>
      <c r="BW62" s="82"/>
      <c r="BX62" s="82"/>
      <c r="BY62" s="17"/>
      <c r="BZ62" s="82"/>
      <c r="CA62" s="82"/>
      <c r="CB62" s="82"/>
      <c r="CC62" s="17"/>
      <c r="CD62" s="82"/>
      <c r="CE62" s="82"/>
      <c r="CF62" s="82"/>
      <c r="CG62" s="17"/>
      <c r="CH62" s="82"/>
      <c r="CI62" s="82"/>
      <c r="CJ62" s="82"/>
      <c r="CK62" s="126"/>
      <c r="CL62" s="82"/>
      <c r="CM62" s="82"/>
      <c r="CN62" s="82"/>
      <c r="CO62" s="17"/>
      <c r="CP62" s="82"/>
      <c r="CQ62" s="82"/>
      <c r="CR62" s="82"/>
      <c r="CS62" s="17"/>
      <c r="CT62" s="82"/>
      <c r="CU62" s="82"/>
      <c r="CV62" s="82"/>
      <c r="CW62" s="17"/>
      <c r="CX62" s="82"/>
      <c r="CY62" s="82"/>
      <c r="CZ62" s="82"/>
      <c r="DA62" s="17"/>
      <c r="DB62" s="82"/>
      <c r="DC62" s="82"/>
      <c r="DD62" s="82"/>
      <c r="DE62" s="17"/>
      <c r="DF62" s="17"/>
      <c r="DG62" s="17"/>
      <c r="DH62" s="17"/>
      <c r="DI62" s="17"/>
      <c r="DJ62" s="17"/>
      <c r="DK62" s="17"/>
      <c r="DL62" s="17"/>
      <c r="DM62" s="17"/>
      <c r="DN62" s="17"/>
      <c r="DO62" s="17"/>
      <c r="DP62" s="17"/>
      <c r="DQ62" s="17"/>
    </row>
    <row r="63" spans="2:121" ht="14.1" customHeight="1" x14ac:dyDescent="0.2">
      <c r="B63" s="148" t="s">
        <v>161</v>
      </c>
      <c r="C63" s="22"/>
      <c r="D63" s="22"/>
      <c r="E63" s="22"/>
      <c r="F63" s="92"/>
      <c r="G63" s="82"/>
      <c r="H63" s="82"/>
      <c r="I63" s="126"/>
      <c r="J63" s="82"/>
      <c r="K63" s="82"/>
      <c r="L63" s="82"/>
      <c r="M63" s="17"/>
      <c r="N63" s="82"/>
      <c r="O63" s="82"/>
      <c r="P63" s="82"/>
      <c r="Q63" s="17"/>
      <c r="R63" s="82"/>
      <c r="S63" s="82"/>
      <c r="T63" s="82"/>
      <c r="U63" s="17"/>
      <c r="V63" s="82"/>
      <c r="W63" s="82"/>
      <c r="X63" s="82"/>
      <c r="Y63" s="126"/>
      <c r="Z63" s="82"/>
      <c r="AA63" s="82"/>
      <c r="AB63" s="82"/>
      <c r="AC63" s="17"/>
      <c r="AD63" s="82"/>
      <c r="AE63" s="82"/>
      <c r="AF63" s="82"/>
      <c r="AG63" s="17"/>
      <c r="AH63" s="82"/>
      <c r="AI63" s="82"/>
      <c r="AJ63" s="82"/>
      <c r="AK63" s="17"/>
      <c r="AL63" s="82"/>
      <c r="AM63" s="82"/>
      <c r="AN63" s="82"/>
      <c r="AO63" s="126"/>
      <c r="AP63" s="82"/>
      <c r="AQ63" s="82"/>
      <c r="AR63" s="82"/>
      <c r="AS63" s="17"/>
      <c r="AT63" s="82"/>
      <c r="AU63" s="82"/>
      <c r="AV63" s="82"/>
      <c r="AW63" s="17"/>
      <c r="AX63" s="82"/>
      <c r="AY63" s="82"/>
      <c r="AZ63" s="82"/>
      <c r="BA63" s="17"/>
      <c r="BB63" s="82"/>
      <c r="BC63" s="82"/>
      <c r="BD63" s="82"/>
      <c r="BE63" s="126"/>
      <c r="BF63" s="82"/>
      <c r="BG63" s="82"/>
      <c r="BH63" s="82"/>
      <c r="BI63" s="17"/>
      <c r="BJ63" s="82"/>
      <c r="BK63" s="82"/>
      <c r="BL63" s="82"/>
      <c r="BM63" s="17"/>
      <c r="BN63" s="82"/>
      <c r="BO63" s="82"/>
      <c r="BP63" s="82"/>
      <c r="BQ63" s="17"/>
      <c r="BR63" s="82"/>
      <c r="BS63" s="82"/>
      <c r="BT63" s="82"/>
      <c r="BU63" s="126"/>
      <c r="BV63" s="82"/>
      <c r="BW63" s="82"/>
      <c r="BX63" s="82"/>
      <c r="BY63" s="17"/>
      <c r="BZ63" s="82"/>
      <c r="CA63" s="82"/>
      <c r="CB63" s="82"/>
      <c r="CC63" s="17"/>
      <c r="CD63" s="82"/>
      <c r="CE63" s="82"/>
      <c r="CF63" s="82"/>
      <c r="CG63" s="17"/>
      <c r="CH63" s="82"/>
      <c r="CI63" s="82"/>
      <c r="CJ63" s="82"/>
      <c r="CK63" s="126"/>
      <c r="CL63" s="82"/>
      <c r="CM63" s="82"/>
      <c r="CN63" s="82"/>
      <c r="CO63" s="17"/>
      <c r="CP63" s="82"/>
      <c r="CQ63" s="82"/>
      <c r="CR63" s="82"/>
      <c r="CS63" s="17"/>
      <c r="CT63" s="82"/>
      <c r="CU63" s="82"/>
      <c r="CV63" s="82"/>
      <c r="CW63" s="17"/>
      <c r="CX63" s="82"/>
      <c r="CY63" s="82"/>
      <c r="CZ63" s="82"/>
      <c r="DA63" s="17"/>
      <c r="DB63" s="82"/>
      <c r="DC63" s="82"/>
      <c r="DD63" s="82"/>
      <c r="DE63" s="17"/>
      <c r="DF63" s="17"/>
      <c r="DG63" s="17"/>
      <c r="DH63" s="17"/>
      <c r="DI63" s="17"/>
      <c r="DJ63" s="17"/>
      <c r="DK63" s="17"/>
      <c r="DL63" s="17"/>
      <c r="DM63" s="17"/>
      <c r="DN63" s="17"/>
      <c r="DO63" s="17"/>
      <c r="DP63" s="17"/>
      <c r="DQ63" s="17"/>
    </row>
    <row r="64" spans="2:121" ht="14.1" customHeight="1" x14ac:dyDescent="0.2">
      <c r="B64" s="18" t="s">
        <v>157</v>
      </c>
      <c r="C64" s="22"/>
      <c r="D64" s="22"/>
      <c r="E64" s="22"/>
      <c r="F64" s="92"/>
      <c r="G64" s="82"/>
      <c r="H64" s="82"/>
      <c r="I64" s="126"/>
      <c r="J64" s="82"/>
      <c r="K64" s="82"/>
      <c r="L64" s="82"/>
      <c r="M64" s="17"/>
      <c r="N64" s="82"/>
      <c r="O64" s="82"/>
      <c r="P64" s="82"/>
      <c r="Q64" s="17"/>
      <c r="R64" s="82"/>
      <c r="S64" s="82"/>
      <c r="T64" s="82"/>
      <c r="U64" s="17"/>
      <c r="V64" s="82"/>
      <c r="W64" s="82"/>
      <c r="X64" s="82"/>
      <c r="Y64" s="126"/>
      <c r="Z64" s="82"/>
      <c r="AA64" s="82"/>
      <c r="AB64" s="82"/>
      <c r="AC64" s="17"/>
      <c r="AD64" s="82"/>
      <c r="AE64" s="82"/>
      <c r="AF64" s="82"/>
      <c r="AG64" s="17"/>
      <c r="AH64" s="82"/>
      <c r="AI64" s="82"/>
      <c r="AJ64" s="82"/>
      <c r="AK64" s="17"/>
      <c r="AL64" s="82"/>
      <c r="AM64" s="82"/>
      <c r="AN64" s="82"/>
      <c r="AO64" s="126"/>
      <c r="AP64" s="82"/>
      <c r="AQ64" s="82"/>
      <c r="AR64" s="82"/>
      <c r="AS64" s="17"/>
      <c r="AT64" s="82"/>
      <c r="AU64" s="82"/>
      <c r="AV64" s="82"/>
      <c r="AW64" s="17"/>
      <c r="AX64" s="82"/>
      <c r="AY64" s="82"/>
      <c r="AZ64" s="82"/>
      <c r="BA64" s="17"/>
      <c r="BB64" s="82"/>
      <c r="BC64" s="82"/>
      <c r="BD64" s="82"/>
      <c r="BE64" s="126"/>
      <c r="BF64" s="82"/>
      <c r="BG64" s="82"/>
      <c r="BH64" s="82"/>
      <c r="BI64" s="17"/>
      <c r="BJ64" s="82"/>
      <c r="BK64" s="82"/>
      <c r="BL64" s="82"/>
      <c r="BM64" s="17"/>
      <c r="BN64" s="82"/>
      <c r="BO64" s="82"/>
      <c r="BP64" s="82"/>
      <c r="BQ64" s="17"/>
      <c r="BR64" s="82"/>
      <c r="BS64" s="82"/>
      <c r="BT64" s="82"/>
      <c r="BU64" s="126"/>
      <c r="BV64" s="82"/>
      <c r="BW64" s="82"/>
      <c r="BX64" s="82"/>
      <c r="BY64" s="17"/>
      <c r="BZ64" s="82"/>
      <c r="CA64" s="82"/>
      <c r="CB64" s="82"/>
      <c r="CC64" s="17"/>
      <c r="CD64" s="82"/>
      <c r="CE64" s="82"/>
      <c r="CF64" s="82"/>
      <c r="CG64" s="17"/>
      <c r="CH64" s="82"/>
      <c r="CI64" s="82"/>
      <c r="CJ64" s="82"/>
      <c r="CK64" s="126"/>
      <c r="CL64" s="82"/>
      <c r="CM64" s="82"/>
      <c r="CN64" s="82"/>
      <c r="CO64" s="17"/>
      <c r="CP64" s="82"/>
      <c r="CQ64" s="82"/>
      <c r="CR64" s="82"/>
      <c r="CS64" s="17"/>
      <c r="CT64" s="82"/>
      <c r="CU64" s="82"/>
      <c r="CV64" s="82"/>
      <c r="CW64" s="17"/>
      <c r="CX64" s="82"/>
      <c r="CY64" s="82"/>
      <c r="CZ64" s="82"/>
      <c r="DA64" s="17"/>
      <c r="DB64" s="82"/>
      <c r="DC64" s="82"/>
      <c r="DD64" s="82"/>
      <c r="DE64" s="17"/>
      <c r="DF64" s="17"/>
      <c r="DG64" s="17"/>
      <c r="DH64" s="17"/>
      <c r="DI64" s="17"/>
      <c r="DJ64" s="17"/>
      <c r="DK64" s="17"/>
      <c r="DL64" s="17"/>
      <c r="DM64" s="17"/>
      <c r="DN64" s="17"/>
      <c r="DO64" s="17"/>
      <c r="DP64" s="17"/>
      <c r="DQ64" s="17"/>
    </row>
    <row r="65" spans="2:121" ht="14.1" customHeight="1" x14ac:dyDescent="0.2">
      <c r="B65" s="18" t="s">
        <v>156</v>
      </c>
      <c r="C65" s="22"/>
      <c r="D65" s="22"/>
      <c r="E65" s="22"/>
      <c r="F65" s="92"/>
      <c r="G65" s="82"/>
      <c r="H65" s="82"/>
      <c r="I65" s="126"/>
      <c r="J65" s="82"/>
      <c r="K65" s="82"/>
      <c r="L65" s="82"/>
      <c r="M65" s="17"/>
      <c r="N65" s="82"/>
      <c r="O65" s="82"/>
      <c r="P65" s="82"/>
      <c r="Q65" s="17"/>
      <c r="R65" s="82"/>
      <c r="S65" s="82"/>
      <c r="T65" s="82"/>
      <c r="U65" s="17"/>
      <c r="V65" s="82"/>
      <c r="W65" s="82"/>
      <c r="X65" s="82"/>
      <c r="Y65" s="126"/>
      <c r="Z65" s="82"/>
      <c r="AA65" s="82"/>
      <c r="AB65" s="82"/>
      <c r="AC65" s="17"/>
      <c r="AD65" s="82"/>
      <c r="AE65" s="82"/>
      <c r="AF65" s="82"/>
      <c r="AG65" s="17"/>
      <c r="AH65" s="82"/>
      <c r="AI65" s="82"/>
      <c r="AJ65" s="82"/>
      <c r="AK65" s="17"/>
      <c r="AL65" s="82"/>
      <c r="AM65" s="82"/>
      <c r="AN65" s="82"/>
      <c r="AO65" s="126"/>
      <c r="AP65" s="82"/>
      <c r="AQ65" s="82"/>
      <c r="AR65" s="82"/>
      <c r="AS65" s="17"/>
      <c r="AT65" s="82"/>
      <c r="AU65" s="82"/>
      <c r="AV65" s="82"/>
      <c r="AW65" s="17"/>
      <c r="AX65" s="82"/>
      <c r="AY65" s="82"/>
      <c r="AZ65" s="82"/>
      <c r="BA65" s="17"/>
      <c r="BB65" s="82"/>
      <c r="BC65" s="82"/>
      <c r="BD65" s="82"/>
      <c r="BE65" s="126"/>
      <c r="BF65" s="82"/>
      <c r="BG65" s="82"/>
      <c r="BH65" s="82"/>
      <c r="BI65" s="17"/>
      <c r="BJ65" s="82"/>
      <c r="BK65" s="82"/>
      <c r="BL65" s="82"/>
      <c r="BM65" s="17"/>
      <c r="BN65" s="82"/>
      <c r="BO65" s="82"/>
      <c r="BP65" s="82"/>
      <c r="BQ65" s="17"/>
      <c r="BR65" s="82"/>
      <c r="BS65" s="82"/>
      <c r="BT65" s="82"/>
      <c r="BU65" s="126"/>
      <c r="BV65" s="82"/>
      <c r="BW65" s="82"/>
      <c r="BX65" s="82"/>
      <c r="BY65" s="17"/>
      <c r="BZ65" s="82"/>
      <c r="CA65" s="82"/>
      <c r="CB65" s="82"/>
      <c r="CC65" s="17"/>
      <c r="CD65" s="82"/>
      <c r="CE65" s="82"/>
      <c r="CF65" s="82"/>
      <c r="CG65" s="17"/>
      <c r="CH65" s="82"/>
      <c r="CI65" s="82"/>
      <c r="CJ65" s="82"/>
      <c r="CK65" s="126"/>
      <c r="CL65" s="82"/>
      <c r="CM65" s="82"/>
      <c r="CN65" s="82"/>
      <c r="CO65" s="17"/>
      <c r="CP65" s="82"/>
      <c r="CQ65" s="82"/>
      <c r="CR65" s="82"/>
      <c r="CS65" s="17"/>
      <c r="CT65" s="82"/>
      <c r="CU65" s="82"/>
      <c r="CV65" s="82"/>
      <c r="CW65" s="17"/>
      <c r="CX65" s="82"/>
      <c r="CY65" s="82"/>
      <c r="CZ65" s="82"/>
      <c r="DA65" s="17"/>
      <c r="DB65" s="82"/>
      <c r="DC65" s="82"/>
      <c r="DD65" s="82"/>
      <c r="DE65" s="17"/>
      <c r="DF65" s="17"/>
      <c r="DG65" s="17"/>
      <c r="DH65" s="17"/>
      <c r="DI65" s="17"/>
      <c r="DJ65" s="17"/>
      <c r="DK65" s="17"/>
      <c r="DL65" s="17"/>
      <c r="DM65" s="17"/>
      <c r="DN65" s="17"/>
      <c r="DO65" s="17"/>
      <c r="DP65" s="17"/>
      <c r="DQ65" s="17"/>
    </row>
    <row r="66" spans="2:121" ht="14.1" customHeight="1" x14ac:dyDescent="0.2">
      <c r="B66" s="18"/>
      <c r="C66" s="22"/>
      <c r="D66" s="87"/>
      <c r="E66" s="87"/>
      <c r="F66" s="92"/>
      <c r="G66" s="82"/>
      <c r="H66" s="82"/>
      <c r="I66" s="126"/>
      <c r="J66" s="82"/>
      <c r="K66" s="82"/>
      <c r="L66" s="82"/>
      <c r="M66" s="17"/>
      <c r="N66" s="82"/>
      <c r="O66" s="82"/>
      <c r="P66" s="82"/>
      <c r="Q66" s="17"/>
      <c r="R66" s="82"/>
      <c r="S66" s="82"/>
      <c r="T66" s="82"/>
      <c r="U66" s="17"/>
      <c r="V66" s="82"/>
      <c r="W66" s="82"/>
      <c r="X66" s="82"/>
      <c r="Y66" s="126"/>
      <c r="Z66" s="82"/>
      <c r="AA66" s="82"/>
      <c r="AB66" s="82"/>
      <c r="AC66" s="17"/>
      <c r="AD66" s="82"/>
      <c r="AE66" s="82"/>
      <c r="AF66" s="82"/>
      <c r="AG66" s="17"/>
      <c r="AH66" s="82"/>
      <c r="AI66" s="82"/>
      <c r="AJ66" s="82"/>
      <c r="AK66" s="17"/>
      <c r="AL66" s="82"/>
      <c r="AM66" s="82"/>
      <c r="AN66" s="82"/>
      <c r="AO66" s="126"/>
      <c r="AP66" s="82"/>
      <c r="AQ66" s="82"/>
      <c r="AR66" s="82"/>
      <c r="AS66" s="17"/>
      <c r="AT66" s="82"/>
      <c r="AU66" s="82"/>
      <c r="AV66" s="82"/>
      <c r="AW66" s="17"/>
      <c r="AX66" s="82"/>
      <c r="AY66" s="82"/>
      <c r="AZ66" s="82"/>
      <c r="BA66" s="17"/>
      <c r="BB66" s="82"/>
      <c r="BC66" s="82"/>
      <c r="BD66" s="82"/>
      <c r="BE66" s="126"/>
      <c r="BF66" s="82"/>
      <c r="BG66" s="82"/>
      <c r="BH66" s="82"/>
      <c r="BI66" s="17"/>
      <c r="BJ66" s="82"/>
      <c r="BK66" s="82"/>
      <c r="BL66" s="82"/>
      <c r="BM66" s="17"/>
      <c r="BN66" s="82"/>
      <c r="BO66" s="82"/>
      <c r="BP66" s="82"/>
      <c r="BQ66" s="17"/>
      <c r="BR66" s="82"/>
      <c r="BS66" s="82"/>
      <c r="BT66" s="82"/>
      <c r="BU66" s="126"/>
      <c r="BV66" s="82"/>
      <c r="BW66" s="82"/>
      <c r="BX66" s="82"/>
      <c r="BY66" s="17"/>
      <c r="BZ66" s="82"/>
      <c r="CA66" s="82"/>
      <c r="CB66" s="82"/>
      <c r="CC66" s="17"/>
      <c r="CD66" s="82"/>
      <c r="CE66" s="82"/>
      <c r="CF66" s="82"/>
      <c r="CG66" s="17"/>
      <c r="CH66" s="82"/>
      <c r="CI66" s="82"/>
      <c r="CJ66" s="82"/>
      <c r="CK66" s="126"/>
      <c r="CL66" s="82"/>
      <c r="CM66" s="82"/>
      <c r="CN66" s="82"/>
      <c r="CO66" s="17"/>
      <c r="CP66" s="82"/>
      <c r="CQ66" s="82"/>
      <c r="CR66" s="82"/>
      <c r="CS66" s="17"/>
      <c r="CT66" s="82"/>
      <c r="CU66" s="82"/>
      <c r="CV66" s="82"/>
      <c r="CW66" s="17"/>
      <c r="CX66" s="82"/>
      <c r="CY66" s="82"/>
      <c r="CZ66" s="82"/>
      <c r="DA66" s="17"/>
      <c r="DB66" s="82"/>
      <c r="DC66" s="82"/>
      <c r="DD66" s="82"/>
      <c r="DE66" s="17"/>
      <c r="DF66" s="17"/>
      <c r="DG66" s="17"/>
      <c r="DH66" s="17"/>
      <c r="DI66" s="17"/>
      <c r="DJ66" s="17"/>
      <c r="DK66" s="17"/>
      <c r="DL66" s="17"/>
      <c r="DM66" s="17"/>
      <c r="DN66" s="17"/>
      <c r="DO66" s="17"/>
      <c r="DP66" s="17"/>
      <c r="DQ66" s="17"/>
    </row>
    <row r="67" spans="2:121" ht="14.1" customHeight="1" x14ac:dyDescent="0.2">
      <c r="B67" s="20" t="s">
        <v>80</v>
      </c>
      <c r="C67" s="96"/>
      <c r="D67" s="139"/>
      <c r="E67" s="97"/>
      <c r="F67" s="95"/>
      <c r="G67" s="81"/>
      <c r="H67" s="81"/>
      <c r="I67" s="43"/>
      <c r="J67" s="81"/>
      <c r="K67" s="81"/>
      <c r="L67" s="81"/>
      <c r="M67" s="43"/>
      <c r="N67" s="81"/>
      <c r="O67" s="81"/>
      <c r="P67" s="81"/>
      <c r="Q67" s="15"/>
      <c r="R67" s="81"/>
      <c r="S67" s="81"/>
      <c r="T67" s="81"/>
      <c r="U67" s="15"/>
      <c r="V67" s="81"/>
      <c r="W67" s="81"/>
      <c r="X67" s="81"/>
      <c r="Y67" s="43"/>
      <c r="Z67" s="81"/>
      <c r="AA67" s="81"/>
      <c r="AB67" s="81"/>
      <c r="AC67" s="43"/>
      <c r="AD67" s="81"/>
      <c r="AE67" s="81"/>
      <c r="AF67" s="81"/>
      <c r="AG67" s="15"/>
      <c r="AH67" s="81"/>
      <c r="AI67" s="81"/>
      <c r="AJ67" s="81"/>
      <c r="AK67" s="15"/>
      <c r="AL67" s="81"/>
      <c r="AM67" s="81"/>
      <c r="AN67" s="81"/>
      <c r="AO67" s="43"/>
      <c r="AP67" s="81"/>
      <c r="AQ67" s="81"/>
      <c r="AR67" s="81"/>
      <c r="AS67" s="43"/>
      <c r="AT67" s="81"/>
      <c r="AU67" s="81"/>
      <c r="AV67" s="81"/>
      <c r="AW67" s="15"/>
      <c r="AX67" s="81"/>
      <c r="AY67" s="81"/>
      <c r="AZ67" s="81"/>
      <c r="BA67" s="15"/>
      <c r="BB67" s="81"/>
      <c r="BC67" s="81"/>
      <c r="BD67" s="81"/>
      <c r="BE67" s="43"/>
      <c r="BF67" s="81"/>
      <c r="BG67" s="81"/>
      <c r="BH67" s="81"/>
      <c r="BI67" s="43"/>
      <c r="BJ67" s="81"/>
      <c r="BK67" s="81"/>
      <c r="BL67" s="81"/>
      <c r="BM67" s="15"/>
      <c r="BN67" s="81"/>
      <c r="BO67" s="81"/>
      <c r="BP67" s="81"/>
      <c r="BQ67" s="15"/>
      <c r="BR67" s="81"/>
      <c r="BS67" s="81"/>
      <c r="BT67" s="81"/>
      <c r="BU67" s="43"/>
      <c r="BV67" s="81"/>
      <c r="BW67" s="81"/>
      <c r="BX67" s="81"/>
      <c r="BY67" s="43"/>
      <c r="BZ67" s="81"/>
      <c r="CA67" s="81"/>
      <c r="CB67" s="81"/>
      <c r="CC67" s="43"/>
      <c r="CD67" s="81"/>
      <c r="CE67" s="81"/>
      <c r="CF67" s="81"/>
      <c r="CG67" s="15"/>
      <c r="CH67" s="81"/>
      <c r="CI67" s="81"/>
      <c r="CJ67" s="81"/>
      <c r="CK67" s="43"/>
      <c r="CL67" s="81"/>
      <c r="CM67" s="81"/>
      <c r="CN67" s="81"/>
      <c r="CO67" s="43"/>
      <c r="CP67" s="81"/>
      <c r="CQ67" s="81"/>
      <c r="CR67" s="81"/>
      <c r="CS67" s="43"/>
      <c r="CT67" s="81"/>
      <c r="CU67" s="81"/>
      <c r="CV67" s="81"/>
      <c r="CW67" s="15"/>
      <c r="CX67" s="81"/>
      <c r="CY67" s="81"/>
      <c r="CZ67" s="81"/>
      <c r="DA67" s="15"/>
      <c r="DB67" s="81"/>
      <c r="DC67" s="81"/>
      <c r="DD67" s="81"/>
      <c r="DE67" s="15"/>
      <c r="DF67" s="15"/>
      <c r="DG67" s="15"/>
      <c r="DH67" s="15"/>
      <c r="DI67" s="15"/>
      <c r="DJ67" s="15"/>
      <c r="DK67" s="15"/>
      <c r="DL67" s="15"/>
      <c r="DM67" s="15"/>
      <c r="DN67" s="15"/>
      <c r="DO67" s="15"/>
      <c r="DP67" s="15"/>
      <c r="DQ67" s="15"/>
    </row>
    <row r="68" spans="2:121" ht="14.1" customHeight="1" x14ac:dyDescent="0.2">
      <c r="B68" s="20" t="s">
        <v>81</v>
      </c>
      <c r="C68" s="96"/>
      <c r="D68" s="139"/>
      <c r="E68" s="97"/>
      <c r="F68" s="95"/>
      <c r="G68" s="81"/>
      <c r="H68" s="81"/>
      <c r="I68" s="43"/>
      <c r="J68" s="81"/>
      <c r="K68" s="81"/>
      <c r="L68" s="81"/>
      <c r="M68" s="43"/>
      <c r="N68" s="81"/>
      <c r="O68" s="81"/>
      <c r="P68" s="81"/>
      <c r="Q68" s="15"/>
      <c r="R68" s="81"/>
      <c r="S68" s="81"/>
      <c r="T68" s="81"/>
      <c r="U68" s="15"/>
      <c r="V68" s="81"/>
      <c r="W68" s="81"/>
      <c r="X68" s="81"/>
      <c r="Y68" s="43"/>
      <c r="Z68" s="81"/>
      <c r="AA68" s="81"/>
      <c r="AB68" s="81"/>
      <c r="AC68" s="43"/>
      <c r="AD68" s="81"/>
      <c r="AE68" s="81"/>
      <c r="AF68" s="81"/>
      <c r="AG68" s="15"/>
      <c r="AH68" s="81"/>
      <c r="AI68" s="81"/>
      <c r="AJ68" s="81"/>
      <c r="AK68" s="15"/>
      <c r="AL68" s="81"/>
      <c r="AM68" s="81"/>
      <c r="AN68" s="81"/>
      <c r="AO68" s="43"/>
      <c r="AP68" s="81"/>
      <c r="AQ68" s="81"/>
      <c r="AR68" s="81"/>
      <c r="AS68" s="43"/>
      <c r="AT68" s="81"/>
      <c r="AU68" s="81"/>
      <c r="AV68" s="81"/>
      <c r="AW68" s="15"/>
      <c r="AX68" s="81"/>
      <c r="AY68" s="81"/>
      <c r="AZ68" s="81"/>
      <c r="BA68" s="15"/>
      <c r="BB68" s="81"/>
      <c r="BC68" s="81"/>
      <c r="BD68" s="81"/>
      <c r="BE68" s="43"/>
      <c r="BF68" s="81"/>
      <c r="BG68" s="81"/>
      <c r="BH68" s="81"/>
      <c r="BI68" s="43"/>
      <c r="BJ68" s="81"/>
      <c r="BK68" s="81"/>
      <c r="BL68" s="81"/>
      <c r="BM68" s="15"/>
      <c r="BN68" s="81"/>
      <c r="BO68" s="81"/>
      <c r="BP68" s="81"/>
      <c r="BQ68" s="15"/>
      <c r="BR68" s="81"/>
      <c r="BS68" s="81"/>
      <c r="BT68" s="81"/>
      <c r="BU68" s="43"/>
      <c r="BV68" s="81"/>
      <c r="BW68" s="81"/>
      <c r="BX68" s="81"/>
      <c r="BY68" s="43"/>
      <c r="BZ68" s="81"/>
      <c r="CA68" s="81"/>
      <c r="CB68" s="81"/>
      <c r="CC68" s="43"/>
      <c r="CD68" s="81"/>
      <c r="CE68" s="81"/>
      <c r="CF68" s="81"/>
      <c r="CG68" s="15"/>
      <c r="CH68" s="81"/>
      <c r="CI68" s="81"/>
      <c r="CJ68" s="81"/>
      <c r="CK68" s="43"/>
      <c r="CL68" s="81"/>
      <c r="CM68" s="81"/>
      <c r="CN68" s="81"/>
      <c r="CO68" s="43"/>
      <c r="CP68" s="81"/>
      <c r="CQ68" s="81"/>
      <c r="CR68" s="81"/>
      <c r="CS68" s="43"/>
      <c r="CT68" s="81"/>
      <c r="CU68" s="81"/>
      <c r="CV68" s="81"/>
      <c r="CW68" s="15"/>
      <c r="CX68" s="81"/>
      <c r="CY68" s="81"/>
      <c r="CZ68" s="81"/>
      <c r="DA68" s="15"/>
      <c r="DB68" s="81"/>
      <c r="DC68" s="81"/>
      <c r="DD68" s="81"/>
      <c r="DE68" s="15"/>
      <c r="DF68" s="15"/>
      <c r="DG68" s="15"/>
      <c r="DH68" s="15"/>
      <c r="DI68" s="15"/>
      <c r="DJ68" s="15"/>
      <c r="DK68" s="15"/>
      <c r="DL68" s="15"/>
      <c r="DM68" s="15"/>
      <c r="DN68" s="15"/>
      <c r="DO68" s="15"/>
      <c r="DP68" s="15"/>
      <c r="DQ68" s="15"/>
    </row>
    <row r="69" spans="2:121" ht="14.1" customHeight="1" x14ac:dyDescent="0.2">
      <c r="B69" s="2" t="s">
        <v>82</v>
      </c>
      <c r="C69" s="22"/>
      <c r="D69" s="87"/>
      <c r="E69" s="87"/>
      <c r="F69" s="91"/>
      <c r="G69" s="83"/>
      <c r="H69" s="83"/>
      <c r="I69" s="71"/>
      <c r="J69" s="83"/>
      <c r="K69" s="83"/>
      <c r="L69" s="83"/>
      <c r="M69" s="71"/>
      <c r="N69" s="83"/>
      <c r="O69" s="83"/>
      <c r="P69" s="83"/>
      <c r="Q69" s="23"/>
      <c r="R69" s="83"/>
      <c r="S69" s="83"/>
      <c r="T69" s="83"/>
      <c r="U69" s="23"/>
      <c r="V69" s="83"/>
      <c r="W69" s="83"/>
      <c r="X69" s="83"/>
      <c r="Y69" s="71"/>
      <c r="Z69" s="83"/>
      <c r="AA69" s="83"/>
      <c r="AB69" s="83"/>
      <c r="AC69" s="71"/>
      <c r="AD69" s="83"/>
      <c r="AE69" s="83"/>
      <c r="AF69" s="83"/>
      <c r="AG69" s="23"/>
      <c r="AH69" s="83"/>
      <c r="AI69" s="83"/>
      <c r="AJ69" s="83"/>
      <c r="AK69" s="23"/>
      <c r="AL69" s="83"/>
      <c r="AM69" s="83"/>
      <c r="AN69" s="83"/>
      <c r="AO69" s="71"/>
      <c r="AP69" s="83"/>
      <c r="AQ69" s="83"/>
      <c r="AR69" s="83"/>
      <c r="AS69" s="71"/>
      <c r="AT69" s="83"/>
      <c r="AU69" s="83"/>
      <c r="AV69" s="83"/>
      <c r="AW69" s="23"/>
      <c r="AX69" s="83"/>
      <c r="AY69" s="83"/>
      <c r="AZ69" s="83"/>
      <c r="BA69" s="23"/>
      <c r="BB69" s="83"/>
      <c r="BC69" s="83"/>
      <c r="BD69" s="83"/>
      <c r="BE69" s="71"/>
      <c r="BF69" s="83"/>
      <c r="BG69" s="83"/>
      <c r="BH69" s="83"/>
      <c r="BI69" s="71"/>
      <c r="BJ69" s="83"/>
      <c r="BK69" s="83"/>
      <c r="BL69" s="83"/>
      <c r="BM69" s="23"/>
      <c r="BN69" s="83"/>
      <c r="BO69" s="83"/>
      <c r="BP69" s="83"/>
      <c r="BQ69" s="23"/>
      <c r="BR69" s="83"/>
      <c r="BS69" s="83"/>
      <c r="BT69" s="83"/>
      <c r="BU69" s="71"/>
      <c r="BV69" s="83"/>
      <c r="BW69" s="83"/>
      <c r="BX69" s="83"/>
      <c r="BY69" s="71"/>
      <c r="BZ69" s="83"/>
      <c r="CA69" s="83"/>
      <c r="CB69" s="83"/>
      <c r="CC69" s="71"/>
      <c r="CD69" s="83"/>
      <c r="CE69" s="83"/>
      <c r="CF69" s="83"/>
      <c r="CG69" s="23"/>
      <c r="CH69" s="83"/>
      <c r="CI69" s="83"/>
      <c r="CJ69" s="83"/>
      <c r="CK69" s="71"/>
      <c r="CL69" s="83"/>
      <c r="CM69" s="83"/>
      <c r="CN69" s="83"/>
      <c r="CO69" s="71"/>
      <c r="CP69" s="83"/>
      <c r="CQ69" s="83"/>
      <c r="CR69" s="83"/>
      <c r="CS69" s="71"/>
      <c r="CT69" s="83"/>
      <c r="CU69" s="83"/>
      <c r="CV69" s="83"/>
      <c r="CW69" s="23"/>
      <c r="CX69" s="83"/>
      <c r="CY69" s="83"/>
      <c r="CZ69" s="83"/>
      <c r="DA69" s="23"/>
      <c r="DB69" s="83"/>
      <c r="DC69" s="83"/>
      <c r="DD69" s="83"/>
      <c r="DE69" s="23"/>
      <c r="DF69" s="23"/>
      <c r="DG69" s="23"/>
      <c r="DH69" s="23"/>
      <c r="DI69" s="23"/>
      <c r="DJ69" s="23"/>
      <c r="DK69" s="23"/>
      <c r="DL69" s="23"/>
      <c r="DM69" s="23"/>
      <c r="DN69" s="23"/>
      <c r="DO69" s="23"/>
      <c r="DP69" s="23"/>
      <c r="DQ69" s="23"/>
    </row>
    <row r="70" spans="2:121" ht="14.1" customHeight="1" x14ac:dyDescent="0.2">
      <c r="B70" s="2" t="s">
        <v>211</v>
      </c>
      <c r="C70" s="22"/>
      <c r="D70" s="87"/>
      <c r="E70" s="87"/>
      <c r="F70" s="91"/>
      <c r="G70" s="83"/>
      <c r="H70" s="83"/>
      <c r="I70" s="71"/>
      <c r="J70" s="83"/>
      <c r="K70" s="83"/>
      <c r="L70" s="83"/>
      <c r="M70" s="71"/>
      <c r="N70" s="83"/>
      <c r="O70" s="83"/>
      <c r="P70" s="83"/>
      <c r="Q70" s="23"/>
      <c r="R70" s="83"/>
      <c r="S70" s="83"/>
      <c r="T70" s="83"/>
      <c r="U70" s="23"/>
      <c r="V70" s="83"/>
      <c r="W70" s="83"/>
      <c r="X70" s="83"/>
      <c r="Y70" s="71"/>
      <c r="Z70" s="83"/>
      <c r="AA70" s="83"/>
      <c r="AB70" s="83"/>
      <c r="AC70" s="71"/>
      <c r="AD70" s="83"/>
      <c r="AE70" s="83"/>
      <c r="AF70" s="83"/>
      <c r="AG70" s="23"/>
      <c r="AH70" s="83"/>
      <c r="AI70" s="83"/>
      <c r="AJ70" s="83"/>
      <c r="AK70" s="23"/>
      <c r="AL70" s="83"/>
      <c r="AM70" s="83"/>
      <c r="AN70" s="83"/>
      <c r="AO70" s="71"/>
      <c r="AP70" s="83"/>
      <c r="AQ70" s="83"/>
      <c r="AR70" s="83"/>
      <c r="AS70" s="71"/>
      <c r="AT70" s="83"/>
      <c r="AU70" s="83"/>
      <c r="AV70" s="83"/>
      <c r="AW70" s="23"/>
      <c r="AX70" s="83"/>
      <c r="AY70" s="83"/>
      <c r="AZ70" s="83"/>
      <c r="BA70" s="23"/>
      <c r="BB70" s="83"/>
      <c r="BC70" s="83"/>
      <c r="BD70" s="83"/>
      <c r="BE70" s="71"/>
      <c r="BF70" s="83"/>
      <c r="BG70" s="83"/>
      <c r="BH70" s="83"/>
      <c r="BI70" s="71"/>
      <c r="BJ70" s="83"/>
      <c r="BK70" s="83"/>
      <c r="BL70" s="83"/>
      <c r="BM70" s="23"/>
      <c r="BN70" s="83"/>
      <c r="BO70" s="83"/>
      <c r="BP70" s="83"/>
      <c r="BQ70" s="23"/>
      <c r="BR70" s="83"/>
      <c r="BS70" s="83"/>
      <c r="BT70" s="83"/>
      <c r="BU70" s="71"/>
      <c r="BV70" s="83"/>
      <c r="BW70" s="83"/>
      <c r="BX70" s="83"/>
      <c r="BY70" s="71"/>
      <c r="BZ70" s="83"/>
      <c r="CA70" s="83"/>
      <c r="CB70" s="83"/>
      <c r="CC70" s="71"/>
      <c r="CD70" s="83"/>
      <c r="CE70" s="83"/>
      <c r="CF70" s="83"/>
      <c r="CG70" s="23"/>
      <c r="CH70" s="83"/>
      <c r="CI70" s="83"/>
      <c r="CJ70" s="83"/>
      <c r="CK70" s="71"/>
      <c r="CL70" s="83"/>
      <c r="CM70" s="83"/>
      <c r="CN70" s="83"/>
      <c r="CO70" s="71"/>
      <c r="CP70" s="83"/>
      <c r="CQ70" s="83"/>
      <c r="CR70" s="83"/>
      <c r="CS70" s="71"/>
      <c r="CT70" s="83"/>
      <c r="CU70" s="83"/>
      <c r="CV70" s="83"/>
      <c r="CW70" s="23"/>
      <c r="CX70" s="83"/>
      <c r="CY70" s="83"/>
      <c r="CZ70" s="83"/>
      <c r="DA70" s="23"/>
      <c r="DB70" s="83"/>
      <c r="DC70" s="83"/>
      <c r="DD70" s="83"/>
      <c r="DE70" s="23"/>
      <c r="DF70" s="23"/>
      <c r="DG70" s="23"/>
      <c r="DH70" s="23"/>
      <c r="DI70" s="23"/>
      <c r="DJ70" s="23"/>
      <c r="DK70" s="23"/>
      <c r="DL70" s="23"/>
      <c r="DM70" s="23"/>
      <c r="DN70" s="23"/>
      <c r="DO70" s="23"/>
      <c r="DP70" s="23"/>
      <c r="DQ70" s="23"/>
    </row>
    <row r="71" spans="2:121" ht="14.1" customHeight="1" x14ac:dyDescent="0.2">
      <c r="B71" s="2" t="s">
        <v>83</v>
      </c>
      <c r="C71" s="22"/>
      <c r="D71" s="87"/>
      <c r="E71" s="87"/>
      <c r="F71" s="91"/>
      <c r="G71" s="83"/>
      <c r="H71" s="83"/>
      <c r="I71" s="71"/>
      <c r="J71" s="83"/>
      <c r="K71" s="83"/>
      <c r="L71" s="83"/>
      <c r="M71" s="71"/>
      <c r="N71" s="83"/>
      <c r="O71" s="83"/>
      <c r="P71" s="83"/>
      <c r="Q71" s="23"/>
      <c r="R71" s="83"/>
      <c r="S71" s="83"/>
      <c r="T71" s="83"/>
      <c r="U71" s="23"/>
      <c r="V71" s="83"/>
      <c r="W71" s="83"/>
      <c r="X71" s="83"/>
      <c r="Y71" s="71"/>
      <c r="Z71" s="83"/>
      <c r="AA71" s="83"/>
      <c r="AB71" s="83"/>
      <c r="AC71" s="71"/>
      <c r="AD71" s="83"/>
      <c r="AE71" s="83"/>
      <c r="AF71" s="83"/>
      <c r="AG71" s="23"/>
      <c r="AH71" s="83"/>
      <c r="AI71" s="83"/>
      <c r="AJ71" s="83"/>
      <c r="AK71" s="23"/>
      <c r="AL71" s="83"/>
      <c r="AM71" s="83"/>
      <c r="AN71" s="83"/>
      <c r="AO71" s="71"/>
      <c r="AP71" s="83"/>
      <c r="AQ71" s="83"/>
      <c r="AR71" s="83"/>
      <c r="AS71" s="71"/>
      <c r="AT71" s="83"/>
      <c r="AU71" s="83"/>
      <c r="AV71" s="83"/>
      <c r="AW71" s="23"/>
      <c r="AX71" s="83"/>
      <c r="AY71" s="83"/>
      <c r="AZ71" s="83"/>
      <c r="BA71" s="23"/>
      <c r="BB71" s="83"/>
      <c r="BC71" s="83"/>
      <c r="BD71" s="83"/>
      <c r="BE71" s="71"/>
      <c r="BF71" s="83"/>
      <c r="BG71" s="83"/>
      <c r="BH71" s="83"/>
      <c r="BI71" s="71"/>
      <c r="BJ71" s="83"/>
      <c r="BK71" s="83"/>
      <c r="BL71" s="83"/>
      <c r="BM71" s="23"/>
      <c r="BN71" s="83"/>
      <c r="BO71" s="83"/>
      <c r="BP71" s="83"/>
      <c r="BQ71" s="23"/>
      <c r="BR71" s="83"/>
      <c r="BS71" s="83"/>
      <c r="BT71" s="83"/>
      <c r="BU71" s="71"/>
      <c r="BV71" s="83"/>
      <c r="BW71" s="83"/>
      <c r="BX71" s="83"/>
      <c r="BY71" s="71"/>
      <c r="BZ71" s="83"/>
      <c r="CA71" s="83"/>
      <c r="CB71" s="83"/>
      <c r="CC71" s="71"/>
      <c r="CD71" s="83"/>
      <c r="CE71" s="83"/>
      <c r="CF71" s="83"/>
      <c r="CG71" s="23"/>
      <c r="CH71" s="83"/>
      <c r="CI71" s="83"/>
      <c r="CJ71" s="83"/>
      <c r="CK71" s="71"/>
      <c r="CL71" s="83"/>
      <c r="CM71" s="83"/>
      <c r="CN71" s="83"/>
      <c r="CO71" s="71"/>
      <c r="CP71" s="83"/>
      <c r="CQ71" s="83"/>
      <c r="CR71" s="83"/>
      <c r="CS71" s="71"/>
      <c r="CT71" s="83"/>
      <c r="CU71" s="83"/>
      <c r="CV71" s="83"/>
      <c r="CW71" s="23"/>
      <c r="CX71" s="83"/>
      <c r="CY71" s="83"/>
      <c r="CZ71" s="83"/>
      <c r="DA71" s="23"/>
      <c r="DB71" s="83"/>
      <c r="DC71" s="83"/>
      <c r="DD71" s="83"/>
      <c r="DE71" s="23"/>
      <c r="DF71" s="23"/>
      <c r="DG71" s="23"/>
      <c r="DH71" s="23"/>
      <c r="DI71" s="23"/>
      <c r="DJ71" s="23"/>
      <c r="DK71" s="23"/>
      <c r="DL71" s="23"/>
      <c r="DM71" s="23"/>
      <c r="DN71" s="23"/>
      <c r="DO71" s="23"/>
      <c r="DP71" s="23"/>
      <c r="DQ71" s="23"/>
    </row>
    <row r="72" spans="2:121" ht="14.1" customHeight="1" x14ac:dyDescent="0.25">
      <c r="B72" s="12"/>
      <c r="C72" s="11"/>
      <c r="D72" s="11"/>
      <c r="E72" s="11"/>
      <c r="F72" s="11"/>
      <c r="G72" s="11"/>
      <c r="H72" s="11"/>
      <c r="I72" s="11"/>
      <c r="J72" s="11"/>
      <c r="K72" s="8"/>
      <c r="L72" s="11"/>
      <c r="M72" s="11"/>
      <c r="N72" s="8"/>
      <c r="O72" s="8"/>
      <c r="P72" s="8"/>
      <c r="Q72" s="8"/>
      <c r="R72" s="8"/>
      <c r="S72" s="3"/>
      <c r="V72" s="11"/>
      <c r="W72" s="11"/>
      <c r="X72" s="11"/>
      <c r="Y72" s="11"/>
      <c r="Z72" s="11"/>
      <c r="AA72" s="8"/>
      <c r="AB72" s="11"/>
      <c r="AC72" s="11"/>
      <c r="AD72" s="8"/>
      <c r="AE72" s="8"/>
      <c r="AF72" s="8"/>
      <c r="AG72" s="8"/>
      <c r="AH72" s="8"/>
      <c r="AI72" s="3"/>
    </row>
    <row r="73" spans="2:121" s="1" customFormat="1" ht="14.1" customHeight="1" x14ac:dyDescent="0.2"/>
    <row r="74" spans="2:121" s="1" customFormat="1" ht="14.1" customHeight="1" x14ac:dyDescent="0.2"/>
    <row r="75" spans="2:121" s="1" customFormat="1" ht="14.1" customHeight="1" x14ac:dyDescent="0.2"/>
    <row r="76" spans="2:121" s="1" customFormat="1" ht="14.1" customHeight="1" x14ac:dyDescent="0.2"/>
    <row r="77" spans="2:121" s="1" customFormat="1" ht="14.1" customHeight="1" x14ac:dyDescent="0.2"/>
    <row r="78" spans="2:121" s="1" customFormat="1" ht="14.1" customHeight="1" x14ac:dyDescent="0.2">
      <c r="B78" s="69" t="str">
        <f ca="1">CONCATENATE("Вспомогательная финансовая информация за ",OFFSET($F$5,0,1)," по РСБУ")</f>
        <v>Вспомогательная финансовая информация за 5M 2026 по РСБУ</v>
      </c>
    </row>
    <row r="79" spans="2:121" s="1" customFormat="1" ht="14.1" customHeight="1" x14ac:dyDescent="0.2">
      <c r="B79" s="69" t="s">
        <v>145</v>
      </c>
    </row>
    <row r="80" spans="2:121" s="1" customFormat="1" ht="14.1" customHeight="1" x14ac:dyDescent="0.2">
      <c r="B80" s="55"/>
    </row>
    <row r="81" spans="2:2" s="1" customFormat="1" ht="14.1" customHeight="1" x14ac:dyDescent="0.2">
      <c r="B81" s="67" t="s">
        <v>113</v>
      </c>
    </row>
    <row r="82" spans="2:2" s="1" customFormat="1" ht="14.1" customHeight="1" x14ac:dyDescent="0.2">
      <c r="B82" s="68" t="s">
        <v>104</v>
      </c>
    </row>
    <row r="83" spans="2:2" s="1" customFormat="1" ht="14.1" customHeight="1" x14ac:dyDescent="0.2">
      <c r="B83" s="64" t="s">
        <v>261</v>
      </c>
    </row>
    <row r="84" spans="2:2" s="1" customFormat="1" ht="14.1" customHeight="1" x14ac:dyDescent="0.2">
      <c r="B84" s="64" t="s">
        <v>125</v>
      </c>
    </row>
    <row r="85" spans="2:2" s="1" customFormat="1" ht="14.1" customHeight="1" x14ac:dyDescent="0.2">
      <c r="B85" s="60"/>
    </row>
    <row r="86" spans="2:2" s="1" customFormat="1" ht="14.1" customHeight="1" x14ac:dyDescent="0.2">
      <c r="B86" s="68" t="s">
        <v>105</v>
      </c>
    </row>
    <row r="87" spans="2:2" s="1" customFormat="1" ht="14.1" customHeight="1" x14ac:dyDescent="0.2">
      <c r="B87" s="64" t="s">
        <v>126</v>
      </c>
    </row>
    <row r="88" spans="2:2" s="1" customFormat="1" ht="14.1" customHeight="1" x14ac:dyDescent="0.2">
      <c r="B88" s="64"/>
    </row>
    <row r="89" spans="2:2" s="1" customFormat="1" ht="14.1" customHeight="1" x14ac:dyDescent="0.2">
      <c r="B89" s="68" t="s">
        <v>106</v>
      </c>
    </row>
    <row r="90" spans="2:2" s="1" customFormat="1" ht="14.1" customHeight="1" x14ac:dyDescent="0.2">
      <c r="B90" s="64" t="s">
        <v>127</v>
      </c>
    </row>
    <row r="91" spans="2:2" s="1" customFormat="1" ht="14.1" customHeight="1" x14ac:dyDescent="0.2">
      <c r="B91" s="64" t="s">
        <v>103</v>
      </c>
    </row>
    <row r="92" spans="2:2" s="1" customFormat="1" ht="14.1" customHeight="1" x14ac:dyDescent="0.2">
      <c r="B92" s="64" t="s">
        <v>242</v>
      </c>
    </row>
    <row r="93" spans="2:2" s="1" customFormat="1" ht="14.1" customHeight="1" x14ac:dyDescent="0.2">
      <c r="B93" s="64" t="s">
        <v>111</v>
      </c>
    </row>
    <row r="94" spans="2:2" s="1" customFormat="1" ht="14.1" customHeight="1" x14ac:dyDescent="0.2">
      <c r="B94" s="64" t="s">
        <v>112</v>
      </c>
    </row>
    <row r="95" spans="2:2" s="1" customFormat="1" ht="14.1" customHeight="1" x14ac:dyDescent="0.2">
      <c r="B95" s="64" t="s">
        <v>241</v>
      </c>
    </row>
    <row r="96" spans="2:2" s="1" customFormat="1" ht="14.1" customHeight="1" x14ac:dyDescent="0.2">
      <c r="B96" s="60"/>
    </row>
    <row r="97" spans="2:2" s="1" customFormat="1" ht="14.1" customHeight="1" x14ac:dyDescent="0.2">
      <c r="B97" s="60"/>
    </row>
    <row r="98" spans="2:2" s="1" customFormat="1" ht="14.1" customHeight="1" x14ac:dyDescent="0.2">
      <c r="B98" s="60"/>
    </row>
    <row r="99" spans="2:2" s="1" customFormat="1" ht="14.1" customHeight="1" x14ac:dyDescent="0.2">
      <c r="B99" s="65" t="s">
        <v>107</v>
      </c>
    </row>
    <row r="100" spans="2:2" s="1" customFormat="1" ht="14.1" customHeight="1" x14ac:dyDescent="0.2">
      <c r="B100" s="66" t="s">
        <v>108</v>
      </c>
    </row>
    <row r="101" spans="2:2" s="1" customFormat="1" ht="14.1" customHeight="1" x14ac:dyDescent="0.2">
      <c r="B101" s="65" t="s">
        <v>109</v>
      </c>
    </row>
    <row r="102" spans="2:2" s="1" customFormat="1" ht="14.1" customHeight="1" x14ac:dyDescent="0.2"/>
    <row r="103" spans="2:2" s="1" customFormat="1" ht="14.1" customHeight="1" x14ac:dyDescent="0.2">
      <c r="B103" s="247" t="s">
        <v>260</v>
      </c>
    </row>
    <row r="104" spans="2:2" s="1" customFormat="1" ht="14.1" customHeight="1" x14ac:dyDescent="0.2"/>
    <row r="105" spans="2:2" s="1" customFormat="1" ht="14.1" customHeight="1" x14ac:dyDescent="0.2"/>
    <row r="106" spans="2:2" s="1" customFormat="1" ht="14.1" customHeight="1" x14ac:dyDescent="0.2"/>
    <row r="107" spans="2:2" s="1" customFormat="1" ht="14.1" customHeight="1" x14ac:dyDescent="0.2"/>
    <row r="108" spans="2:2" s="1" customFormat="1" ht="14.1" customHeight="1" x14ac:dyDescent="0.2"/>
    <row r="109" spans="2:2" s="1" customFormat="1" ht="14.1" customHeight="1" x14ac:dyDescent="0.2"/>
    <row r="110" spans="2:2" s="1" customFormat="1" ht="14.1" customHeight="1" x14ac:dyDescent="0.2"/>
    <row r="111" spans="2:2" s="1" customFormat="1" ht="14.1" customHeight="1" x14ac:dyDescent="0.2"/>
    <row r="112" spans="2:2" s="1" customFormat="1" ht="14.1" customHeight="1" x14ac:dyDescent="0.2"/>
    <row r="113" s="1" customFormat="1" ht="14.1" customHeight="1" x14ac:dyDescent="0.2"/>
    <row r="114" s="1" customFormat="1" ht="14.1" customHeight="1" x14ac:dyDescent="0.2"/>
    <row r="115" s="1" customFormat="1" ht="14.1" customHeight="1" x14ac:dyDescent="0.2"/>
    <row r="116" s="1" customFormat="1" ht="14.1" customHeight="1" x14ac:dyDescent="0.2"/>
    <row r="117" s="1" customFormat="1" ht="14.1" customHeight="1" x14ac:dyDescent="0.2"/>
    <row r="118" s="1" customFormat="1" ht="14.1" customHeight="1" x14ac:dyDescent="0.2"/>
    <row r="119" s="1" customFormat="1" ht="14.1" customHeight="1" x14ac:dyDescent="0.2"/>
    <row r="120" s="1" customFormat="1" ht="14.1" customHeight="1" x14ac:dyDescent="0.2"/>
    <row r="121" s="1" customFormat="1" ht="14.1" customHeight="1" x14ac:dyDescent="0.2"/>
    <row r="122" s="1" customFormat="1" ht="14.1" customHeight="1" x14ac:dyDescent="0.2"/>
    <row r="123" s="1" customFormat="1" ht="14.1" customHeight="1" x14ac:dyDescent="0.2"/>
    <row r="124" s="1" customFormat="1" ht="14.1" customHeight="1" x14ac:dyDescent="0.2"/>
    <row r="125" s="1" customFormat="1" ht="14.1" customHeight="1" x14ac:dyDescent="0.2"/>
    <row r="126" s="1" customFormat="1" ht="14.1" customHeight="1" x14ac:dyDescent="0.2"/>
    <row r="127" s="1" customFormat="1" ht="14.1" customHeight="1" x14ac:dyDescent="0.2"/>
    <row r="128" s="1" customFormat="1" ht="14.1" customHeight="1" x14ac:dyDescent="0.2"/>
    <row r="129" s="1" customFormat="1" ht="14.1" customHeight="1" x14ac:dyDescent="0.2"/>
    <row r="130" s="1" customFormat="1" ht="14.1" customHeight="1" x14ac:dyDescent="0.2"/>
    <row r="131" s="1" customFormat="1" ht="14.1" customHeight="1" x14ac:dyDescent="0.2"/>
    <row r="132" s="1" customFormat="1" ht="14.1" customHeight="1" x14ac:dyDescent="0.2"/>
    <row r="133" s="1" customFormat="1" ht="14.1" customHeight="1" x14ac:dyDescent="0.2"/>
    <row r="134" s="1" customFormat="1" ht="14.1" customHeight="1" x14ac:dyDescent="0.2"/>
    <row r="135" s="1" customFormat="1" ht="14.1" customHeight="1" x14ac:dyDescent="0.2"/>
    <row r="136" s="1" customFormat="1" ht="14.1" customHeight="1" x14ac:dyDescent="0.2"/>
    <row r="137" s="1" customFormat="1" ht="14.1" customHeight="1" x14ac:dyDescent="0.2"/>
    <row r="138" s="1" customFormat="1" ht="14.1" customHeight="1" x14ac:dyDescent="0.2"/>
    <row r="139" s="1" customFormat="1" ht="14.1" customHeight="1" x14ac:dyDescent="0.2"/>
    <row r="140" s="1" customFormat="1" ht="14.1" customHeight="1" x14ac:dyDescent="0.2"/>
    <row r="141" s="1" customFormat="1" ht="14.1" customHeight="1" x14ac:dyDescent="0.2"/>
    <row r="142" s="1" customFormat="1" ht="14.1" customHeight="1" x14ac:dyDescent="0.2"/>
    <row r="143" s="1" customFormat="1" ht="14.1" customHeight="1" x14ac:dyDescent="0.2"/>
    <row r="144" s="1" customFormat="1" ht="14.1" customHeight="1" x14ac:dyDescent="0.2"/>
    <row r="145" s="1" customFormat="1" ht="14.1" customHeight="1" x14ac:dyDescent="0.2"/>
    <row r="146" s="1" customFormat="1" ht="14.1" customHeight="1" x14ac:dyDescent="0.2"/>
    <row r="147" s="1" customFormat="1" ht="14.1" customHeight="1" x14ac:dyDescent="0.2"/>
    <row r="148" s="1" customFormat="1" ht="14.1" customHeight="1" x14ac:dyDescent="0.2"/>
    <row r="149" s="1" customFormat="1" ht="14.1" customHeight="1" x14ac:dyDescent="0.2"/>
    <row r="150" s="1" customFormat="1" ht="14.1" customHeight="1" x14ac:dyDescent="0.2"/>
    <row r="151" s="1" customFormat="1" ht="14.1" customHeight="1" x14ac:dyDescent="0.2"/>
    <row r="152" s="1" customFormat="1" ht="14.1" customHeight="1" x14ac:dyDescent="0.2"/>
    <row r="153" s="1" customFormat="1" ht="14.1" customHeight="1" x14ac:dyDescent="0.2"/>
    <row r="154" s="1" customFormat="1" ht="14.1" customHeight="1" x14ac:dyDescent="0.2"/>
    <row r="155" s="1" customFormat="1" ht="14.1" customHeight="1" x14ac:dyDescent="0.2"/>
    <row r="156" s="1" customFormat="1" ht="14.1" customHeight="1" x14ac:dyDescent="0.2"/>
    <row r="157" s="1" customFormat="1" ht="14.1" customHeight="1" x14ac:dyDescent="0.2"/>
    <row r="158" s="1" customFormat="1" ht="14.1" customHeight="1" x14ac:dyDescent="0.2"/>
    <row r="159" s="1" customFormat="1" ht="14.1" customHeight="1" x14ac:dyDescent="0.2"/>
    <row r="160" s="1" customFormat="1" ht="14.1" customHeight="1" x14ac:dyDescent="0.2"/>
    <row r="161" s="1" customFormat="1" ht="14.1" customHeight="1" x14ac:dyDescent="0.2"/>
    <row r="162" s="1" customFormat="1" ht="14.1" customHeight="1" x14ac:dyDescent="0.2"/>
    <row r="163" s="1" customFormat="1" ht="14.1" customHeight="1" x14ac:dyDescent="0.2"/>
    <row r="164" s="1" customFormat="1" ht="14.1" customHeight="1" x14ac:dyDescent="0.2"/>
    <row r="165" s="1" customFormat="1" ht="14.1" customHeight="1" x14ac:dyDescent="0.2"/>
    <row r="166" s="1" customFormat="1" ht="14.1" customHeight="1" x14ac:dyDescent="0.2"/>
    <row r="167" s="1" customFormat="1" ht="14.1" customHeight="1" x14ac:dyDescent="0.2"/>
    <row r="168" s="1" customFormat="1" ht="14.1" customHeight="1" x14ac:dyDescent="0.2"/>
    <row r="169" s="1" customFormat="1" ht="14.1" customHeight="1" x14ac:dyDescent="0.2"/>
    <row r="170" s="1" customFormat="1" ht="14.1" customHeight="1" x14ac:dyDescent="0.2"/>
    <row r="171" s="1" customFormat="1" ht="14.1" customHeight="1" x14ac:dyDescent="0.2"/>
    <row r="172" s="1" customFormat="1" ht="14.1" customHeight="1" x14ac:dyDescent="0.2"/>
    <row r="173" s="1" customFormat="1" ht="14.1" customHeight="1" x14ac:dyDescent="0.2"/>
    <row r="174" s="1" customFormat="1" ht="14.1" customHeight="1" x14ac:dyDescent="0.2"/>
    <row r="175" s="1" customFormat="1" ht="14.1" customHeight="1" x14ac:dyDescent="0.2"/>
    <row r="176" s="1" customFormat="1" ht="14.1" customHeight="1" x14ac:dyDescent="0.2"/>
    <row r="177" s="1" customFormat="1" ht="14.1" customHeight="1" x14ac:dyDescent="0.2"/>
    <row r="178" s="1" customFormat="1" ht="14.1" customHeight="1" x14ac:dyDescent="0.2"/>
    <row r="179" s="1" customFormat="1" ht="14.1" customHeight="1" x14ac:dyDescent="0.2"/>
    <row r="180" s="1" customFormat="1" ht="14.1" customHeight="1" x14ac:dyDescent="0.2"/>
    <row r="181" s="1" customFormat="1" ht="14.1" customHeight="1" x14ac:dyDescent="0.2"/>
    <row r="182" s="1" customFormat="1" ht="14.1" customHeight="1" x14ac:dyDescent="0.2"/>
    <row r="183" s="1" customFormat="1" ht="14.1" customHeight="1" x14ac:dyDescent="0.2"/>
    <row r="184" s="1" customFormat="1" ht="14.1" customHeight="1" x14ac:dyDescent="0.2"/>
    <row r="185" s="1" customFormat="1" ht="14.1" customHeight="1" x14ac:dyDescent="0.2"/>
    <row r="186" s="1" customFormat="1" ht="14.1" customHeight="1" x14ac:dyDescent="0.2"/>
    <row r="187" s="1" customFormat="1" ht="14.1" customHeight="1" x14ac:dyDescent="0.2"/>
    <row r="188" s="1" customFormat="1" ht="14.1" customHeight="1" x14ac:dyDescent="0.2"/>
    <row r="189" s="1" customFormat="1" ht="14.1" customHeight="1" x14ac:dyDescent="0.2"/>
    <row r="190" s="1" customFormat="1" ht="14.1" customHeight="1" x14ac:dyDescent="0.2"/>
    <row r="191" s="1" customFormat="1" ht="14.1" customHeight="1" x14ac:dyDescent="0.2"/>
    <row r="192" s="1" customFormat="1" ht="14.1" customHeight="1" x14ac:dyDescent="0.2"/>
    <row r="193" s="1" customFormat="1" ht="14.1" customHeight="1" x14ac:dyDescent="0.2"/>
    <row r="194" s="1" customFormat="1" ht="14.1" customHeight="1" x14ac:dyDescent="0.2"/>
    <row r="195" s="1" customFormat="1" ht="14.1" customHeight="1" x14ac:dyDescent="0.2"/>
    <row r="196" s="1" customFormat="1" ht="14.1" customHeight="1" x14ac:dyDescent="0.2"/>
    <row r="197" s="1" customFormat="1" ht="14.1" customHeight="1" x14ac:dyDescent="0.2"/>
    <row r="198" s="1" customFormat="1" ht="14.1" customHeight="1" x14ac:dyDescent="0.2"/>
    <row r="199" s="1" customFormat="1" ht="14.1" customHeight="1" x14ac:dyDescent="0.2"/>
    <row r="200" s="1" customFormat="1" ht="14.1" customHeight="1" x14ac:dyDescent="0.2"/>
    <row r="201" s="1" customFormat="1" ht="14.1" customHeight="1" x14ac:dyDescent="0.2"/>
    <row r="202" s="1" customFormat="1" ht="14.1" customHeight="1" x14ac:dyDescent="0.2"/>
    <row r="203" s="1" customFormat="1" ht="14.1" customHeight="1" x14ac:dyDescent="0.2"/>
    <row r="204" s="1" customFormat="1" ht="14.1" customHeight="1" x14ac:dyDescent="0.2"/>
    <row r="205" s="1" customFormat="1" ht="14.1" customHeight="1" x14ac:dyDescent="0.2"/>
    <row r="206" s="1" customFormat="1" ht="14.1" customHeight="1" x14ac:dyDescent="0.2"/>
    <row r="207" s="1" customFormat="1" ht="14.1" customHeight="1" x14ac:dyDescent="0.2"/>
    <row r="208" s="1" customFormat="1" ht="14.1" customHeight="1" x14ac:dyDescent="0.2"/>
    <row r="209" s="1" customFormat="1" ht="14.1" customHeight="1" x14ac:dyDescent="0.2"/>
    <row r="210" s="1" customFormat="1" ht="14.1" customHeight="1" x14ac:dyDescent="0.2"/>
    <row r="211" s="1" customFormat="1" ht="14.1" customHeight="1" x14ac:dyDescent="0.2"/>
    <row r="212" s="1" customFormat="1" ht="14.1" customHeight="1" x14ac:dyDescent="0.2"/>
    <row r="213" s="1" customFormat="1" ht="14.1" customHeight="1" x14ac:dyDescent="0.2"/>
    <row r="214" s="1" customFormat="1" ht="14.1" customHeight="1" x14ac:dyDescent="0.2"/>
    <row r="215" s="1" customFormat="1" ht="14.1" customHeight="1" x14ac:dyDescent="0.2"/>
    <row r="216" s="1" customFormat="1" ht="14.1" customHeight="1" x14ac:dyDescent="0.2"/>
    <row r="217" s="1" customFormat="1" ht="14.1" customHeight="1" x14ac:dyDescent="0.2"/>
    <row r="218" s="1" customFormat="1" ht="14.1" customHeight="1" x14ac:dyDescent="0.2"/>
    <row r="219" s="1" customFormat="1" ht="14.1" customHeight="1" x14ac:dyDescent="0.2"/>
    <row r="220" s="1" customFormat="1" ht="14.1" customHeight="1" x14ac:dyDescent="0.2"/>
    <row r="221" s="1" customFormat="1" ht="14.1" customHeight="1" x14ac:dyDescent="0.2"/>
    <row r="222" s="1" customFormat="1" ht="14.1" customHeight="1" x14ac:dyDescent="0.2"/>
    <row r="223" s="1" customFormat="1" ht="14.1" customHeight="1" x14ac:dyDescent="0.2"/>
    <row r="224" s="1" customFormat="1" ht="14.1" customHeight="1" x14ac:dyDescent="0.2"/>
    <row r="225" s="1" customFormat="1" ht="14.1" customHeight="1" x14ac:dyDescent="0.2"/>
    <row r="226" s="1" customFormat="1" ht="14.1" customHeight="1" x14ac:dyDescent="0.2"/>
    <row r="227" s="1" customFormat="1" ht="14.1" customHeight="1" x14ac:dyDescent="0.2"/>
    <row r="228" s="1" customFormat="1" ht="14.1" customHeight="1" x14ac:dyDescent="0.2"/>
    <row r="229" s="1" customFormat="1" ht="14.1" customHeight="1" x14ac:dyDescent="0.2"/>
    <row r="230" s="1" customFormat="1" ht="14.1" customHeight="1" x14ac:dyDescent="0.2"/>
    <row r="231" s="1" customFormat="1" ht="14.1" customHeight="1" x14ac:dyDescent="0.2"/>
    <row r="232" s="1" customFormat="1" ht="14.1" customHeight="1" x14ac:dyDescent="0.2"/>
    <row r="233" s="1" customFormat="1" ht="14.1" customHeight="1" x14ac:dyDescent="0.2"/>
    <row r="234" s="1" customFormat="1" ht="14.1" customHeight="1" x14ac:dyDescent="0.2"/>
    <row r="235" s="1" customFormat="1" ht="14.1" customHeight="1" x14ac:dyDescent="0.2"/>
    <row r="236" s="1" customFormat="1" ht="14.1" customHeight="1" x14ac:dyDescent="0.2"/>
    <row r="237" s="1" customFormat="1" ht="14.1" customHeight="1" x14ac:dyDescent="0.2"/>
    <row r="238" s="1" customFormat="1" ht="14.1" customHeight="1" x14ac:dyDescent="0.2"/>
    <row r="239" s="1" customFormat="1" ht="14.1" customHeight="1" x14ac:dyDescent="0.2"/>
    <row r="240" s="1" customFormat="1" ht="14.1" customHeight="1" x14ac:dyDescent="0.2"/>
    <row r="241" s="1" customFormat="1" ht="14.1" customHeight="1" x14ac:dyDescent="0.2"/>
    <row r="242" s="1" customFormat="1" ht="14.1" customHeight="1" x14ac:dyDescent="0.2"/>
    <row r="243" s="1" customFormat="1" ht="14.1" customHeight="1" x14ac:dyDescent="0.2"/>
    <row r="244" s="1" customFormat="1" ht="14.1" customHeight="1" x14ac:dyDescent="0.2"/>
    <row r="245" s="1" customFormat="1" ht="14.1" customHeight="1" x14ac:dyDescent="0.2"/>
    <row r="246" s="1" customFormat="1" ht="14.1" customHeight="1" x14ac:dyDescent="0.2"/>
    <row r="247" s="1" customFormat="1" ht="14.1" customHeight="1" x14ac:dyDescent="0.2"/>
    <row r="248" s="1" customFormat="1" ht="14.1" customHeight="1" x14ac:dyDescent="0.2"/>
    <row r="249" s="1" customFormat="1" ht="14.1" customHeight="1" x14ac:dyDescent="0.2"/>
    <row r="250" s="1" customFormat="1" ht="14.1" customHeight="1" x14ac:dyDescent="0.2"/>
    <row r="251" s="1" customFormat="1" ht="14.1" customHeight="1" x14ac:dyDescent="0.2"/>
    <row r="252" s="1" customFormat="1" ht="14.1" customHeight="1" x14ac:dyDescent="0.2"/>
    <row r="253" s="1" customFormat="1" ht="14.1" customHeight="1" x14ac:dyDescent="0.2"/>
    <row r="254" s="1" customFormat="1" ht="14.1" customHeight="1" x14ac:dyDescent="0.2"/>
    <row r="255" s="1" customFormat="1" ht="14.1" customHeight="1" x14ac:dyDescent="0.2"/>
    <row r="256" s="1" customFormat="1" ht="14.1" customHeight="1" x14ac:dyDescent="0.2"/>
    <row r="257" s="1" customFormat="1" ht="14.1" customHeight="1" x14ac:dyDescent="0.2"/>
    <row r="258" s="1" customFormat="1" ht="14.1" customHeight="1" x14ac:dyDescent="0.2"/>
    <row r="259" s="1" customFormat="1" ht="14.1" customHeight="1" x14ac:dyDescent="0.2"/>
    <row r="260" s="1" customFormat="1" ht="14.1" customHeight="1" x14ac:dyDescent="0.2"/>
    <row r="261" s="1" customFormat="1" ht="14.1" customHeight="1" x14ac:dyDescent="0.2"/>
    <row r="262" s="1" customFormat="1" ht="14.1" customHeight="1" x14ac:dyDescent="0.2"/>
    <row r="263" s="1" customFormat="1" ht="14.1" customHeight="1" x14ac:dyDescent="0.2"/>
    <row r="264" s="1" customFormat="1" ht="14.1" customHeight="1" x14ac:dyDescent="0.2"/>
    <row r="265" s="1" customFormat="1" ht="14.1" customHeight="1" x14ac:dyDescent="0.2"/>
    <row r="266" s="1" customFormat="1" ht="14.1" customHeight="1" x14ac:dyDescent="0.2"/>
    <row r="267" s="1" customFormat="1" ht="14.1" customHeight="1" x14ac:dyDescent="0.2"/>
    <row r="268" s="1" customFormat="1" ht="14.1" customHeight="1" x14ac:dyDescent="0.2"/>
    <row r="269" s="1" customFormat="1" ht="14.1" customHeight="1" x14ac:dyDescent="0.2"/>
    <row r="270" s="1" customFormat="1" ht="14.1" customHeight="1" x14ac:dyDescent="0.2"/>
    <row r="271" s="1" customFormat="1" ht="14.1" customHeight="1" x14ac:dyDescent="0.2"/>
    <row r="272" s="1" customFormat="1" ht="14.1" customHeight="1" x14ac:dyDescent="0.2"/>
    <row r="273" s="1" customFormat="1" ht="14.1" customHeight="1" x14ac:dyDescent="0.2"/>
    <row r="274" s="1" customFormat="1" ht="14.1" customHeight="1" x14ac:dyDescent="0.2"/>
    <row r="275" s="1" customFormat="1" ht="14.1" customHeight="1" x14ac:dyDescent="0.2"/>
    <row r="276" s="1" customFormat="1" ht="14.1" customHeight="1" x14ac:dyDescent="0.2"/>
    <row r="277" s="1" customFormat="1" ht="14.1" customHeight="1" x14ac:dyDescent="0.2"/>
    <row r="278" s="1" customFormat="1" ht="14.1" customHeight="1" x14ac:dyDescent="0.2"/>
    <row r="279" s="1" customFormat="1" ht="14.1" customHeight="1" x14ac:dyDescent="0.2"/>
    <row r="280" s="1" customFormat="1" ht="14.1" customHeight="1" x14ac:dyDescent="0.2"/>
    <row r="281" s="1" customFormat="1" ht="14.1" customHeight="1" x14ac:dyDescent="0.2"/>
    <row r="282" s="1" customFormat="1" ht="14.1" customHeight="1" x14ac:dyDescent="0.2"/>
    <row r="283" s="1" customFormat="1" ht="14.1" customHeight="1" x14ac:dyDescent="0.2"/>
    <row r="284" s="1" customFormat="1" ht="14.1" customHeight="1" x14ac:dyDescent="0.2"/>
    <row r="285" s="1" customFormat="1" ht="14.1" customHeight="1" x14ac:dyDescent="0.2"/>
    <row r="286" s="1" customFormat="1" ht="14.1" customHeight="1" x14ac:dyDescent="0.2"/>
    <row r="287" s="1" customFormat="1" ht="14.1" customHeight="1" x14ac:dyDescent="0.2"/>
    <row r="288" s="1" customFormat="1" ht="14.1" customHeight="1" x14ac:dyDescent="0.2"/>
    <row r="289" s="1" customFormat="1" ht="14.1" customHeight="1" x14ac:dyDescent="0.2"/>
    <row r="290" s="1" customFormat="1" ht="14.1" customHeight="1" x14ac:dyDescent="0.2"/>
    <row r="291" s="1" customFormat="1" ht="14.1" customHeight="1" x14ac:dyDescent="0.2"/>
    <row r="292" s="1" customFormat="1" ht="14.1" customHeight="1" x14ac:dyDescent="0.2"/>
    <row r="293" s="1" customFormat="1" ht="14.1" customHeight="1" x14ac:dyDescent="0.2"/>
    <row r="294" s="1" customFormat="1" ht="14.1" customHeight="1" x14ac:dyDescent="0.2"/>
    <row r="295" s="1" customFormat="1" ht="14.1" customHeight="1" x14ac:dyDescent="0.2"/>
    <row r="296" s="1" customFormat="1" ht="14.1" customHeight="1" x14ac:dyDescent="0.2"/>
    <row r="297" s="1" customFormat="1" ht="14.1" customHeight="1" x14ac:dyDescent="0.2"/>
    <row r="298" s="1" customFormat="1" ht="14.1" customHeight="1" x14ac:dyDescent="0.2"/>
    <row r="299" s="1" customFormat="1" ht="14.1" customHeight="1" x14ac:dyDescent="0.2"/>
    <row r="300" s="1" customFormat="1" ht="14.1" customHeight="1" x14ac:dyDescent="0.2"/>
    <row r="301" s="1" customFormat="1" ht="14.1" customHeight="1" x14ac:dyDescent="0.2"/>
    <row r="302" s="1" customFormat="1" ht="14.1" customHeight="1" x14ac:dyDescent="0.2"/>
    <row r="303" s="1" customFormat="1" ht="14.1" customHeight="1" x14ac:dyDescent="0.2"/>
    <row r="304" s="1" customFormat="1" ht="14.1" customHeight="1" x14ac:dyDescent="0.2"/>
    <row r="305" s="1" customFormat="1" ht="14.1" customHeight="1" x14ac:dyDescent="0.2"/>
    <row r="306" s="1" customFormat="1" ht="14.1" customHeight="1" x14ac:dyDescent="0.2"/>
    <row r="307" s="1" customFormat="1" ht="14.1" customHeight="1" x14ac:dyDescent="0.2"/>
    <row r="308" s="1" customFormat="1" ht="14.1" customHeight="1" x14ac:dyDescent="0.2"/>
    <row r="309" s="1" customFormat="1" ht="14.1" customHeight="1" x14ac:dyDescent="0.2"/>
    <row r="310" s="1" customFormat="1" ht="14.1" customHeight="1" x14ac:dyDescent="0.2"/>
    <row r="311" s="1" customFormat="1" ht="14.1" customHeight="1" x14ac:dyDescent="0.2"/>
    <row r="312" s="1" customFormat="1" ht="14.1" customHeight="1" x14ac:dyDescent="0.2"/>
    <row r="313" s="1" customFormat="1" ht="14.1" customHeight="1" x14ac:dyDescent="0.2"/>
    <row r="314" s="1" customFormat="1" ht="14.1" customHeight="1" x14ac:dyDescent="0.2"/>
    <row r="315" s="1" customFormat="1" ht="14.1" customHeight="1" x14ac:dyDescent="0.2"/>
    <row r="316" s="1" customFormat="1" ht="14.1" customHeight="1" x14ac:dyDescent="0.2"/>
    <row r="317" s="1" customFormat="1" ht="14.1" customHeight="1" x14ac:dyDescent="0.2"/>
    <row r="318" s="1" customFormat="1" ht="14.1" customHeight="1" x14ac:dyDescent="0.2"/>
    <row r="319" s="1" customFormat="1" ht="14.1" customHeight="1" x14ac:dyDescent="0.2"/>
    <row r="320" s="1" customFormat="1" ht="14.1" customHeight="1" x14ac:dyDescent="0.2"/>
    <row r="321" s="1" customFormat="1" ht="14.1" customHeight="1" x14ac:dyDescent="0.2"/>
    <row r="322" s="1" customFormat="1" ht="14.1" customHeight="1" x14ac:dyDescent="0.2"/>
    <row r="323" s="1" customFormat="1" ht="14.1" customHeight="1" x14ac:dyDescent="0.2"/>
    <row r="324" s="1" customFormat="1" ht="14.1" customHeight="1" x14ac:dyDescent="0.2"/>
    <row r="325" s="1" customFormat="1" ht="14.1" customHeight="1" x14ac:dyDescent="0.2"/>
    <row r="326" s="1" customFormat="1" ht="14.1" customHeight="1" x14ac:dyDescent="0.2"/>
    <row r="327" s="1" customFormat="1" ht="14.1" customHeight="1" x14ac:dyDescent="0.2"/>
    <row r="328" s="1" customFormat="1" ht="14.1" customHeight="1" x14ac:dyDescent="0.2"/>
    <row r="329" s="1" customFormat="1" ht="14.1" customHeight="1" x14ac:dyDescent="0.2"/>
    <row r="330" s="1" customFormat="1" ht="14.1" customHeight="1" x14ac:dyDescent="0.2"/>
    <row r="331" s="1" customFormat="1" ht="14.1" customHeight="1" x14ac:dyDescent="0.2"/>
    <row r="332" s="1" customFormat="1" ht="14.1" customHeight="1" x14ac:dyDescent="0.2"/>
    <row r="333" s="1" customFormat="1" ht="14.1" customHeight="1" x14ac:dyDescent="0.2"/>
    <row r="334" s="1" customFormat="1" ht="14.1" customHeight="1" x14ac:dyDescent="0.2"/>
    <row r="335" s="1" customFormat="1" ht="14.1" customHeight="1" x14ac:dyDescent="0.2"/>
    <row r="336" s="1" customFormat="1" ht="14.1" customHeight="1" x14ac:dyDescent="0.2"/>
    <row r="337" s="1" customFormat="1" ht="14.1" customHeight="1" x14ac:dyDescent="0.2"/>
    <row r="338" s="1" customFormat="1" ht="14.1" customHeight="1" x14ac:dyDescent="0.2"/>
    <row r="339" s="1" customFormat="1" ht="14.1" customHeight="1" x14ac:dyDescent="0.2"/>
    <row r="340" s="1" customFormat="1" ht="14.1" customHeight="1" x14ac:dyDescent="0.2"/>
    <row r="341" s="1" customFormat="1" ht="14.1" customHeight="1" x14ac:dyDescent="0.2"/>
    <row r="342" s="1" customFormat="1" ht="14.1" customHeight="1" x14ac:dyDescent="0.2"/>
    <row r="343" s="1" customFormat="1" ht="14.1" customHeight="1" x14ac:dyDescent="0.2"/>
    <row r="344" s="1" customFormat="1" ht="14.1" customHeight="1" x14ac:dyDescent="0.2"/>
    <row r="345" s="1" customFormat="1" ht="14.1" customHeight="1" x14ac:dyDescent="0.2"/>
    <row r="346" s="1" customFormat="1" ht="14.1" customHeight="1" x14ac:dyDescent="0.2"/>
    <row r="347" s="1" customFormat="1" ht="14.1" customHeight="1" x14ac:dyDescent="0.2"/>
    <row r="348" s="1" customFormat="1" ht="14.1" customHeight="1" x14ac:dyDescent="0.2"/>
    <row r="349" s="1" customFormat="1" ht="14.1" customHeight="1" x14ac:dyDescent="0.2"/>
    <row r="350" s="1" customFormat="1" ht="14.1" customHeight="1" x14ac:dyDescent="0.2"/>
    <row r="351" s="1" customFormat="1" ht="14.1" customHeight="1" x14ac:dyDescent="0.2"/>
    <row r="352" s="1" customFormat="1" ht="14.1" customHeight="1" x14ac:dyDescent="0.2"/>
    <row r="353" s="1" customFormat="1" ht="14.1" customHeight="1" x14ac:dyDescent="0.2"/>
    <row r="354" s="1" customFormat="1" ht="14.1" customHeight="1" x14ac:dyDescent="0.2"/>
    <row r="355" s="1" customFormat="1" ht="14.1" customHeight="1" x14ac:dyDescent="0.2"/>
    <row r="356" s="1" customFormat="1" ht="14.1" customHeight="1" x14ac:dyDescent="0.2"/>
    <row r="357" s="1" customFormat="1" ht="14.1" customHeight="1" x14ac:dyDescent="0.2"/>
    <row r="358" s="1" customFormat="1" ht="14.1" customHeight="1" x14ac:dyDescent="0.2"/>
    <row r="359" s="1" customFormat="1" ht="14.1" customHeight="1" x14ac:dyDescent="0.2"/>
    <row r="360" s="1" customFormat="1" ht="14.1" customHeight="1" x14ac:dyDescent="0.2"/>
    <row r="361" s="1" customFormat="1" ht="14.1" customHeight="1" x14ac:dyDescent="0.2"/>
    <row r="362" s="1" customFormat="1" ht="14.1" customHeight="1" x14ac:dyDescent="0.2"/>
    <row r="363" s="1" customFormat="1" ht="14.1" customHeight="1" x14ac:dyDescent="0.2"/>
    <row r="364" s="1" customFormat="1" ht="14.1" customHeight="1" x14ac:dyDescent="0.2"/>
    <row r="365" s="1" customFormat="1" ht="14.1" customHeight="1" x14ac:dyDescent="0.2"/>
    <row r="366" s="1" customFormat="1" ht="14.1" customHeight="1" x14ac:dyDescent="0.2"/>
    <row r="367" s="1" customFormat="1" ht="14.1" customHeight="1" x14ac:dyDescent="0.2"/>
    <row r="368" s="1" customFormat="1" ht="14.1" customHeight="1" x14ac:dyDescent="0.2"/>
    <row r="369" s="1" customFormat="1" ht="14.1" customHeight="1" x14ac:dyDescent="0.2"/>
    <row r="370" s="1" customFormat="1" ht="14.1" customHeight="1" x14ac:dyDescent="0.2"/>
    <row r="371" s="1" customFormat="1" ht="14.1" customHeight="1" x14ac:dyDescent="0.2"/>
    <row r="372" s="1" customFormat="1" ht="14.1" customHeight="1" x14ac:dyDescent="0.2"/>
    <row r="373" s="1" customFormat="1" ht="14.1" customHeight="1" x14ac:dyDescent="0.2"/>
    <row r="374" s="1" customFormat="1" ht="14.1" customHeight="1" x14ac:dyDescent="0.2"/>
    <row r="375" s="1" customFormat="1" ht="14.1" customHeight="1" x14ac:dyDescent="0.2"/>
    <row r="376" s="1" customFormat="1" ht="14.1" customHeight="1" x14ac:dyDescent="0.2"/>
    <row r="377" s="1" customFormat="1" ht="14.1" customHeight="1" x14ac:dyDescent="0.2"/>
    <row r="378" s="1" customFormat="1" ht="14.1" customHeight="1" x14ac:dyDescent="0.2"/>
    <row r="379" s="1" customFormat="1" ht="14.1" customHeight="1" x14ac:dyDescent="0.2"/>
    <row r="380" s="1" customFormat="1" ht="14.1" customHeight="1" x14ac:dyDescent="0.2"/>
    <row r="381" s="1" customFormat="1" ht="14.1" customHeight="1" x14ac:dyDescent="0.2"/>
    <row r="382" s="1" customFormat="1" ht="14.1" customHeight="1" x14ac:dyDescent="0.2"/>
    <row r="383" s="1" customFormat="1" ht="14.1" customHeight="1" x14ac:dyDescent="0.2"/>
    <row r="384" s="1" customFormat="1" ht="14.1" customHeight="1" x14ac:dyDescent="0.2"/>
    <row r="385" s="1" customFormat="1" ht="14.1" customHeight="1" x14ac:dyDescent="0.2"/>
    <row r="386" s="1" customFormat="1" ht="14.1" customHeight="1" x14ac:dyDescent="0.2"/>
    <row r="387" s="1" customFormat="1" ht="14.1" customHeight="1" x14ac:dyDescent="0.2"/>
    <row r="388" s="1" customFormat="1" ht="14.1" customHeight="1" x14ac:dyDescent="0.2"/>
    <row r="389" s="1" customFormat="1" ht="14.1" customHeight="1" x14ac:dyDescent="0.2"/>
    <row r="390" s="1" customFormat="1" ht="14.1" customHeight="1" x14ac:dyDescent="0.2"/>
    <row r="391" s="1" customFormat="1" ht="14.1" customHeight="1" x14ac:dyDescent="0.2"/>
    <row r="392" s="1" customFormat="1" ht="14.1" customHeight="1" x14ac:dyDescent="0.2"/>
    <row r="393" s="1" customFormat="1" ht="14.1" customHeight="1" x14ac:dyDescent="0.2"/>
    <row r="394" s="1" customFormat="1" ht="14.1" customHeight="1" x14ac:dyDescent="0.2"/>
    <row r="395" s="1" customFormat="1" ht="14.1" customHeight="1" x14ac:dyDescent="0.2"/>
    <row r="396" s="1" customFormat="1" ht="14.1" customHeight="1" x14ac:dyDescent="0.2"/>
    <row r="397" s="1" customFormat="1" ht="14.1" customHeight="1" x14ac:dyDescent="0.2"/>
    <row r="398" s="1" customFormat="1" ht="14.1" customHeight="1" x14ac:dyDescent="0.2"/>
    <row r="399" s="1" customFormat="1" ht="14.1" customHeight="1" x14ac:dyDescent="0.2"/>
    <row r="400" s="1" customFormat="1" ht="14.1" customHeight="1" x14ac:dyDescent="0.2"/>
    <row r="401" s="1" customFormat="1" ht="14.1" customHeight="1" x14ac:dyDescent="0.2"/>
    <row r="402" s="1" customFormat="1" ht="14.1" customHeight="1" x14ac:dyDescent="0.2"/>
    <row r="403" s="1" customFormat="1" ht="14.1" customHeight="1" x14ac:dyDescent="0.2"/>
    <row r="404" s="1" customFormat="1" ht="14.1" customHeight="1" x14ac:dyDescent="0.2"/>
    <row r="405" s="1" customFormat="1" ht="14.1" customHeight="1" x14ac:dyDescent="0.2"/>
    <row r="406" s="1" customFormat="1" ht="14.1" customHeight="1" x14ac:dyDescent="0.2"/>
    <row r="407" s="1" customFormat="1" ht="14.1" customHeight="1" x14ac:dyDescent="0.2"/>
    <row r="408" s="1" customFormat="1" ht="14.1" customHeight="1" x14ac:dyDescent="0.2"/>
    <row r="409" s="1" customFormat="1" ht="14.1" customHeight="1" x14ac:dyDescent="0.2"/>
    <row r="410" s="1" customFormat="1" ht="14.1" customHeight="1" x14ac:dyDescent="0.2"/>
    <row r="411" s="1" customFormat="1" ht="14.1" customHeight="1" x14ac:dyDescent="0.2"/>
    <row r="412" s="1" customFormat="1" ht="14.1" customHeight="1" x14ac:dyDescent="0.2"/>
    <row r="413" s="1" customFormat="1" ht="14.1" customHeight="1" x14ac:dyDescent="0.2"/>
    <row r="414" s="1" customFormat="1" ht="14.1" customHeight="1" x14ac:dyDescent="0.2"/>
    <row r="415" s="1" customFormat="1" ht="14.1" customHeight="1" x14ac:dyDescent="0.2"/>
    <row r="416" s="1" customFormat="1" ht="14.1" customHeight="1" x14ac:dyDescent="0.2"/>
    <row r="417" s="1" customFormat="1" ht="14.1" customHeight="1" x14ac:dyDescent="0.2"/>
    <row r="418" s="1" customFormat="1" ht="14.1" customHeight="1" x14ac:dyDescent="0.2"/>
    <row r="419" s="1" customFormat="1" ht="14.1" customHeight="1" x14ac:dyDescent="0.2"/>
    <row r="420" s="1" customFormat="1" ht="14.1" customHeight="1" x14ac:dyDescent="0.2"/>
    <row r="421" s="1" customFormat="1" ht="14.1" customHeight="1" x14ac:dyDescent="0.2"/>
    <row r="422" s="1" customFormat="1" ht="14.1" customHeight="1" x14ac:dyDescent="0.2"/>
    <row r="423" s="1" customFormat="1" ht="14.1" customHeight="1" x14ac:dyDescent="0.2"/>
    <row r="424" s="1" customFormat="1" ht="14.1" customHeight="1" x14ac:dyDescent="0.2"/>
    <row r="425" s="1" customFormat="1" ht="14.1" customHeight="1" x14ac:dyDescent="0.2"/>
    <row r="426" s="1" customFormat="1" ht="14.1" customHeight="1" x14ac:dyDescent="0.2"/>
    <row r="427" s="1" customFormat="1" ht="14.1" customHeight="1" x14ac:dyDescent="0.2"/>
    <row r="428" s="1" customFormat="1" ht="14.1" customHeight="1" x14ac:dyDescent="0.2"/>
    <row r="429" s="1" customFormat="1" ht="14.1" customHeight="1" x14ac:dyDescent="0.2"/>
    <row r="430" s="1" customFormat="1" ht="14.1" customHeight="1" x14ac:dyDescent="0.2"/>
    <row r="431" s="1" customFormat="1" ht="14.1" customHeight="1" x14ac:dyDescent="0.2"/>
    <row r="432" s="1" customFormat="1" ht="14.1" customHeight="1" x14ac:dyDescent="0.2"/>
    <row r="433" s="1" customFormat="1" ht="14.1" customHeight="1" x14ac:dyDescent="0.2"/>
    <row r="434" s="1" customFormat="1" ht="14.1" customHeight="1" x14ac:dyDescent="0.2"/>
    <row r="435" s="1" customFormat="1" ht="14.1" customHeight="1" x14ac:dyDescent="0.2"/>
    <row r="436" s="1" customFormat="1" ht="14.1" customHeight="1" x14ac:dyDescent="0.2"/>
    <row r="437" s="1" customFormat="1" ht="14.1" customHeight="1" x14ac:dyDescent="0.2"/>
    <row r="438" s="1" customFormat="1" ht="14.1" customHeight="1" x14ac:dyDescent="0.2"/>
    <row r="439" s="1" customFormat="1" ht="14.1" customHeight="1" x14ac:dyDescent="0.2"/>
    <row r="440" s="1" customFormat="1" ht="14.1" customHeight="1" x14ac:dyDescent="0.2"/>
    <row r="441" s="1" customFormat="1" ht="14.1" customHeight="1" x14ac:dyDescent="0.2"/>
    <row r="442" s="1" customFormat="1" ht="14.1" customHeight="1" x14ac:dyDescent="0.2"/>
    <row r="443" s="1" customFormat="1" ht="14.1" customHeight="1" x14ac:dyDescent="0.2"/>
    <row r="444" s="1" customFormat="1" ht="14.1" customHeight="1" x14ac:dyDescent="0.2"/>
    <row r="445" s="1" customFormat="1" ht="14.1" customHeight="1" x14ac:dyDescent="0.2"/>
    <row r="446" s="1" customFormat="1" ht="14.1" customHeight="1" x14ac:dyDescent="0.2"/>
    <row r="447" s="1" customFormat="1" ht="14.1" customHeight="1" x14ac:dyDescent="0.2"/>
    <row r="448" s="1" customFormat="1" ht="14.1" customHeight="1" x14ac:dyDescent="0.2"/>
    <row r="449" s="1" customFormat="1" ht="14.1" customHeight="1" x14ac:dyDescent="0.2"/>
    <row r="450" s="1" customFormat="1" ht="14.1" customHeight="1" x14ac:dyDescent="0.2"/>
    <row r="451" s="1" customFormat="1" ht="14.1" customHeight="1" x14ac:dyDescent="0.2"/>
    <row r="452" s="1" customFormat="1" ht="14.1" customHeight="1" x14ac:dyDescent="0.2"/>
    <row r="453" s="1" customFormat="1" ht="14.1" customHeight="1" x14ac:dyDescent="0.2"/>
    <row r="454" s="1" customFormat="1" ht="14.1" customHeight="1" x14ac:dyDescent="0.2"/>
    <row r="455" s="1" customFormat="1" ht="14.1" customHeight="1" x14ac:dyDescent="0.2"/>
    <row r="456" s="1" customFormat="1" ht="14.1" customHeight="1" x14ac:dyDescent="0.2"/>
    <row r="457" s="1" customFormat="1" ht="14.1" customHeight="1" x14ac:dyDescent="0.2"/>
    <row r="458" s="1" customFormat="1" ht="14.1" customHeight="1" x14ac:dyDescent="0.2"/>
    <row r="459" s="1" customFormat="1" ht="14.1" customHeight="1" x14ac:dyDescent="0.2"/>
    <row r="460" s="1" customFormat="1" ht="14.1" customHeight="1" x14ac:dyDescent="0.2"/>
    <row r="461" s="1" customFormat="1" ht="14.1" customHeight="1" x14ac:dyDescent="0.2"/>
    <row r="462" s="1" customFormat="1" ht="14.1" customHeight="1" x14ac:dyDescent="0.2"/>
    <row r="463" s="1" customFormat="1" ht="14.1" customHeight="1" x14ac:dyDescent="0.2"/>
    <row r="464" s="1" customFormat="1" ht="14.1" customHeight="1" x14ac:dyDescent="0.2"/>
    <row r="465" s="1" customFormat="1" ht="14.1" customHeight="1" x14ac:dyDescent="0.2"/>
    <row r="466" s="1" customFormat="1" ht="14.1" customHeight="1" x14ac:dyDescent="0.2"/>
    <row r="467" s="1" customFormat="1" ht="14.1" customHeight="1" x14ac:dyDescent="0.2"/>
    <row r="468" s="1" customFormat="1" ht="14.1" customHeight="1" x14ac:dyDescent="0.2"/>
    <row r="469" s="1" customFormat="1" ht="14.1" customHeight="1" x14ac:dyDescent="0.2"/>
    <row r="470" s="1" customFormat="1" ht="14.1" customHeight="1" x14ac:dyDescent="0.2"/>
    <row r="471" s="1" customFormat="1" ht="14.1" customHeight="1" x14ac:dyDescent="0.2"/>
    <row r="472" s="1" customFormat="1" ht="14.1" customHeight="1" x14ac:dyDescent="0.2"/>
    <row r="473" s="1" customFormat="1" ht="14.1" customHeight="1" x14ac:dyDescent="0.2"/>
    <row r="474" s="1" customFormat="1" ht="14.1" customHeight="1" x14ac:dyDescent="0.2"/>
    <row r="475" s="1" customFormat="1" ht="14.1" customHeight="1" x14ac:dyDescent="0.2"/>
    <row r="476" s="1" customFormat="1" ht="14.1" customHeight="1" x14ac:dyDescent="0.2"/>
    <row r="477" s="1" customFormat="1" ht="14.1" customHeight="1" x14ac:dyDescent="0.2"/>
    <row r="478" s="1" customFormat="1" ht="14.1" customHeight="1" x14ac:dyDescent="0.2"/>
    <row r="479" s="1" customFormat="1" ht="14.1" customHeight="1" x14ac:dyDescent="0.2"/>
    <row r="480" s="1" customFormat="1" ht="14.1" customHeight="1" x14ac:dyDescent="0.2"/>
    <row r="481" s="1" customFormat="1" ht="14.1" customHeight="1" x14ac:dyDescent="0.2"/>
    <row r="482" s="1" customFormat="1" ht="14.1" customHeight="1" x14ac:dyDescent="0.2"/>
    <row r="483" s="1" customFormat="1" ht="14.1" customHeight="1" x14ac:dyDescent="0.2"/>
    <row r="484" s="1" customFormat="1" ht="14.1" customHeight="1" x14ac:dyDescent="0.2"/>
    <row r="485" s="1" customFormat="1" ht="14.1" customHeight="1" x14ac:dyDescent="0.2"/>
    <row r="486" s="1" customFormat="1" ht="14.1" customHeight="1" x14ac:dyDescent="0.2"/>
    <row r="487" s="1" customFormat="1" ht="14.1" customHeight="1" x14ac:dyDescent="0.2"/>
    <row r="488" s="1" customFormat="1" ht="14.1" customHeight="1" x14ac:dyDescent="0.2"/>
    <row r="489" s="1" customFormat="1" ht="14.1" customHeight="1" x14ac:dyDescent="0.2"/>
    <row r="490" s="1" customFormat="1" ht="14.1" customHeight="1" x14ac:dyDescent="0.2"/>
    <row r="491" s="1" customFormat="1" ht="14.1" customHeight="1" x14ac:dyDescent="0.2"/>
    <row r="492" s="1" customFormat="1" ht="14.1" customHeight="1" x14ac:dyDescent="0.2"/>
    <row r="493" s="1" customFormat="1" ht="14.1" customHeight="1" x14ac:dyDescent="0.2"/>
    <row r="494" s="1" customFormat="1" ht="14.1" customHeight="1" x14ac:dyDescent="0.2"/>
    <row r="495" s="1" customFormat="1" ht="14.1" customHeight="1" x14ac:dyDescent="0.2"/>
    <row r="496" s="1" customFormat="1" ht="14.1" customHeight="1" x14ac:dyDescent="0.2"/>
    <row r="497" s="1" customFormat="1" ht="14.1" customHeight="1" x14ac:dyDescent="0.2"/>
    <row r="498" s="1" customFormat="1" ht="14.1" customHeight="1" x14ac:dyDescent="0.2"/>
    <row r="499" s="1" customFormat="1" ht="14.1" customHeight="1" x14ac:dyDescent="0.2"/>
    <row r="500" s="1" customFormat="1" ht="14.1" customHeight="1" x14ac:dyDescent="0.2"/>
    <row r="501" s="1" customFormat="1" ht="14.1" customHeight="1" x14ac:dyDescent="0.2"/>
    <row r="502" s="1" customFormat="1" ht="14.1" customHeight="1" x14ac:dyDescent="0.2"/>
    <row r="503" s="1" customFormat="1" ht="14.1" customHeight="1" x14ac:dyDescent="0.2"/>
    <row r="504" s="1" customFormat="1" ht="14.1" customHeight="1" x14ac:dyDescent="0.2"/>
    <row r="505" s="1" customFormat="1" ht="14.1" customHeight="1" x14ac:dyDescent="0.2"/>
    <row r="506" s="1" customFormat="1" ht="14.1" customHeight="1" x14ac:dyDescent="0.2"/>
    <row r="507" s="1" customFormat="1" ht="14.1" customHeight="1" x14ac:dyDescent="0.2"/>
    <row r="508" s="1" customFormat="1" ht="14.1" customHeight="1" x14ac:dyDescent="0.2"/>
    <row r="509" s="1" customFormat="1" ht="14.1" customHeight="1" x14ac:dyDescent="0.2"/>
    <row r="510" s="1" customFormat="1" ht="14.1" customHeight="1" x14ac:dyDescent="0.2"/>
    <row r="511" s="1" customFormat="1" ht="14.1" customHeight="1" x14ac:dyDescent="0.2"/>
    <row r="512" s="1" customFormat="1" ht="14.1" customHeight="1" x14ac:dyDescent="0.2"/>
    <row r="513" s="1" customFormat="1" ht="14.1" customHeight="1" x14ac:dyDescent="0.2"/>
    <row r="514" s="1" customFormat="1" ht="14.1" customHeight="1" x14ac:dyDescent="0.2"/>
  </sheetData>
  <mergeCells count="327">
    <mergeCell ref="BM42:BM43"/>
    <mergeCell ref="BM5:BM6"/>
    <mergeCell ref="BI5:BI6"/>
    <mergeCell ref="BI24:BI25"/>
    <mergeCell ref="BJ24:BJ25"/>
    <mergeCell ref="BH42:BH43"/>
    <mergeCell ref="BE42:BE43"/>
    <mergeCell ref="BF42:BF43"/>
    <mergeCell ref="AY42:AY43"/>
    <mergeCell ref="AZ24:AZ25"/>
    <mergeCell ref="AZ42:AZ43"/>
    <mergeCell ref="BC5:BC6"/>
    <mergeCell ref="BC24:BC25"/>
    <mergeCell ref="BC42:BC43"/>
    <mergeCell ref="BI42:BI43"/>
    <mergeCell ref="BH5:BH6"/>
    <mergeCell ref="BL24:BL25"/>
    <mergeCell ref="BL42:BL43"/>
    <mergeCell ref="BL5:BL6"/>
    <mergeCell ref="BF24:BF25"/>
    <mergeCell ref="BD5:BD6"/>
    <mergeCell ref="BH24:BH25"/>
    <mergeCell ref="AX5:AX6"/>
    <mergeCell ref="AY5:AY6"/>
    <mergeCell ref="AY24:AY25"/>
    <mergeCell ref="AZ5:AZ6"/>
    <mergeCell ref="BG42:BG43"/>
    <mergeCell ref="BA42:BA43"/>
    <mergeCell ref="AV5:AV6"/>
    <mergeCell ref="AV24:AV25"/>
    <mergeCell ref="AV42:AV43"/>
    <mergeCell ref="AW5:AW6"/>
    <mergeCell ref="BS24:BS25"/>
    <mergeCell ref="BQ24:BQ25"/>
    <mergeCell ref="BU42:BU43"/>
    <mergeCell ref="AU5:AU6"/>
    <mergeCell ref="AU24:AU25"/>
    <mergeCell ref="AU42:AU43"/>
    <mergeCell ref="AO5:AO6"/>
    <mergeCell ref="BK42:BK43"/>
    <mergeCell ref="BK5:BK6"/>
    <mergeCell ref="BK24:BK25"/>
    <mergeCell ref="BF5:BF6"/>
    <mergeCell ref="BG5:BG6"/>
    <mergeCell ref="BG24:BG25"/>
    <mergeCell ref="BE24:BE25"/>
    <mergeCell ref="BD42:BD43"/>
    <mergeCell ref="BD24:BD25"/>
    <mergeCell ref="AW42:AW43"/>
    <mergeCell ref="AX42:AX43"/>
    <mergeCell ref="AW24:AW25"/>
    <mergeCell ref="AX24:AX25"/>
    <mergeCell ref="BA5:BA6"/>
    <mergeCell ref="BA24:BA25"/>
    <mergeCell ref="AT24:AT25"/>
    <mergeCell ref="AS42:AS43"/>
    <mergeCell ref="CK24:CK25"/>
    <mergeCell ref="CL5:CL6"/>
    <mergeCell ref="CM5:CM6"/>
    <mergeCell ref="CA42:CA43"/>
    <mergeCell ref="BT5:BT6"/>
    <mergeCell ref="BO5:BO6"/>
    <mergeCell ref="BO24:BO25"/>
    <mergeCell ref="BN42:BN43"/>
    <mergeCell ref="BN24:BN25"/>
    <mergeCell ref="BP5:BP6"/>
    <mergeCell ref="BP42:BP43"/>
    <mergeCell ref="BQ42:BQ43"/>
    <mergeCell ref="BS42:BS43"/>
    <mergeCell ref="BP24:BP25"/>
    <mergeCell ref="BQ5:BQ6"/>
    <mergeCell ref="BS5:BS6"/>
    <mergeCell ref="BR24:BR25"/>
    <mergeCell ref="BN5:BN6"/>
    <mergeCell ref="BV42:BV43"/>
    <mergeCell ref="BW42:BW43"/>
    <mergeCell ref="BY42:BY43"/>
    <mergeCell ref="BX42:BX43"/>
    <mergeCell ref="BZ24:BZ25"/>
    <mergeCell ref="BT42:BT43"/>
    <mergeCell ref="CJ5:CJ6"/>
    <mergeCell ref="CC24:CC25"/>
    <mergeCell ref="CE5:CE6"/>
    <mergeCell ref="CE24:CE25"/>
    <mergeCell ref="CD24:CD25"/>
    <mergeCell ref="CI5:CI6"/>
    <mergeCell ref="CG5:CG6"/>
    <mergeCell ref="CI24:CI25"/>
    <mergeCell ref="CH24:CH25"/>
    <mergeCell ref="CF24:CF25"/>
    <mergeCell ref="CZ24:CZ25"/>
    <mergeCell ref="DA24:DA25"/>
    <mergeCell ref="DG24:DG25"/>
    <mergeCell ref="DH24:DH25"/>
    <mergeCell ref="DI24:DI25"/>
    <mergeCell ref="CV24:CV25"/>
    <mergeCell ref="CY5:CY6"/>
    <mergeCell ref="CO24:CO25"/>
    <mergeCell ref="CP24:CP25"/>
    <mergeCell ref="CQ24:CQ25"/>
    <mergeCell ref="CW5:CW6"/>
    <mergeCell ref="CR24:CR25"/>
    <mergeCell ref="CV5:CV6"/>
    <mergeCell ref="CY24:CY25"/>
    <mergeCell ref="CW24:CW25"/>
    <mergeCell ref="CX24:CX25"/>
    <mergeCell ref="CT24:CT25"/>
    <mergeCell ref="CU24:CU25"/>
    <mergeCell ref="CS24:CS25"/>
    <mergeCell ref="CU5:CU6"/>
    <mergeCell ref="CO5:CO6"/>
    <mergeCell ref="CQ5:CQ6"/>
    <mergeCell ref="CS5:CS6"/>
    <mergeCell ref="CR5:CR6"/>
    <mergeCell ref="B42:B43"/>
    <mergeCell ref="C42:C43"/>
    <mergeCell ref="E42:E43"/>
    <mergeCell ref="DO24:DO25"/>
    <mergeCell ref="DN5:DN6"/>
    <mergeCell ref="DK24:DK25"/>
    <mergeCell ref="DI5:DI6"/>
    <mergeCell ref="DJ5:DJ6"/>
    <mergeCell ref="DK5:DK6"/>
    <mergeCell ref="DL24:DL25"/>
    <mergeCell ref="DM24:DM25"/>
    <mergeCell ref="F42:F43"/>
    <mergeCell ref="BY24:BY25"/>
    <mergeCell ref="B24:B25"/>
    <mergeCell ref="C24:C25"/>
    <mergeCell ref="E24:E25"/>
    <mergeCell ref="F24:F25"/>
    <mergeCell ref="BO42:BO43"/>
    <mergeCell ref="BM24:BM25"/>
    <mergeCell ref="CE42:CE43"/>
    <mergeCell ref="CC42:CC43"/>
    <mergeCell ref="DL5:DL6"/>
    <mergeCell ref="DM5:DM6"/>
    <mergeCell ref="DE5:DE6"/>
    <mergeCell ref="DQ42:DQ43"/>
    <mergeCell ref="DJ42:DJ43"/>
    <mergeCell ref="DK42:DK43"/>
    <mergeCell ref="DL42:DL43"/>
    <mergeCell ref="DM42:DM43"/>
    <mergeCell ref="DN42:DN43"/>
    <mergeCell ref="DE42:DE43"/>
    <mergeCell ref="DF42:DF43"/>
    <mergeCell ref="DG42:DG43"/>
    <mergeCell ref="DH42:DH43"/>
    <mergeCell ref="DI42:DI43"/>
    <mergeCell ref="DO42:DO43"/>
    <mergeCell ref="DP42:DP43"/>
    <mergeCell ref="BT24:BT25"/>
    <mergeCell ref="CB24:CB25"/>
    <mergeCell ref="BB24:BB25"/>
    <mergeCell ref="BE5:BE6"/>
    <mergeCell ref="CG42:CG43"/>
    <mergeCell ref="CS42:CS43"/>
    <mergeCell ref="CU42:CU43"/>
    <mergeCell ref="CV42:CV43"/>
    <mergeCell ref="CF42:CF43"/>
    <mergeCell ref="CM42:CM43"/>
    <mergeCell ref="CK42:CK43"/>
    <mergeCell ref="CJ42:CJ43"/>
    <mergeCell ref="CN42:CN43"/>
    <mergeCell ref="CO42:CO43"/>
    <mergeCell ref="CL42:CL43"/>
    <mergeCell ref="CN5:CN6"/>
    <mergeCell ref="CM24:CM25"/>
    <mergeCell ref="CN24:CN25"/>
    <mergeCell ref="CC5:CC6"/>
    <mergeCell ref="CG24:CG25"/>
    <mergeCell ref="CL24:CL25"/>
    <mergeCell ref="CJ24:CJ25"/>
    <mergeCell ref="CK5:CK6"/>
    <mergeCell ref="CB42:CB43"/>
    <mergeCell ref="CW42:CW43"/>
    <mergeCell ref="CR42:CR43"/>
    <mergeCell ref="CQ42:CQ43"/>
    <mergeCell ref="CI42:CI43"/>
    <mergeCell ref="B5:B6"/>
    <mergeCell ref="C5:C6"/>
    <mergeCell ref="E5:E6"/>
    <mergeCell ref="CA5:CA6"/>
    <mergeCell ref="BX5:BX6"/>
    <mergeCell ref="BX24:BX25"/>
    <mergeCell ref="BY5:BY6"/>
    <mergeCell ref="CF5:CF6"/>
    <mergeCell ref="CB5:CB6"/>
    <mergeCell ref="BW5:BW6"/>
    <mergeCell ref="BW24:BW25"/>
    <mergeCell ref="D24:D25"/>
    <mergeCell ref="BU5:BU6"/>
    <mergeCell ref="BV5:BV6"/>
    <mergeCell ref="BU24:BU25"/>
    <mergeCell ref="BV24:BV25"/>
    <mergeCell ref="CA24:CA25"/>
    <mergeCell ref="AN5:AN6"/>
    <mergeCell ref="AN24:AN25"/>
    <mergeCell ref="AJ5:AJ6"/>
    <mergeCell ref="DP24:DP25"/>
    <mergeCell ref="DN24:DN25"/>
    <mergeCell ref="DP5:DP6"/>
    <mergeCell ref="DO5:DO6"/>
    <mergeCell ref="DH5:DH6"/>
    <mergeCell ref="DD42:DD43"/>
    <mergeCell ref="CY42:CY43"/>
    <mergeCell ref="CZ42:CZ43"/>
    <mergeCell ref="DA42:DA43"/>
    <mergeCell ref="DB42:DB43"/>
    <mergeCell ref="DC42:DC43"/>
    <mergeCell ref="DJ24:DJ25"/>
    <mergeCell ref="DG5:DG6"/>
    <mergeCell ref="CZ5:CZ6"/>
    <mergeCell ref="DA5:DA6"/>
    <mergeCell ref="DB5:DB6"/>
    <mergeCell ref="DC5:DC6"/>
    <mergeCell ref="DB24:DB25"/>
    <mergeCell ref="DC24:DC25"/>
    <mergeCell ref="DD24:DD25"/>
    <mergeCell ref="DD5:DD6"/>
    <mergeCell ref="DF5:DF6"/>
    <mergeCell ref="DE24:DE25"/>
    <mergeCell ref="DF24:DF25"/>
    <mergeCell ref="AJ24:AJ25"/>
    <mergeCell ref="AJ42:AJ43"/>
    <mergeCell ref="AP5:AP6"/>
    <mergeCell ref="AO24:AO25"/>
    <mergeCell ref="AP24:AP25"/>
    <mergeCell ref="AO42:AO43"/>
    <mergeCell ref="AP42:AP43"/>
    <mergeCell ref="AS5:AS6"/>
    <mergeCell ref="AS24:AS25"/>
    <mergeCell ref="AN42:AN43"/>
    <mergeCell ref="AK42:AK43"/>
    <mergeCell ref="AR5:AR6"/>
    <mergeCell ref="AR24:AR25"/>
    <mergeCell ref="AR42:AR43"/>
    <mergeCell ref="AQ5:AQ6"/>
    <mergeCell ref="AQ24:AQ25"/>
    <mergeCell ref="AQ42:AQ43"/>
    <mergeCell ref="X5:X6"/>
    <mergeCell ref="X24:X25"/>
    <mergeCell ref="X42:X43"/>
    <mergeCell ref="AM5:AM6"/>
    <mergeCell ref="AM24:AM25"/>
    <mergeCell ref="AM42:AM43"/>
    <mergeCell ref="AC42:AC43"/>
    <mergeCell ref="AG42:AG43"/>
    <mergeCell ref="AH42:AH43"/>
    <mergeCell ref="AE5:AE6"/>
    <mergeCell ref="AE24:AE25"/>
    <mergeCell ref="AE42:AE43"/>
    <mergeCell ref="AF5:AF6"/>
    <mergeCell ref="AF24:AF25"/>
    <mergeCell ref="AF42:AF43"/>
    <mergeCell ref="AG5:AG6"/>
    <mergeCell ref="AH5:AH6"/>
    <mergeCell ref="AI5:AI6"/>
    <mergeCell ref="AK5:AK6"/>
    <mergeCell ref="AK24:AK25"/>
    <mergeCell ref="AL24:AL25"/>
    <mergeCell ref="AH24:AH25"/>
    <mergeCell ref="AI24:AI25"/>
    <mergeCell ref="AI42:AI43"/>
    <mergeCell ref="AG24:AG25"/>
    <mergeCell ref="Y5:Y6"/>
    <mergeCell ref="Z5:Z6"/>
    <mergeCell ref="Y24:Y25"/>
    <mergeCell ref="Z24:Z25"/>
    <mergeCell ref="Y42:Y43"/>
    <mergeCell ref="Z42:Z43"/>
    <mergeCell ref="AB5:AB6"/>
    <mergeCell ref="AB24:AB25"/>
    <mergeCell ref="AB42:AB43"/>
    <mergeCell ref="AA5:AA6"/>
    <mergeCell ref="AA24:AA25"/>
    <mergeCell ref="AA42:AA43"/>
    <mergeCell ref="AC5:AC6"/>
    <mergeCell ref="AC24:AC25"/>
    <mergeCell ref="AD24:AD25"/>
    <mergeCell ref="W5:W6"/>
    <mergeCell ref="W24:W25"/>
    <mergeCell ref="W42:W43"/>
    <mergeCell ref="S5:S6"/>
    <mergeCell ref="S24:S25"/>
    <mergeCell ref="S42:S43"/>
    <mergeCell ref="P5:P6"/>
    <mergeCell ref="P24:P25"/>
    <mergeCell ref="P42:P43"/>
    <mergeCell ref="Q5:Q6"/>
    <mergeCell ref="R5:R6"/>
    <mergeCell ref="Q24:Q25"/>
    <mergeCell ref="R24:R25"/>
    <mergeCell ref="Q42:Q43"/>
    <mergeCell ref="R42:R43"/>
    <mergeCell ref="U5:U6"/>
    <mergeCell ref="U24:U25"/>
    <mergeCell ref="V24:V25"/>
    <mergeCell ref="U42:U43"/>
    <mergeCell ref="O5:O6"/>
    <mergeCell ref="O24:O25"/>
    <mergeCell ref="O42:O43"/>
    <mergeCell ref="T5:T6"/>
    <mergeCell ref="T24:T25"/>
    <mergeCell ref="T42:T43"/>
    <mergeCell ref="M5:M6"/>
    <mergeCell ref="M24:M25"/>
    <mergeCell ref="N24:N25"/>
    <mergeCell ref="M42:M43"/>
    <mergeCell ref="L5:L6"/>
    <mergeCell ref="L24:L25"/>
    <mergeCell ref="L42:L43"/>
    <mergeCell ref="J5:J6"/>
    <mergeCell ref="J24:J25"/>
    <mergeCell ref="J42:J43"/>
    <mergeCell ref="I5:I6"/>
    <mergeCell ref="I24:I25"/>
    <mergeCell ref="I42:I43"/>
    <mergeCell ref="G5:G6"/>
    <mergeCell ref="G24:G25"/>
    <mergeCell ref="G42:G43"/>
    <mergeCell ref="H5:H6"/>
    <mergeCell ref="H24:H25"/>
    <mergeCell ref="H42:H43"/>
    <mergeCell ref="K5:K6"/>
    <mergeCell ref="K24:K25"/>
    <mergeCell ref="K42:K43"/>
  </mergeCells>
  <dataValidations disablePrompts="1" count="1">
    <dataValidation type="list" allowBlank="1" showInputMessage="1" showErrorMessage="1" sqref="V2">
      <formula1>$W$2:$W$3</formula1>
    </dataValidation>
  </dataValidations>
  <hyperlinks>
    <hyperlink ref="B100" r:id="rId1"/>
  </hyperlinks>
  <pageMargins left="0.7" right="0.7" top="0.75" bottom="0.75" header="0.3" footer="0.3"/>
  <pageSetup paperSize="9" scale="72"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Disclaimer</vt:lpstr>
      <vt:lpstr>Main</vt:lpstr>
      <vt:lpstr>RAS DataBook</vt:lpstr>
      <vt:lpstr>E</vt:lpstr>
      <vt:lpstr>R</vt:lpstr>
    </vt:vector>
  </TitlesOfParts>
  <Company>отдел РИИС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Васильев Руслан Юрьевич</dc:creator>
  <cp:lastModifiedBy>Богомолов Ярослав Владимирович</cp:lastModifiedBy>
  <cp:lastPrinted>2018-10-12T08:43:05Z</cp:lastPrinted>
  <dcterms:created xsi:type="dcterms:W3CDTF">2003-09-26T10:29:57Z</dcterms:created>
  <dcterms:modified xsi:type="dcterms:W3CDTF">2026-06-15T09:53:10Z</dcterms:modified>
</cp:coreProperties>
</file>