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ankspb.ru\common\DPFC-SPD-IR\FIN RES_IFRS\2025\9М 2025\3. На сайт\"/>
    </mc:Choice>
  </mc:AlternateContent>
  <bookViews>
    <workbookView xWindow="0" yWindow="6075" windowWidth="7665" windowHeight="2145" tabRatio="794"/>
  </bookViews>
  <sheets>
    <sheet name="Contents" sheetId="1" r:id="rId1"/>
    <sheet name="Key Financials" sheetId="2" r:id="rId2"/>
    <sheet name="Assets and Liabili-s structure" sheetId="3" r:id="rId3"/>
    <sheet name="Loan Portfolio IFRS 9" sheetId="4" r:id="rId4"/>
    <sheet name="Loan Portfolio IAS 39" sheetId="5" r:id="rId5"/>
    <sheet name="Customer Deposits" sheetId="6" r:id="rId6"/>
    <sheet name="Capital" sheetId="7" r:id="rId7"/>
    <sheet name="Income and Expenses structure" sheetId="8" r:id="rId8"/>
  </sheets>
  <definedNames>
    <definedName name="Z_0284F5E2_DB98_486F_B3F7_128FA2A0A465_.wvu.Cols" localSheetId="0" hidden="1">Contents!$N:$P</definedName>
    <definedName name="Z_0284F5E2_DB98_486F_B3F7_128FA2A0A465_.wvu.PrintArea" localSheetId="1" hidden="1">'Key Financials'!$A$1:$U$161</definedName>
    <definedName name="Z_0284F5E2_DB98_486F_B3F7_128FA2A0A465_.wvu.Rows" localSheetId="2" hidden="1">'Assets and Liabili-s structure'!$15:$15,'Assets and Liabili-s structure'!$23:$24,'Assets and Liabili-s structure'!$45:$45</definedName>
    <definedName name="Z_0284F5E2_DB98_486F_B3F7_128FA2A0A465_.wvu.Rows" localSheetId="7" hidden="1">'Income and Expenses structure'!$23:$23,'Income and Expenses structure'!$83:$83,'Income and Expenses structure'!$89:$97</definedName>
    <definedName name="Z_E4AC4991_F371_4BAF_8335_AD017EF379C0_.wvu.Cols" localSheetId="0" hidden="1">Contents!$N:$P</definedName>
    <definedName name="Z_E4AC4991_F371_4BAF_8335_AD017EF379C0_.wvu.PrintArea" localSheetId="1" hidden="1">'Key Financials'!$A$1:$U$161</definedName>
    <definedName name="Z_E4AC4991_F371_4BAF_8335_AD017EF379C0_.wvu.Rows" localSheetId="2" hidden="1">'Assets and Liabili-s structure'!$15:$15,'Assets and Liabili-s structure'!$23:$24,'Assets and Liabili-s structure'!$45:$45</definedName>
    <definedName name="Z_E4AC4991_F371_4BAF_8335_AD017EF379C0_.wvu.Rows" localSheetId="7" hidden="1">'Income and Expenses structure'!$23:$23,'Income and Expenses structure'!$83:$83,'Income and Expenses structure'!$89:$97</definedName>
    <definedName name="_xlnm.Print_Area" localSheetId="1">'Key Financials'!$A$1:$U$161</definedName>
  </definedNames>
  <calcPr calcId="162913"/>
  <customWorkbookViews>
    <customWorkbookView name="Васильев Руслан Юрьевич - Личное представление" guid="{0284F5E2-DB98-486F-B3F7-128FA2A0A465}" mergeInterval="0" personalView="1" windowWidth="840" windowHeight="1010" tabRatio="794" activeSheetId="8"/>
    <customWorkbookView name="Евстропьев-Кудреватый Вадим Валентинович - Личное представление" guid="{E4AC4991-F371-4BAF-8335-AD017EF379C0}" mergeInterval="0" personalView="1" maximized="1" xWindow="54" yWindow="-8" windowWidth="1874" windowHeight="1096" tabRatio="794" activeSheetId="2"/>
  </customWorkbookViews>
</workbook>
</file>

<file path=xl/calcChain.xml><?xml version="1.0" encoding="utf-8"?>
<calcChain xmlns="http://schemas.openxmlformats.org/spreadsheetml/2006/main">
  <c r="F149" i="8" l="1"/>
  <c r="F135" i="8"/>
  <c r="P173" i="8" l="1"/>
  <c r="O173" i="8"/>
  <c r="N173" i="8"/>
  <c r="M173" i="8"/>
  <c r="L173" i="8"/>
  <c r="K173" i="8"/>
  <c r="J173" i="8"/>
  <c r="I173" i="8"/>
  <c r="H173" i="8"/>
  <c r="G173" i="8"/>
  <c r="F173" i="8"/>
  <c r="P172" i="8"/>
  <c r="O172" i="8"/>
  <c r="N172" i="8"/>
  <c r="M172" i="8"/>
  <c r="L172" i="8"/>
  <c r="K172" i="8"/>
  <c r="J172" i="8"/>
  <c r="I172" i="8"/>
  <c r="H172" i="8"/>
  <c r="G172" i="8"/>
  <c r="F172" i="8"/>
  <c r="P171" i="8"/>
  <c r="O171" i="8"/>
  <c r="N171" i="8"/>
  <c r="M171" i="8"/>
  <c r="L171" i="8"/>
  <c r="K171" i="8"/>
  <c r="J171" i="8"/>
  <c r="I171" i="8"/>
  <c r="H171" i="8"/>
  <c r="G171" i="8"/>
  <c r="F171" i="8"/>
  <c r="P164" i="8"/>
  <c r="O164" i="8"/>
  <c r="N164" i="8"/>
  <c r="M164" i="8"/>
  <c r="L164" i="8"/>
  <c r="K164" i="8"/>
  <c r="J164" i="8"/>
  <c r="I164" i="8"/>
  <c r="H164" i="8"/>
  <c r="G164" i="8"/>
  <c r="F164" i="8"/>
  <c r="P163" i="8"/>
  <c r="O163" i="8"/>
  <c r="N163" i="8"/>
  <c r="M163" i="8"/>
  <c r="L163" i="8"/>
  <c r="K163" i="8"/>
  <c r="J163" i="8"/>
  <c r="I163" i="8"/>
  <c r="H163" i="8"/>
  <c r="G163" i="8"/>
  <c r="F163" i="8"/>
  <c r="P162" i="8"/>
  <c r="O162" i="8"/>
  <c r="N162" i="8"/>
  <c r="M162" i="8"/>
  <c r="L162" i="8"/>
  <c r="K162" i="8"/>
  <c r="J162" i="8"/>
  <c r="I162" i="8"/>
  <c r="H162" i="8"/>
  <c r="G162" i="8"/>
  <c r="F162" i="8"/>
  <c r="P170" i="8"/>
  <c r="O170" i="8"/>
  <c r="N170" i="8"/>
  <c r="M170" i="8"/>
  <c r="L170" i="8"/>
  <c r="K170" i="8"/>
  <c r="J170" i="8"/>
  <c r="I170" i="8"/>
  <c r="H170" i="8"/>
  <c r="G170" i="8"/>
  <c r="F170" i="8"/>
  <c r="P161" i="8"/>
  <c r="O161" i="8"/>
  <c r="N161" i="8"/>
  <c r="M161" i="8"/>
  <c r="L161" i="8"/>
  <c r="K161" i="8"/>
  <c r="J161" i="8"/>
  <c r="I161" i="8"/>
  <c r="H161" i="8"/>
  <c r="G161" i="8"/>
  <c r="F161" i="8"/>
  <c r="F147" i="8"/>
  <c r="P153" i="8"/>
  <c r="O153" i="8"/>
  <c r="N153" i="8"/>
  <c r="M153" i="8"/>
  <c r="L153" i="8"/>
  <c r="K153" i="8"/>
  <c r="J153" i="8"/>
  <c r="I153" i="8"/>
  <c r="H153" i="8"/>
  <c r="G153" i="8"/>
  <c r="F153" i="8"/>
  <c r="P151" i="8"/>
  <c r="O151" i="8"/>
  <c r="N151" i="8"/>
  <c r="M151" i="8"/>
  <c r="L151" i="8"/>
  <c r="K151" i="8"/>
  <c r="J151" i="8"/>
  <c r="I151" i="8"/>
  <c r="H151" i="8"/>
  <c r="G151" i="8"/>
  <c r="F151" i="8"/>
  <c r="P150" i="8"/>
  <c r="O150" i="8"/>
  <c r="N150" i="8"/>
  <c r="M150" i="8"/>
  <c r="L150" i="8"/>
  <c r="K150" i="8"/>
  <c r="J150" i="8"/>
  <c r="I150" i="8"/>
  <c r="H150" i="8"/>
  <c r="G150" i="8"/>
  <c r="F150" i="8"/>
  <c r="P149" i="8"/>
  <c r="O149" i="8"/>
  <c r="N149" i="8"/>
  <c r="M149" i="8"/>
  <c r="L149" i="8"/>
  <c r="K149" i="8"/>
  <c r="J149" i="8"/>
  <c r="I149" i="8"/>
  <c r="H149" i="8"/>
  <c r="G149" i="8"/>
  <c r="P147" i="8"/>
  <c r="O147" i="8"/>
  <c r="N147" i="8"/>
  <c r="M147" i="8"/>
  <c r="L147" i="8"/>
  <c r="K147" i="8"/>
  <c r="J147" i="8"/>
  <c r="I147" i="8"/>
  <c r="H147" i="8"/>
  <c r="G147" i="8"/>
  <c r="P146" i="8"/>
  <c r="O146" i="8"/>
  <c r="N146" i="8"/>
  <c r="M146" i="8"/>
  <c r="L146" i="8"/>
  <c r="K146" i="8"/>
  <c r="J146" i="8"/>
  <c r="I146" i="8"/>
  <c r="H146" i="8"/>
  <c r="G146" i="8"/>
  <c r="F146" i="8"/>
  <c r="P145" i="8"/>
  <c r="O145" i="8"/>
  <c r="N145" i="8"/>
  <c r="M145" i="8"/>
  <c r="L145" i="8"/>
  <c r="K145" i="8"/>
  <c r="J145" i="8"/>
  <c r="I145" i="8"/>
  <c r="H145" i="8"/>
  <c r="G145" i="8"/>
  <c r="F145" i="8"/>
  <c r="F133" i="8"/>
  <c r="P139" i="8"/>
  <c r="O139" i="8"/>
  <c r="N139" i="8"/>
  <c r="M139" i="8"/>
  <c r="L139" i="8"/>
  <c r="K139" i="8"/>
  <c r="J139" i="8"/>
  <c r="I139" i="8"/>
  <c r="H139" i="8"/>
  <c r="G139" i="8"/>
  <c r="F139" i="8"/>
  <c r="P137" i="8"/>
  <c r="O137" i="8"/>
  <c r="N137" i="8"/>
  <c r="M137" i="8"/>
  <c r="L137" i="8"/>
  <c r="K137" i="8"/>
  <c r="J137" i="8"/>
  <c r="I137" i="8"/>
  <c r="H137" i="8"/>
  <c r="G137" i="8"/>
  <c r="F137" i="8"/>
  <c r="P136" i="8"/>
  <c r="O136" i="8"/>
  <c r="N136" i="8"/>
  <c r="M136" i="8"/>
  <c r="L136" i="8"/>
  <c r="K136" i="8"/>
  <c r="J136" i="8"/>
  <c r="I136" i="8"/>
  <c r="H136" i="8"/>
  <c r="G136" i="8"/>
  <c r="F136" i="8"/>
  <c r="P135" i="8"/>
  <c r="O135" i="8"/>
  <c r="N135" i="8"/>
  <c r="M135" i="8"/>
  <c r="L135" i="8"/>
  <c r="K135" i="8"/>
  <c r="J135" i="8"/>
  <c r="I135" i="8"/>
  <c r="H135" i="8"/>
  <c r="G135" i="8"/>
  <c r="P133" i="8"/>
  <c r="O133" i="8"/>
  <c r="N133" i="8"/>
  <c r="M133" i="8"/>
  <c r="L133" i="8"/>
  <c r="K133" i="8"/>
  <c r="J133" i="8"/>
  <c r="I133" i="8"/>
  <c r="H133" i="8"/>
  <c r="G133" i="8"/>
  <c r="P132" i="8"/>
  <c r="O132" i="8"/>
  <c r="N132" i="8"/>
  <c r="M132" i="8"/>
  <c r="L132" i="8"/>
  <c r="K132" i="8"/>
  <c r="J132" i="8"/>
  <c r="I132" i="8"/>
  <c r="H132" i="8"/>
  <c r="G132" i="8"/>
  <c r="F132" i="8"/>
  <c r="P131" i="8"/>
  <c r="O131" i="8"/>
  <c r="N131" i="8"/>
  <c r="M131" i="8"/>
  <c r="L131" i="8"/>
  <c r="K131" i="8"/>
  <c r="J131" i="8"/>
  <c r="I131" i="8"/>
  <c r="H131" i="8"/>
  <c r="G131" i="8"/>
  <c r="F131" i="8"/>
  <c r="E280" i="8" l="1"/>
  <c r="C280" i="8"/>
  <c r="E252" i="8"/>
  <c r="E255" i="8" l="1"/>
  <c r="BI64" i="2" l="1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BE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M50" i="2"/>
  <c r="L50" i="2"/>
  <c r="K50" i="2"/>
  <c r="J50" i="2"/>
  <c r="I50" i="2"/>
  <c r="H50" i="2"/>
  <c r="G50" i="2"/>
  <c r="F50" i="2"/>
  <c r="E50" i="2"/>
  <c r="D50" i="2"/>
  <c r="C50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M43" i="2"/>
  <c r="L43" i="2"/>
  <c r="K43" i="2"/>
  <c r="J43" i="2"/>
  <c r="I43" i="2"/>
  <c r="H43" i="2"/>
  <c r="G43" i="2"/>
  <c r="F43" i="2"/>
  <c r="E43" i="2"/>
  <c r="D43" i="2"/>
  <c r="C43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K62" i="2" l="1"/>
  <c r="AI62" i="2"/>
  <c r="AW62" i="2"/>
  <c r="AR62" i="2"/>
  <c r="BH62" i="2"/>
  <c r="AQ62" i="2"/>
  <c r="AY62" i="2"/>
  <c r="BG62" i="2"/>
  <c r="AL62" i="2"/>
  <c r="BB62" i="2"/>
  <c r="AE62" i="2"/>
  <c r="AM62" i="2"/>
  <c r="AU62" i="2"/>
  <c r="BC62" i="2"/>
  <c r="AD62" i="2"/>
  <c r="AH62" i="2"/>
  <c r="BD50" i="2"/>
  <c r="AC62" i="2"/>
  <c r="AG62" i="2"/>
  <c r="AO62" i="2"/>
  <c r="AS62" i="2"/>
  <c r="BA62" i="2"/>
  <c r="BE62" i="2"/>
  <c r="BI62" i="2"/>
  <c r="AF62" i="2"/>
  <c r="AJ62" i="2"/>
  <c r="AN62" i="2"/>
  <c r="AV62" i="2"/>
  <c r="AZ62" i="2"/>
  <c r="BD62" i="2"/>
  <c r="AP62" i="2"/>
  <c r="AT62" i="2"/>
  <c r="AX62" i="2"/>
  <c r="BF62" i="2"/>
  <c r="E169" i="8"/>
  <c r="C169" i="8"/>
  <c r="E160" i="8"/>
  <c r="D59" i="2" l="1"/>
  <c r="H59" i="2"/>
  <c r="L59" i="2"/>
  <c r="T59" i="2"/>
  <c r="X59" i="2"/>
  <c r="E59" i="2"/>
  <c r="I59" i="2"/>
  <c r="M59" i="2"/>
  <c r="U59" i="2"/>
  <c r="Y59" i="2"/>
  <c r="F59" i="2"/>
  <c r="J59" i="2"/>
  <c r="N59" i="2"/>
  <c r="R59" i="2"/>
  <c r="V59" i="2"/>
  <c r="Z59" i="2"/>
  <c r="C59" i="2"/>
  <c r="G59" i="2"/>
  <c r="K59" i="2"/>
  <c r="S59" i="2"/>
  <c r="W59" i="2"/>
  <c r="E237" i="8"/>
  <c r="E245" i="8"/>
  <c r="E250" i="8"/>
  <c r="E240" i="8"/>
  <c r="E249" i="8"/>
  <c r="E254" i="8"/>
  <c r="E236" i="8"/>
  <c r="E239" i="8"/>
  <c r="E243" i="8"/>
  <c r="E248" i="8"/>
  <c r="E238" i="8"/>
  <c r="E242" i="8"/>
  <c r="E251" i="8"/>
  <c r="D71" i="2"/>
  <c r="H71" i="2"/>
  <c r="L71" i="2"/>
  <c r="T71" i="2"/>
  <c r="X71" i="2"/>
  <c r="AB71" i="2"/>
  <c r="AF71" i="2"/>
  <c r="AJ71" i="2"/>
  <c r="AN71" i="2"/>
  <c r="AR71" i="2"/>
  <c r="D72" i="2"/>
  <c r="H72" i="2"/>
  <c r="L72" i="2"/>
  <c r="T72" i="2"/>
  <c r="X72" i="2"/>
  <c r="AB72" i="2"/>
  <c r="AF72" i="2"/>
  <c r="AJ72" i="2"/>
  <c r="AN72" i="2"/>
  <c r="AR72" i="2"/>
  <c r="E71" i="2"/>
  <c r="I71" i="2"/>
  <c r="M71" i="2"/>
  <c r="U71" i="2"/>
  <c r="Y71" i="2"/>
  <c r="AC71" i="2"/>
  <c r="AG71" i="2"/>
  <c r="AK71" i="2"/>
  <c r="AO71" i="2"/>
  <c r="AS71" i="2"/>
  <c r="E72" i="2"/>
  <c r="I72" i="2"/>
  <c r="M72" i="2"/>
  <c r="U72" i="2"/>
  <c r="Y72" i="2"/>
  <c r="AC72" i="2"/>
  <c r="AG72" i="2"/>
  <c r="AK72" i="2"/>
  <c r="AO72" i="2"/>
  <c r="AS72" i="2"/>
  <c r="F71" i="2"/>
  <c r="J71" i="2"/>
  <c r="N71" i="2"/>
  <c r="R71" i="2"/>
  <c r="V71" i="2"/>
  <c r="Z71" i="2"/>
  <c r="AD71" i="2"/>
  <c r="AH71" i="2"/>
  <c r="AL71" i="2"/>
  <c r="AP71" i="2"/>
  <c r="F72" i="2"/>
  <c r="J72" i="2"/>
  <c r="N72" i="2"/>
  <c r="R72" i="2"/>
  <c r="V72" i="2"/>
  <c r="Z72" i="2"/>
  <c r="AD72" i="2"/>
  <c r="AH72" i="2"/>
  <c r="AL72" i="2"/>
  <c r="AP72" i="2"/>
  <c r="C71" i="2"/>
  <c r="G71" i="2"/>
  <c r="K71" i="2"/>
  <c r="S71" i="2"/>
  <c r="W71" i="2"/>
  <c r="AA71" i="2"/>
  <c r="AE71" i="2"/>
  <c r="AI71" i="2"/>
  <c r="AM71" i="2"/>
  <c r="AQ71" i="2"/>
  <c r="C72" i="2"/>
  <c r="G72" i="2"/>
  <c r="K72" i="2"/>
  <c r="S72" i="2"/>
  <c r="W72" i="2"/>
  <c r="AA72" i="2"/>
  <c r="AE72" i="2"/>
  <c r="AI72" i="2"/>
  <c r="AM72" i="2"/>
  <c r="AQ72" i="2"/>
  <c r="C35" i="2" l="1"/>
  <c r="C26" i="2"/>
  <c r="AK28" i="5" l="1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C91" i="5" l="1"/>
  <c r="C80" i="5"/>
  <c r="C72" i="5"/>
  <c r="C61" i="5"/>
  <c r="C59" i="5"/>
  <c r="C58" i="5"/>
  <c r="C20" i="5"/>
  <c r="C18" i="5"/>
  <c r="C17" i="5"/>
  <c r="C15" i="5"/>
  <c r="C13" i="5"/>
  <c r="C12" i="5"/>
  <c r="C11" i="5"/>
  <c r="D91" i="5"/>
  <c r="D80" i="5"/>
  <c r="D72" i="5"/>
  <c r="D61" i="5"/>
  <c r="D59" i="5"/>
  <c r="D58" i="5"/>
  <c r="D20" i="5"/>
  <c r="D18" i="5"/>
  <c r="D17" i="5"/>
  <c r="D15" i="5"/>
  <c r="D13" i="5"/>
  <c r="D12" i="5"/>
  <c r="D11" i="5"/>
  <c r="E21" i="5" l="1"/>
  <c r="E70" i="5"/>
  <c r="E71" i="5"/>
  <c r="E89" i="5"/>
  <c r="E50" i="5" l="1"/>
  <c r="E102" i="5" s="1"/>
  <c r="E73" i="5"/>
  <c r="E90" i="5"/>
  <c r="E106" i="5"/>
  <c r="E92" i="5"/>
  <c r="E110" i="5"/>
  <c r="E105" i="5"/>
  <c r="E109" i="5"/>
  <c r="E107" i="5"/>
  <c r="E104" i="5" l="1"/>
  <c r="E100" i="5"/>
  <c r="E99" i="5"/>
  <c r="E49" i="5"/>
  <c r="E45" i="5"/>
  <c r="E41" i="5"/>
  <c r="E38" i="5"/>
  <c r="E48" i="5"/>
  <c r="E35" i="5"/>
  <c r="E47" i="5"/>
  <c r="E43" i="5"/>
  <c r="E42" i="5"/>
  <c r="E36" i="5"/>
  <c r="E44" i="5"/>
  <c r="E46" i="5"/>
  <c r="E39" i="5"/>
  <c r="E37" i="5"/>
  <c r="E40" i="5"/>
  <c r="F21" i="5" l="1"/>
  <c r="C21" i="5" s="1"/>
  <c r="C28" i="5"/>
  <c r="F70" i="5"/>
  <c r="C70" i="5" s="1"/>
  <c r="F89" i="5"/>
  <c r="C89" i="5" s="1"/>
  <c r="F110" i="5" l="1"/>
  <c r="F90" i="5"/>
  <c r="C90" i="5" s="1"/>
  <c r="F71" i="5"/>
  <c r="C71" i="5" s="1"/>
  <c r="F106" i="5"/>
  <c r="F50" i="5"/>
  <c r="F109" i="5"/>
  <c r="F107" i="5"/>
  <c r="F105" i="5" l="1"/>
  <c r="C105" i="5" s="1"/>
  <c r="C50" i="5"/>
  <c r="F92" i="5"/>
  <c r="C92" i="5" s="1"/>
  <c r="F46" i="5"/>
  <c r="F44" i="5"/>
  <c r="F37" i="5"/>
  <c r="F35" i="5"/>
  <c r="F48" i="5"/>
  <c r="F41" i="5"/>
  <c r="F42" i="5"/>
  <c r="F49" i="5"/>
  <c r="F45" i="5"/>
  <c r="F40" i="5"/>
  <c r="F38" i="5"/>
  <c r="F47" i="5"/>
  <c r="F43" i="5"/>
  <c r="F39" i="5"/>
  <c r="F36" i="5"/>
  <c r="F73" i="5"/>
  <c r="C73" i="5" s="1"/>
  <c r="F104" i="5"/>
  <c r="C104" i="5" s="1"/>
  <c r="F100" i="5"/>
  <c r="C100" i="5" s="1"/>
  <c r="F99" i="5"/>
  <c r="C99" i="5" s="1"/>
  <c r="F102" i="5"/>
  <c r="C102" i="5" s="1"/>
  <c r="G21" i="5" l="1"/>
  <c r="G70" i="5"/>
  <c r="G89" i="5"/>
  <c r="G90" i="5" l="1"/>
  <c r="G50" i="5"/>
  <c r="G110" i="5"/>
  <c r="G109" i="5"/>
  <c r="G71" i="5"/>
  <c r="G102" i="5" l="1"/>
  <c r="G92" i="5"/>
  <c r="G104" i="5"/>
  <c r="G105" i="5"/>
  <c r="G99" i="5"/>
  <c r="G107" i="5"/>
  <c r="G45" i="5"/>
  <c r="G41" i="5"/>
  <c r="G37" i="5"/>
  <c r="G49" i="5"/>
  <c r="G46" i="5"/>
  <c r="G40" i="5"/>
  <c r="G38" i="5"/>
  <c r="G47" i="5"/>
  <c r="G43" i="5"/>
  <c r="G39" i="5"/>
  <c r="G36" i="5"/>
  <c r="G48" i="5"/>
  <c r="G44" i="5"/>
  <c r="G42" i="5"/>
  <c r="G35" i="5"/>
  <c r="G100" i="5"/>
  <c r="G73" i="5"/>
  <c r="G106" i="5"/>
  <c r="H70" i="5"/>
  <c r="H21" i="5" l="1"/>
  <c r="H89" i="5"/>
  <c r="H90" i="5" l="1"/>
  <c r="H50" i="5"/>
  <c r="H109" i="5"/>
  <c r="H71" i="5"/>
  <c r="H110" i="5"/>
  <c r="H92" i="5" l="1"/>
  <c r="H99" i="5"/>
  <c r="H102" i="5"/>
  <c r="H104" i="5"/>
  <c r="H105" i="5"/>
  <c r="H107" i="5"/>
  <c r="H45" i="5"/>
  <c r="H40" i="5"/>
  <c r="H42" i="5"/>
  <c r="H49" i="5"/>
  <c r="H46" i="5"/>
  <c r="H41" i="5"/>
  <c r="H36" i="5"/>
  <c r="H47" i="5"/>
  <c r="H43" i="5"/>
  <c r="H37" i="5"/>
  <c r="H39" i="5"/>
  <c r="H48" i="5"/>
  <c r="H44" i="5"/>
  <c r="H38" i="5"/>
  <c r="H35" i="5"/>
  <c r="H106" i="5"/>
  <c r="H73" i="5"/>
  <c r="H100" i="5"/>
  <c r="I21" i="5" l="1"/>
  <c r="D21" i="5" s="1"/>
  <c r="D28" i="5"/>
  <c r="I70" i="5"/>
  <c r="D70" i="5" s="1"/>
  <c r="I89" i="5"/>
  <c r="D89" i="5" s="1"/>
  <c r="I71" i="5" l="1"/>
  <c r="D71" i="5" s="1"/>
  <c r="I50" i="5"/>
  <c r="I90" i="5"/>
  <c r="D90" i="5" s="1"/>
  <c r="I110" i="5"/>
  <c r="I109" i="5"/>
  <c r="D50" i="5" l="1"/>
  <c r="I73" i="5"/>
  <c r="D73" i="5" s="1"/>
  <c r="I47" i="5"/>
  <c r="I92" i="5"/>
  <c r="D92" i="5" s="1"/>
  <c r="I106" i="5"/>
  <c r="I104" i="5"/>
  <c r="D104" i="5" s="1"/>
  <c r="I49" i="5"/>
  <c r="I46" i="5"/>
  <c r="I42" i="5"/>
  <c r="I38" i="5"/>
  <c r="I37" i="5"/>
  <c r="I43" i="5"/>
  <c r="I41" i="5"/>
  <c r="I36" i="5"/>
  <c r="I48" i="5"/>
  <c r="I45" i="5"/>
  <c r="I40" i="5"/>
  <c r="I39" i="5"/>
  <c r="I44" i="5"/>
  <c r="I35" i="5"/>
  <c r="I107" i="5"/>
  <c r="I105" i="5"/>
  <c r="D105" i="5" s="1"/>
  <c r="I102" i="5"/>
  <c r="D102" i="5" s="1"/>
  <c r="I99" i="5"/>
  <c r="D99" i="5" s="1"/>
  <c r="I100" i="5"/>
  <c r="D100" i="5" s="1"/>
  <c r="J21" i="5" l="1"/>
  <c r="J70" i="5"/>
  <c r="J89" i="5"/>
  <c r="J71" i="5" l="1"/>
  <c r="J90" i="5"/>
  <c r="J92" i="5" s="1"/>
  <c r="J50" i="5"/>
  <c r="J110" i="5"/>
  <c r="J109" i="5"/>
  <c r="J106" i="5" l="1"/>
  <c r="J73" i="5"/>
  <c r="J107" i="5"/>
  <c r="J104" i="5"/>
  <c r="J47" i="5"/>
  <c r="J44" i="5"/>
  <c r="J38" i="5"/>
  <c r="J36" i="5"/>
  <c r="J37" i="5"/>
  <c r="J45" i="5"/>
  <c r="J43" i="5"/>
  <c r="J41" i="5"/>
  <c r="J35" i="5"/>
  <c r="J49" i="5"/>
  <c r="J46" i="5"/>
  <c r="J42" i="5"/>
  <c r="J39" i="5"/>
  <c r="J48" i="5"/>
  <c r="J40" i="5"/>
  <c r="J105" i="5"/>
  <c r="J99" i="5"/>
  <c r="J100" i="5"/>
  <c r="J102" i="5"/>
  <c r="K21" i="5" l="1"/>
  <c r="K70" i="5"/>
  <c r="K89" i="5"/>
  <c r="K90" i="5" l="1"/>
  <c r="K50" i="5"/>
  <c r="K110" i="5"/>
  <c r="K109" i="5"/>
  <c r="K71" i="5"/>
  <c r="K105" i="5" l="1"/>
  <c r="K104" i="5"/>
  <c r="K102" i="5"/>
  <c r="K99" i="5"/>
  <c r="K107" i="5"/>
  <c r="K92" i="5"/>
  <c r="K48" i="5"/>
  <c r="K40" i="5"/>
  <c r="K37" i="5"/>
  <c r="K47" i="5"/>
  <c r="K44" i="5"/>
  <c r="K38" i="5"/>
  <c r="K36" i="5"/>
  <c r="K45" i="5"/>
  <c r="K43" i="5"/>
  <c r="K41" i="5"/>
  <c r="K35" i="5"/>
  <c r="K49" i="5"/>
  <c r="K46" i="5"/>
  <c r="K42" i="5"/>
  <c r="K39" i="5"/>
  <c r="K100" i="5"/>
  <c r="K73" i="5"/>
  <c r="K106" i="5"/>
  <c r="L21" i="5" l="1"/>
  <c r="L70" i="5"/>
  <c r="L89" i="5"/>
  <c r="L90" i="5" l="1"/>
  <c r="L50" i="5"/>
  <c r="L109" i="5"/>
  <c r="L71" i="5"/>
  <c r="L110" i="5"/>
  <c r="L102" i="5" l="1"/>
  <c r="L107" i="5"/>
  <c r="L92" i="5"/>
  <c r="L47" i="5"/>
  <c r="L44" i="5"/>
  <c r="L38" i="5"/>
  <c r="L36" i="5"/>
  <c r="L48" i="5"/>
  <c r="L43" i="5"/>
  <c r="L41" i="5"/>
  <c r="L35" i="5"/>
  <c r="L104" i="5"/>
  <c r="L45" i="5"/>
  <c r="L40" i="5"/>
  <c r="L37" i="5"/>
  <c r="L49" i="5"/>
  <c r="L46" i="5"/>
  <c r="L42" i="5"/>
  <c r="L39" i="5"/>
  <c r="L99" i="5"/>
  <c r="L105" i="5"/>
  <c r="L73" i="5"/>
  <c r="L100" i="5"/>
  <c r="L106" i="5"/>
  <c r="M21" i="5" l="1"/>
  <c r="M70" i="5"/>
  <c r="M89" i="5"/>
  <c r="M71" i="5" l="1"/>
  <c r="M106" i="5" s="1"/>
  <c r="M50" i="5"/>
  <c r="M110" i="5"/>
  <c r="M109" i="5"/>
  <c r="M90" i="5"/>
  <c r="M105" i="5" l="1"/>
  <c r="M104" i="5"/>
  <c r="M102" i="5"/>
  <c r="M100" i="5"/>
  <c r="M73" i="5"/>
  <c r="M107" i="5"/>
  <c r="M43" i="5"/>
  <c r="M49" i="5"/>
  <c r="M45" i="5"/>
  <c r="M42" i="5"/>
  <c r="M37" i="5"/>
  <c r="M46" i="5"/>
  <c r="M38" i="5"/>
  <c r="M36" i="5"/>
  <c r="M44" i="5"/>
  <c r="M41" i="5"/>
  <c r="M35" i="5"/>
  <c r="M48" i="5"/>
  <c r="M40" i="5"/>
  <c r="M39" i="5"/>
  <c r="M47" i="5"/>
  <c r="M99" i="5"/>
  <c r="M92" i="5"/>
  <c r="N21" i="5" l="1"/>
  <c r="N70" i="5"/>
  <c r="N89" i="5"/>
  <c r="N50" i="5" l="1"/>
  <c r="N90" i="5"/>
  <c r="N71" i="5"/>
  <c r="N106" i="5" s="1"/>
  <c r="N109" i="5"/>
  <c r="N110" i="5"/>
  <c r="N46" i="5" l="1"/>
  <c r="N105" i="5"/>
  <c r="N45" i="5"/>
  <c r="N37" i="5"/>
  <c r="N104" i="5"/>
  <c r="N47" i="5"/>
  <c r="N38" i="5"/>
  <c r="N43" i="5"/>
  <c r="N39" i="5"/>
  <c r="N41" i="5"/>
  <c r="N36" i="5"/>
  <c r="N42" i="5"/>
  <c r="N35" i="5"/>
  <c r="N40" i="5"/>
  <c r="N44" i="5"/>
  <c r="N49" i="5"/>
  <c r="N102" i="5"/>
  <c r="N99" i="5"/>
  <c r="N100" i="5"/>
  <c r="N92" i="5"/>
  <c r="N48" i="5"/>
  <c r="N73" i="5"/>
  <c r="N107" i="5"/>
  <c r="O21" i="5" l="1"/>
  <c r="O70" i="5"/>
  <c r="O89" i="5"/>
  <c r="O71" i="5" l="1"/>
  <c r="O73" i="5" s="1"/>
  <c r="O90" i="5"/>
  <c r="O107" i="5" s="1"/>
  <c r="O50" i="5"/>
  <c r="O109" i="5"/>
  <c r="O110" i="5"/>
  <c r="O102" i="5" l="1"/>
  <c r="O106" i="5"/>
  <c r="O105" i="5"/>
  <c r="O104" i="5"/>
  <c r="O100" i="5"/>
  <c r="O92" i="5"/>
  <c r="O45" i="5"/>
  <c r="O40" i="5"/>
  <c r="O39" i="5"/>
  <c r="O48" i="5"/>
  <c r="O44" i="5"/>
  <c r="O38" i="5"/>
  <c r="O36" i="5"/>
  <c r="O47" i="5"/>
  <c r="O43" i="5"/>
  <c r="O41" i="5"/>
  <c r="O35" i="5"/>
  <c r="O49" i="5"/>
  <c r="O46" i="5"/>
  <c r="O42" i="5"/>
  <c r="O37" i="5"/>
  <c r="O99" i="5"/>
  <c r="P21" i="5" l="1"/>
  <c r="P70" i="5"/>
  <c r="P89" i="5"/>
  <c r="P71" i="5" l="1"/>
  <c r="P110" i="5"/>
  <c r="P50" i="5"/>
  <c r="P109" i="5"/>
  <c r="P90" i="5"/>
  <c r="AK48" i="5"/>
  <c r="AJ48" i="5"/>
  <c r="AI48" i="5"/>
  <c r="AH48" i="5"/>
  <c r="AG48" i="5"/>
  <c r="AF48" i="5"/>
  <c r="AE48" i="5"/>
  <c r="AD48" i="5"/>
  <c r="AC48" i="5"/>
  <c r="AB48" i="5"/>
  <c r="Z48" i="5"/>
  <c r="Y48" i="5"/>
  <c r="AK45" i="5"/>
  <c r="AJ45" i="5"/>
  <c r="AI45" i="5"/>
  <c r="AH45" i="5"/>
  <c r="AG45" i="5"/>
  <c r="AF45" i="5"/>
  <c r="AE45" i="5"/>
  <c r="AD45" i="5"/>
  <c r="AC45" i="5"/>
  <c r="AB45" i="5"/>
  <c r="Z45" i="5"/>
  <c r="Y45" i="5"/>
  <c r="AK47" i="5"/>
  <c r="AJ47" i="5"/>
  <c r="AI47" i="5"/>
  <c r="AH47" i="5"/>
  <c r="AG47" i="5"/>
  <c r="AF47" i="5"/>
  <c r="AE47" i="5"/>
  <c r="AD47" i="5"/>
  <c r="AC47" i="5"/>
  <c r="AB47" i="5"/>
  <c r="Z47" i="5"/>
  <c r="Y47" i="5"/>
  <c r="AK46" i="5"/>
  <c r="AJ46" i="5"/>
  <c r="AI46" i="5"/>
  <c r="AH46" i="5"/>
  <c r="AG46" i="5"/>
  <c r="AF46" i="5"/>
  <c r="AE46" i="5"/>
  <c r="AD46" i="5"/>
  <c r="AC46" i="5"/>
  <c r="AB46" i="5"/>
  <c r="Z46" i="5"/>
  <c r="Y46" i="5"/>
  <c r="AK44" i="5"/>
  <c r="AJ44" i="5"/>
  <c r="AI44" i="5"/>
  <c r="AH44" i="5"/>
  <c r="AG44" i="5"/>
  <c r="AF44" i="5"/>
  <c r="AE44" i="5"/>
  <c r="AD44" i="5"/>
  <c r="AC44" i="5"/>
  <c r="AB44" i="5"/>
  <c r="Z44" i="5"/>
  <c r="Y44" i="5"/>
  <c r="AK40" i="5"/>
  <c r="AJ40" i="5"/>
  <c r="AI40" i="5"/>
  <c r="AH40" i="5"/>
  <c r="AG40" i="5"/>
  <c r="AF40" i="5"/>
  <c r="AE40" i="5"/>
  <c r="AD40" i="5"/>
  <c r="AC40" i="5"/>
  <c r="AB40" i="5"/>
  <c r="Z40" i="5"/>
  <c r="Y40" i="5"/>
  <c r="AK43" i="5"/>
  <c r="AJ43" i="5"/>
  <c r="AI43" i="5"/>
  <c r="AH43" i="5"/>
  <c r="AG43" i="5"/>
  <c r="AF43" i="5"/>
  <c r="AE43" i="5"/>
  <c r="AD43" i="5"/>
  <c r="AC43" i="5"/>
  <c r="AB43" i="5"/>
  <c r="Z43" i="5"/>
  <c r="Y43" i="5"/>
  <c r="AK42" i="5"/>
  <c r="AJ42" i="5"/>
  <c r="AI42" i="5"/>
  <c r="AH42" i="5"/>
  <c r="AG42" i="5"/>
  <c r="AF42" i="5"/>
  <c r="AE42" i="5"/>
  <c r="AD42" i="5"/>
  <c r="AC42" i="5"/>
  <c r="AB42" i="5"/>
  <c r="Z42" i="5"/>
  <c r="Y42" i="5"/>
  <c r="AK38" i="5"/>
  <c r="AJ38" i="5"/>
  <c r="AI38" i="5"/>
  <c r="AH38" i="5"/>
  <c r="AG38" i="5"/>
  <c r="AF38" i="5"/>
  <c r="AE38" i="5"/>
  <c r="AD38" i="5"/>
  <c r="AC38" i="5"/>
  <c r="AB38" i="5"/>
  <c r="Z38" i="5"/>
  <c r="Y38" i="5"/>
  <c r="AK39" i="5"/>
  <c r="AJ39" i="5"/>
  <c r="AI39" i="5"/>
  <c r="AH39" i="5"/>
  <c r="AG39" i="5"/>
  <c r="AF39" i="5"/>
  <c r="AE39" i="5"/>
  <c r="AD39" i="5"/>
  <c r="AC39" i="5"/>
  <c r="AB39" i="5"/>
  <c r="Z39" i="5"/>
  <c r="Y39" i="5"/>
  <c r="AK41" i="5"/>
  <c r="AJ41" i="5"/>
  <c r="AI41" i="5"/>
  <c r="AH41" i="5"/>
  <c r="AG41" i="5"/>
  <c r="AF41" i="5"/>
  <c r="AE41" i="5"/>
  <c r="AD41" i="5"/>
  <c r="AC41" i="5"/>
  <c r="AB41" i="5"/>
  <c r="Z41" i="5"/>
  <c r="Y41" i="5"/>
  <c r="AK37" i="5"/>
  <c r="AJ37" i="5"/>
  <c r="AI37" i="5"/>
  <c r="AH37" i="5"/>
  <c r="AG37" i="5"/>
  <c r="AF37" i="5"/>
  <c r="AE37" i="5"/>
  <c r="AD37" i="5"/>
  <c r="AC37" i="5"/>
  <c r="AB37" i="5"/>
  <c r="Z37" i="5"/>
  <c r="Y37" i="5"/>
  <c r="AK36" i="5"/>
  <c r="AJ36" i="5"/>
  <c r="AI36" i="5"/>
  <c r="AH36" i="5"/>
  <c r="AG36" i="5"/>
  <c r="AF36" i="5"/>
  <c r="AE36" i="5"/>
  <c r="AD36" i="5"/>
  <c r="AC36" i="5"/>
  <c r="AB36" i="5"/>
  <c r="Z36" i="5"/>
  <c r="Y36" i="5"/>
  <c r="AK35" i="5"/>
  <c r="AJ35" i="5"/>
  <c r="AI35" i="5"/>
  <c r="AH35" i="5"/>
  <c r="AG35" i="5"/>
  <c r="AF35" i="5"/>
  <c r="AE35" i="5"/>
  <c r="AD35" i="5"/>
  <c r="AC35" i="5"/>
  <c r="AB35" i="5"/>
  <c r="Z35" i="5"/>
  <c r="Y35" i="5"/>
  <c r="P106" i="5" l="1"/>
  <c r="P49" i="5"/>
  <c r="P46" i="5"/>
  <c r="P42" i="5"/>
  <c r="P37" i="5"/>
  <c r="P48" i="5"/>
  <c r="P44" i="5"/>
  <c r="P38" i="5"/>
  <c r="P36" i="5"/>
  <c r="P45" i="5"/>
  <c r="P40" i="5"/>
  <c r="P39" i="5"/>
  <c r="P35" i="5"/>
  <c r="P47" i="5"/>
  <c r="P43" i="5"/>
  <c r="P41" i="5"/>
  <c r="P73" i="5"/>
  <c r="P102" i="5"/>
  <c r="P104" i="5"/>
  <c r="P105" i="5"/>
  <c r="P100" i="5"/>
  <c r="P99" i="5"/>
  <c r="P92" i="5"/>
  <c r="P107" i="5"/>
  <c r="Q89" i="5" l="1"/>
  <c r="Q70" i="5"/>
  <c r="Q21" i="5"/>
  <c r="Q50" i="5" l="1"/>
  <c r="Q110" i="5"/>
  <c r="Q109" i="5"/>
  <c r="Q90" i="5"/>
  <c r="Q71" i="5"/>
  <c r="Q104" i="5" l="1"/>
  <c r="Q39" i="5"/>
  <c r="Q49" i="5"/>
  <c r="Q38" i="5"/>
  <c r="Q40" i="5"/>
  <c r="Q106" i="5"/>
  <c r="Q102" i="5"/>
  <c r="Q36" i="5"/>
  <c r="Q37" i="5"/>
  <c r="Q44" i="5"/>
  <c r="Q41" i="5"/>
  <c r="Q47" i="5"/>
  <c r="Q42" i="5"/>
  <c r="Q35" i="5"/>
  <c r="Q46" i="5"/>
  <c r="Q48" i="5"/>
  <c r="Q43" i="5"/>
  <c r="Q45" i="5"/>
  <c r="Q105" i="5"/>
  <c r="Q92" i="5"/>
  <c r="Q99" i="5"/>
  <c r="Q107" i="5"/>
  <c r="Q73" i="5"/>
  <c r="Q100" i="5"/>
  <c r="S70" i="5" l="1"/>
  <c r="R70" i="5"/>
  <c r="R89" i="5" l="1"/>
  <c r="R71" i="5"/>
  <c r="R21" i="5"/>
  <c r="R106" i="5" l="1"/>
  <c r="R73" i="5"/>
  <c r="R50" i="5"/>
  <c r="R109" i="5"/>
  <c r="R110" i="5"/>
  <c r="R90" i="5"/>
  <c r="R100" i="5" l="1"/>
  <c r="R35" i="5"/>
  <c r="R48" i="5"/>
  <c r="R45" i="5"/>
  <c r="R47" i="5"/>
  <c r="R46" i="5"/>
  <c r="R44" i="5"/>
  <c r="R40" i="5"/>
  <c r="R43" i="5"/>
  <c r="R42" i="5"/>
  <c r="R38" i="5"/>
  <c r="R39" i="5"/>
  <c r="R41" i="5"/>
  <c r="R37" i="5"/>
  <c r="R36" i="5"/>
  <c r="R105" i="5"/>
  <c r="R104" i="5"/>
  <c r="R102" i="5"/>
  <c r="R107" i="5"/>
  <c r="R49" i="5"/>
  <c r="R99" i="5"/>
  <c r="R92" i="5"/>
  <c r="S21" i="5" l="1"/>
  <c r="S89" i="5"/>
  <c r="S50" i="5" l="1"/>
  <c r="S90" i="5"/>
  <c r="S109" i="5"/>
  <c r="S71" i="5"/>
  <c r="S110" i="5"/>
  <c r="S104" i="5" l="1"/>
  <c r="S48" i="5"/>
  <c r="S45" i="5"/>
  <c r="S47" i="5"/>
  <c r="S46" i="5"/>
  <c r="S44" i="5"/>
  <c r="S40" i="5"/>
  <c r="S43" i="5"/>
  <c r="S42" i="5"/>
  <c r="S38" i="5"/>
  <c r="S39" i="5"/>
  <c r="S41" i="5"/>
  <c r="S37" i="5"/>
  <c r="S36" i="5"/>
  <c r="S35" i="5"/>
  <c r="S105" i="5"/>
  <c r="S106" i="5"/>
  <c r="S49" i="5"/>
  <c r="S102" i="5"/>
  <c r="S107" i="5"/>
  <c r="S92" i="5"/>
  <c r="S99" i="5"/>
  <c r="S73" i="5"/>
  <c r="S100" i="5"/>
  <c r="T70" i="5" l="1"/>
  <c r="T21" i="5" l="1"/>
  <c r="T71" i="5"/>
  <c r="T89" i="5"/>
  <c r="T90" i="5" l="1"/>
  <c r="T50" i="5"/>
  <c r="T73" i="5"/>
  <c r="T106" i="5"/>
  <c r="T110" i="5"/>
  <c r="T109" i="5"/>
  <c r="T107" i="5" l="1"/>
  <c r="T104" i="5"/>
  <c r="T45" i="5"/>
  <c r="T47" i="5"/>
  <c r="T44" i="5"/>
  <c r="T43" i="5"/>
  <c r="T42" i="5"/>
  <c r="T38" i="5"/>
  <c r="T37" i="5"/>
  <c r="T35" i="5"/>
  <c r="T48" i="5"/>
  <c r="T46" i="5"/>
  <c r="T40" i="5"/>
  <c r="T39" i="5"/>
  <c r="T41" i="5"/>
  <c r="T36" i="5"/>
  <c r="T92" i="5"/>
  <c r="T100" i="5"/>
  <c r="T105" i="5"/>
  <c r="T99" i="5"/>
  <c r="T49" i="5"/>
  <c r="T102" i="5"/>
  <c r="U70" i="5" l="1"/>
  <c r="U89" i="5"/>
  <c r="U21" i="5"/>
  <c r="U71" i="5" l="1"/>
  <c r="U50" i="5"/>
  <c r="U109" i="5"/>
  <c r="U110" i="5"/>
  <c r="U90" i="5"/>
  <c r="U45" i="5" l="1"/>
  <c r="U47" i="5"/>
  <c r="U46" i="5"/>
  <c r="U44" i="5"/>
  <c r="U40" i="5"/>
  <c r="U38" i="5"/>
  <c r="U39" i="5"/>
  <c r="U41" i="5"/>
  <c r="U36" i="5"/>
  <c r="U48" i="5"/>
  <c r="U43" i="5"/>
  <c r="U42" i="5"/>
  <c r="U37" i="5"/>
  <c r="U35" i="5"/>
  <c r="U106" i="5"/>
  <c r="U49" i="5"/>
  <c r="U73" i="5"/>
  <c r="U102" i="5"/>
  <c r="U104" i="5"/>
  <c r="U100" i="5"/>
  <c r="U105" i="5"/>
  <c r="U92" i="5"/>
  <c r="U107" i="5"/>
  <c r="U99" i="5"/>
  <c r="V70" i="5" l="1"/>
  <c r="V89" i="5"/>
  <c r="V21" i="5"/>
  <c r="V50" i="5" l="1"/>
  <c r="V71" i="5"/>
  <c r="V90" i="5"/>
  <c r="V109" i="5"/>
  <c r="V110" i="5"/>
  <c r="V48" i="5" l="1"/>
  <c r="V45" i="5"/>
  <c r="V47" i="5"/>
  <c r="V46" i="5"/>
  <c r="V44" i="5"/>
  <c r="V40" i="5"/>
  <c r="V43" i="5"/>
  <c r="V42" i="5"/>
  <c r="V38" i="5"/>
  <c r="V39" i="5"/>
  <c r="V41" i="5"/>
  <c r="V37" i="5"/>
  <c r="V36" i="5"/>
  <c r="V35" i="5"/>
  <c r="V49" i="5"/>
  <c r="V92" i="5"/>
  <c r="V73" i="5"/>
  <c r="V106" i="5"/>
  <c r="V107" i="5"/>
  <c r="V102" i="5"/>
  <c r="V104" i="5"/>
  <c r="V99" i="5"/>
  <c r="V105" i="5"/>
  <c r="V100" i="5"/>
  <c r="W89" i="5" l="1"/>
  <c r="W70" i="5"/>
  <c r="W21" i="5"/>
  <c r="W90" i="5" l="1"/>
  <c r="W109" i="5"/>
  <c r="W71" i="5"/>
  <c r="W110" i="5"/>
  <c r="W50" i="5"/>
  <c r="W48" i="5" l="1"/>
  <c r="W45" i="5"/>
  <c r="W47" i="5"/>
  <c r="W46" i="5"/>
  <c r="W44" i="5"/>
  <c r="W40" i="5"/>
  <c r="W43" i="5"/>
  <c r="W42" i="5"/>
  <c r="W38" i="5"/>
  <c r="W39" i="5"/>
  <c r="W41" i="5"/>
  <c r="W37" i="5"/>
  <c r="W36" i="5"/>
  <c r="W35" i="5"/>
  <c r="W49" i="5"/>
  <c r="W106" i="5"/>
  <c r="W92" i="5"/>
  <c r="W102" i="5"/>
  <c r="W107" i="5"/>
  <c r="W73" i="5"/>
  <c r="W100" i="5"/>
  <c r="W105" i="5"/>
  <c r="W99" i="5"/>
  <c r="W104" i="5"/>
  <c r="X70" i="5" l="1"/>
  <c r="X71" i="5" l="1"/>
  <c r="X21" i="5" l="1"/>
  <c r="X89" i="5"/>
  <c r="X109" i="5" l="1"/>
  <c r="X110" i="5"/>
  <c r="X50" i="5"/>
  <c r="X90" i="5"/>
  <c r="X73" i="5"/>
  <c r="X48" i="5" l="1"/>
  <c r="X47" i="5"/>
  <c r="X46" i="5"/>
  <c r="X44" i="5"/>
  <c r="X40" i="5"/>
  <c r="X42" i="5"/>
  <c r="X38" i="5"/>
  <c r="X39" i="5"/>
  <c r="X41" i="5"/>
  <c r="X36" i="5"/>
  <c r="X35" i="5"/>
  <c r="X45" i="5"/>
  <c r="X43" i="5"/>
  <c r="X37" i="5"/>
  <c r="X104" i="5"/>
  <c r="X49" i="5"/>
  <c r="X105" i="5"/>
  <c r="X102" i="5"/>
  <c r="X99" i="5"/>
  <c r="X107" i="5"/>
  <c r="X92" i="5"/>
  <c r="X106" i="5"/>
  <c r="X100" i="5"/>
  <c r="Y49" i="5" l="1"/>
  <c r="Y102" i="5"/>
  <c r="Y104" i="5"/>
  <c r="Y89" i="5"/>
  <c r="Y70" i="5"/>
  <c r="Y21" i="5"/>
  <c r="Y71" i="5" l="1"/>
  <c r="Y100" i="5" s="1"/>
  <c r="Y90" i="5"/>
  <c r="Y105" i="5"/>
  <c r="Y110" i="5"/>
  <c r="Y109" i="5"/>
  <c r="Y106" i="5" l="1"/>
  <c r="Y92" i="5"/>
  <c r="Y99" i="5"/>
  <c r="Y107" i="5"/>
  <c r="Y73" i="5"/>
  <c r="Z104" i="5" l="1"/>
  <c r="Z49" i="5" l="1"/>
  <c r="Z102" i="5" l="1"/>
  <c r="Z70" i="5"/>
  <c r="AG21" i="5" l="1"/>
  <c r="AH21" i="5"/>
  <c r="AI21" i="5"/>
  <c r="AJ21" i="5"/>
  <c r="AK21" i="5"/>
  <c r="AB21" i="5"/>
  <c r="AC21" i="5"/>
  <c r="AD21" i="5"/>
  <c r="AE21" i="5"/>
  <c r="AF21" i="5"/>
  <c r="Z21" i="5"/>
  <c r="AA21" i="5"/>
  <c r="AF70" i="5"/>
  <c r="AF71" i="5" s="1"/>
  <c r="AF73" i="5" s="1"/>
  <c r="AG70" i="5"/>
  <c r="AG71" i="5" s="1"/>
  <c r="AG73" i="5" s="1"/>
  <c r="AH70" i="5"/>
  <c r="AH71" i="5" s="1"/>
  <c r="AH73" i="5" s="1"/>
  <c r="AI70" i="5"/>
  <c r="AI71" i="5" s="1"/>
  <c r="AI73" i="5" s="1"/>
  <c r="AJ70" i="5"/>
  <c r="AJ71" i="5" s="1"/>
  <c r="AJ73" i="5" s="1"/>
  <c r="AK70" i="5"/>
  <c r="AK71" i="5" s="1"/>
  <c r="AK73" i="5" s="1"/>
  <c r="AK89" i="5"/>
  <c r="AK90" i="5" s="1"/>
  <c r="AF89" i="5"/>
  <c r="AF90" i="5" s="1"/>
  <c r="AG89" i="5"/>
  <c r="AG90" i="5" s="1"/>
  <c r="AG99" i="5" s="1"/>
  <c r="AH89" i="5"/>
  <c r="AH90" i="5" s="1"/>
  <c r="AI89" i="5"/>
  <c r="AI90" i="5" s="1"/>
  <c r="AI99" i="5" s="1"/>
  <c r="AJ89" i="5"/>
  <c r="AJ90" i="5" s="1"/>
  <c r="AB70" i="5"/>
  <c r="AC70" i="5"/>
  <c r="AD70" i="5"/>
  <c r="AD71" i="5" s="1"/>
  <c r="AD100" i="5" s="1"/>
  <c r="AE70" i="5"/>
  <c r="AE71" i="5" s="1"/>
  <c r="AB89" i="5"/>
  <c r="AC89" i="5"/>
  <c r="AD89" i="5"/>
  <c r="AD90" i="5" s="1"/>
  <c r="AD99" i="5" s="1"/>
  <c r="AE89" i="5"/>
  <c r="AE90" i="5" s="1"/>
  <c r="AA70" i="5"/>
  <c r="AA71" i="5" s="1"/>
  <c r="AA73" i="5" s="1"/>
  <c r="AA89" i="5"/>
  <c r="AA90" i="5" s="1"/>
  <c r="AK102" i="5"/>
  <c r="AK104" i="5"/>
  <c r="AK100" i="5"/>
  <c r="AF102" i="5"/>
  <c r="AG102" i="5"/>
  <c r="AH102" i="5"/>
  <c r="AI102" i="5"/>
  <c r="AJ102" i="5"/>
  <c r="AB102" i="5"/>
  <c r="AC102" i="5"/>
  <c r="AD102" i="5"/>
  <c r="AE102" i="5"/>
  <c r="AF104" i="5"/>
  <c r="AG104" i="5"/>
  <c r="AH104" i="5"/>
  <c r="AI104" i="5"/>
  <c r="AJ104" i="5"/>
  <c r="AE104" i="5"/>
  <c r="AB104" i="5"/>
  <c r="AC104" i="5"/>
  <c r="AD104" i="5"/>
  <c r="AA50" i="5"/>
  <c r="Z71" i="5"/>
  <c r="AJ49" i="5"/>
  <c r="AI49" i="5"/>
  <c r="AK49" i="5"/>
  <c r="AH49" i="5"/>
  <c r="AF49" i="5"/>
  <c r="AG49" i="5"/>
  <c r="AE49" i="5"/>
  <c r="AD49" i="5"/>
  <c r="AB49" i="5"/>
  <c r="Z89" i="5"/>
  <c r="AC49" i="5"/>
  <c r="AA104" i="5" l="1"/>
  <c r="AA48" i="5"/>
  <c r="AA45" i="5"/>
  <c r="AA47" i="5"/>
  <c r="AA46" i="5"/>
  <c r="AA44" i="5"/>
  <c r="AA40" i="5"/>
  <c r="AA43" i="5"/>
  <c r="AA42" i="5"/>
  <c r="AA38" i="5"/>
  <c r="AA39" i="5"/>
  <c r="AA41" i="5"/>
  <c r="AA37" i="5"/>
  <c r="AA36" i="5"/>
  <c r="AA35" i="5"/>
  <c r="AD109" i="5"/>
  <c r="AD110" i="5"/>
  <c r="AB90" i="5"/>
  <c r="AB107" i="5" s="1"/>
  <c r="AB71" i="5"/>
  <c r="AB106" i="5" s="1"/>
  <c r="Z73" i="5"/>
  <c r="AC90" i="5"/>
  <c r="AC99" i="5" s="1"/>
  <c r="AC71" i="5"/>
  <c r="AC73" i="5" s="1"/>
  <c r="AG100" i="5"/>
  <c r="AI100" i="5"/>
  <c r="AH106" i="5"/>
  <c r="AF109" i="5"/>
  <c r="AB105" i="5"/>
  <c r="AA102" i="5"/>
  <c r="AJ100" i="5"/>
  <c r="AH100" i="5"/>
  <c r="AF100" i="5"/>
  <c r="AD105" i="5"/>
  <c r="AG105" i="5"/>
  <c r="AA110" i="5"/>
  <c r="AB109" i="5"/>
  <c r="AB110" i="5"/>
  <c r="AJ109" i="5"/>
  <c r="AG110" i="5"/>
  <c r="AA49" i="5"/>
  <c r="AA100" i="5"/>
  <c r="AA106" i="5"/>
  <c r="AE105" i="5"/>
  <c r="AC105" i="5"/>
  <c r="AE106" i="5"/>
  <c r="AE107" i="5"/>
  <c r="AI105" i="5"/>
  <c r="AJ106" i="5"/>
  <c r="AF106" i="5"/>
  <c r="AE109" i="5"/>
  <c r="AC109" i="5"/>
  <c r="AE110" i="5"/>
  <c r="AC110" i="5"/>
  <c r="AH109" i="5"/>
  <c r="AI110" i="5"/>
  <c r="AK105" i="5"/>
  <c r="AK110" i="5"/>
  <c r="AJ105" i="5"/>
  <c r="AH105" i="5"/>
  <c r="AF105" i="5"/>
  <c r="AI106" i="5"/>
  <c r="AG106" i="5"/>
  <c r="AA109" i="5"/>
  <c r="AI109" i="5"/>
  <c r="AG109" i="5"/>
  <c r="AJ110" i="5"/>
  <c r="AH110" i="5"/>
  <c r="AF110" i="5"/>
  <c r="AK106" i="5"/>
  <c r="AK109" i="5"/>
  <c r="Z90" i="5"/>
  <c r="Z109" i="5"/>
  <c r="Z105" i="5"/>
  <c r="Z110" i="5"/>
  <c r="AA105" i="5"/>
  <c r="Z100" i="5"/>
  <c r="Z106" i="5"/>
  <c r="AE99" i="5"/>
  <c r="AE92" i="5"/>
  <c r="AE100" i="5"/>
  <c r="AE73" i="5"/>
  <c r="AI92" i="5"/>
  <c r="AI107" i="5"/>
  <c r="AG92" i="5"/>
  <c r="AG107" i="5"/>
  <c r="AK92" i="5"/>
  <c r="AK99" i="5"/>
  <c r="AK107" i="5"/>
  <c r="AA107" i="5"/>
  <c r="AA99" i="5"/>
  <c r="AA92" i="5"/>
  <c r="AD107" i="5"/>
  <c r="AD92" i="5"/>
  <c r="AD106" i="5"/>
  <c r="AD73" i="5"/>
  <c r="AJ92" i="5"/>
  <c r="AJ107" i="5"/>
  <c r="AJ99" i="5"/>
  <c r="AH92" i="5"/>
  <c r="AH107" i="5"/>
  <c r="AH99" i="5"/>
  <c r="AF92" i="5"/>
  <c r="AF107" i="5"/>
  <c r="AF99" i="5"/>
  <c r="AB73" i="5" l="1"/>
  <c r="AB92" i="5"/>
  <c r="AC100" i="5"/>
  <c r="AC107" i="5"/>
  <c r="AC92" i="5"/>
  <c r="AB99" i="5"/>
  <c r="AB100" i="5"/>
  <c r="Z92" i="5"/>
  <c r="AC106" i="5"/>
  <c r="Z99" i="5"/>
  <c r="Z107" i="5"/>
  <c r="BF50" i="2" l="1"/>
  <c r="BG50" i="2" l="1"/>
  <c r="BH50" i="2" l="1"/>
  <c r="C24" i="2" l="1"/>
  <c r="C25" i="2" l="1"/>
  <c r="C44" i="2" l="1"/>
  <c r="C10" i="2" l="1"/>
  <c r="C27" i="2" l="1"/>
  <c r="C14" i="2" l="1"/>
  <c r="C15" i="2"/>
  <c r="C16" i="2" l="1"/>
  <c r="AA59" i="2" l="1"/>
  <c r="C273" i="8" l="1"/>
  <c r="C276" i="8"/>
  <c r="C277" i="8"/>
  <c r="C278" i="8"/>
  <c r="C279" i="8"/>
  <c r="C264" i="8"/>
  <c r="C265" i="8"/>
  <c r="C266" i="8"/>
  <c r="C267" i="8"/>
  <c r="C268" i="8"/>
  <c r="C270" i="8"/>
  <c r="C271" i="8"/>
  <c r="C151" i="8" l="1"/>
  <c r="C150" i="8"/>
  <c r="C274" i="8"/>
  <c r="C284" i="8"/>
  <c r="D25" i="2"/>
  <c r="D26" i="2"/>
  <c r="D24" i="2"/>
  <c r="C146" i="8" l="1"/>
  <c r="D35" i="2"/>
  <c r="C285" i="8"/>
  <c r="C34" i="2"/>
  <c r="D44" i="2"/>
  <c r="C33" i="2" l="1"/>
  <c r="C51" i="2"/>
  <c r="D27" i="2" l="1"/>
  <c r="D61" i="2"/>
  <c r="D11" i="2"/>
  <c r="D62" i="2" l="1"/>
  <c r="D15" i="2"/>
  <c r="D14" i="2"/>
  <c r="D10" i="2"/>
  <c r="C36" i="2" l="1"/>
  <c r="C12" i="2"/>
  <c r="D16" i="2"/>
  <c r="C147" i="8" l="1"/>
  <c r="E26" i="2"/>
  <c r="E35" i="2" l="1"/>
  <c r="E25" i="2" l="1"/>
  <c r="E24" i="2"/>
  <c r="D33" i="2" l="1"/>
  <c r="C149" i="8"/>
  <c r="D34" i="2"/>
  <c r="C145" i="8"/>
  <c r="E34" i="2"/>
  <c r="E33" i="2"/>
  <c r="E44" i="2"/>
  <c r="D51" i="2" l="1"/>
  <c r="C170" i="8"/>
  <c r="E51" i="2"/>
  <c r="E27" i="2" l="1"/>
  <c r="E11" i="2"/>
  <c r="E61" i="2"/>
  <c r="E36" i="2" l="1"/>
  <c r="D36" i="2"/>
  <c r="C153" i="8"/>
  <c r="E62" i="2"/>
  <c r="E15" i="2"/>
  <c r="E14" i="2"/>
  <c r="D12" i="2"/>
  <c r="E10" i="2" l="1"/>
  <c r="C52" i="2"/>
  <c r="E16" i="2" l="1"/>
  <c r="F26" i="2" l="1"/>
  <c r="F11" i="2"/>
  <c r="F61" i="2"/>
  <c r="F24" i="2" l="1"/>
  <c r="F35" i="2"/>
  <c r="F25" i="2"/>
  <c r="F62" i="2"/>
  <c r="F15" i="2"/>
  <c r="F14" i="2"/>
  <c r="E12" i="2"/>
  <c r="C171" i="8"/>
  <c r="F44" i="2" l="1"/>
  <c r="D45" i="2"/>
  <c r="D52" i="2"/>
  <c r="C172" i="8"/>
  <c r="F16" i="2"/>
  <c r="F10" i="2"/>
  <c r="C45" i="2" l="1"/>
  <c r="E265" i="8" l="1"/>
  <c r="E266" i="8"/>
  <c r="E267" i="8"/>
  <c r="E268" i="8"/>
  <c r="E270" i="8"/>
  <c r="E271" i="8"/>
  <c r="F27" i="2"/>
  <c r="E273" i="8"/>
  <c r="E136" i="8"/>
  <c r="E276" i="8"/>
  <c r="E277" i="8"/>
  <c r="E278" i="8"/>
  <c r="E132" i="8"/>
  <c r="G26" i="2"/>
  <c r="E279" i="8"/>
  <c r="E137" i="8"/>
  <c r="E246" i="8"/>
  <c r="E133" i="8"/>
  <c r="E256" i="8"/>
  <c r="E264" i="8"/>
  <c r="G11" i="2"/>
  <c r="G61" i="2"/>
  <c r="E147" i="8" l="1"/>
  <c r="G35" i="2"/>
  <c r="E146" i="8"/>
  <c r="E150" i="8"/>
  <c r="G24" i="2"/>
  <c r="E135" i="8"/>
  <c r="G25" i="2"/>
  <c r="E131" i="8"/>
  <c r="E274" i="8"/>
  <c r="E284" i="8"/>
  <c r="E257" i="8"/>
  <c r="G62" i="2"/>
  <c r="F12" i="2"/>
  <c r="G14" i="2"/>
  <c r="G10" i="2"/>
  <c r="G44" i="2" l="1"/>
  <c r="E161" i="8"/>
  <c r="E285" i="8"/>
  <c r="F33" i="2"/>
  <c r="F34" i="2"/>
  <c r="G15" i="2"/>
  <c r="F51" i="2" l="1"/>
  <c r="G16" i="2"/>
  <c r="G27" i="2" l="1"/>
  <c r="E139" i="8"/>
  <c r="F36" i="2" l="1"/>
  <c r="E52" i="2" l="1"/>
  <c r="E151" i="8" l="1"/>
  <c r="H35" i="2" l="1"/>
  <c r="H26" i="2"/>
  <c r="H61" i="2"/>
  <c r="H11" i="2"/>
  <c r="H25" i="2" l="1"/>
  <c r="H24" i="2"/>
  <c r="H62" i="2"/>
  <c r="G12" i="2"/>
  <c r="H10" i="2" l="1"/>
  <c r="G34" i="2"/>
  <c r="E145" i="8"/>
  <c r="G33" i="2"/>
  <c r="E149" i="8"/>
  <c r="H44" i="2"/>
  <c r="H14" i="2"/>
  <c r="H15" i="2"/>
  <c r="G51" i="2" l="1"/>
  <c r="E170" i="8"/>
  <c r="H16" i="2"/>
  <c r="H27" i="2" l="1"/>
  <c r="G36" i="2" l="1"/>
  <c r="E153" i="8"/>
  <c r="F52" i="2" l="1"/>
  <c r="I14" i="2" l="1"/>
  <c r="I10" i="2"/>
  <c r="I15" i="2" l="1"/>
  <c r="I16" i="2"/>
  <c r="I26" i="2" l="1"/>
  <c r="I11" i="2"/>
  <c r="I61" i="2"/>
  <c r="C283" i="8" l="1"/>
  <c r="I35" i="2"/>
  <c r="I62" i="2"/>
  <c r="H12" i="2"/>
  <c r="I25" i="2" l="1"/>
  <c r="H34" i="2" l="1"/>
  <c r="I34" i="2"/>
  <c r="J26" i="2" l="1"/>
  <c r="J11" i="2"/>
  <c r="J61" i="2"/>
  <c r="J35" i="2" l="1"/>
  <c r="J24" i="2"/>
  <c r="J25" i="2"/>
  <c r="J62" i="2"/>
  <c r="J10" i="2"/>
  <c r="J14" i="2"/>
  <c r="I12" i="2"/>
  <c r="J44" i="2" l="1"/>
  <c r="J15" i="2"/>
  <c r="F45" i="2"/>
  <c r="E162" i="8"/>
  <c r="E45" i="2"/>
  <c r="E163" i="8" l="1"/>
  <c r="G45" i="2"/>
  <c r="J16" i="2"/>
  <c r="J27" i="2" l="1"/>
  <c r="K11" i="2" l="1"/>
  <c r="K26" i="2" l="1"/>
  <c r="K61" i="2"/>
  <c r="K35" i="2" l="1"/>
  <c r="K62" i="2"/>
  <c r="K14" i="2"/>
  <c r="K10" i="2"/>
  <c r="J12" i="2"/>
  <c r="K25" i="2" l="1"/>
  <c r="K24" i="2"/>
  <c r="K15" i="2"/>
  <c r="J34" i="2" l="1"/>
  <c r="J33" i="2"/>
  <c r="K44" i="2"/>
  <c r="K16" i="2"/>
  <c r="J51" i="2" l="1"/>
  <c r="K27" i="2" l="1"/>
  <c r="J36" i="2" l="1"/>
  <c r="E283" i="8" l="1"/>
  <c r="L26" i="2" l="1"/>
  <c r="L11" i="2"/>
  <c r="L61" i="2"/>
  <c r="L35" i="2" l="1"/>
  <c r="L62" i="2"/>
  <c r="L14" i="2"/>
  <c r="L10" i="2"/>
  <c r="K12" i="2"/>
  <c r="L25" i="2" l="1"/>
  <c r="L24" i="2"/>
  <c r="L15" i="2"/>
  <c r="K33" i="2" l="1"/>
  <c r="L44" i="2"/>
  <c r="K34" i="2"/>
  <c r="L16" i="2"/>
  <c r="K51" i="2" l="1"/>
  <c r="M26" i="2" l="1"/>
  <c r="M25" i="2" l="1"/>
  <c r="M24" i="2"/>
  <c r="L27" i="2"/>
  <c r="M35" i="2"/>
  <c r="M62" i="2"/>
  <c r="M10" i="2"/>
  <c r="M14" i="2"/>
  <c r="K36" i="2" l="1"/>
  <c r="M33" i="2"/>
  <c r="M34" i="2"/>
  <c r="L34" i="2"/>
  <c r="M44" i="2"/>
  <c r="L33" i="2"/>
  <c r="M15" i="2"/>
  <c r="L51" i="2" l="1"/>
  <c r="M51" i="2"/>
  <c r="M16" i="2"/>
  <c r="J52" i="2"/>
  <c r="N11" i="2" l="1"/>
  <c r="N61" i="2" l="1"/>
  <c r="M27" i="2" l="1"/>
  <c r="N62" i="2"/>
  <c r="L36" i="2" l="1"/>
  <c r="M36" i="2"/>
  <c r="J45" i="2"/>
  <c r="L45" i="2" l="1"/>
  <c r="K45" i="2"/>
  <c r="L52" i="2"/>
  <c r="K52" i="2"/>
  <c r="N16" i="2"/>
  <c r="N12" i="2" l="1"/>
  <c r="M52" i="2" l="1"/>
  <c r="L12" i="2" l="1"/>
  <c r="M12" i="2" l="1"/>
  <c r="V11" i="2" l="1"/>
  <c r="R26" i="2" l="1"/>
  <c r="U26" i="2"/>
  <c r="T26" i="2"/>
  <c r="S26" i="2"/>
  <c r="R61" i="2"/>
  <c r="R11" i="2"/>
  <c r="U35" i="2" l="1"/>
  <c r="T35" i="2"/>
  <c r="R35" i="2"/>
  <c r="U25" i="2"/>
  <c r="U24" i="2"/>
  <c r="S25" i="2"/>
  <c r="S24" i="2"/>
  <c r="S35" i="2"/>
  <c r="R62" i="2"/>
  <c r="R14" i="2"/>
  <c r="R10" i="2"/>
  <c r="T24" i="2" l="1"/>
  <c r="T25" i="2"/>
  <c r="S44" i="2"/>
  <c r="R24" i="2"/>
  <c r="U33" i="2"/>
  <c r="U44" i="2"/>
  <c r="R25" i="2"/>
  <c r="U34" i="2"/>
  <c r="R15" i="2"/>
  <c r="M45" i="2"/>
  <c r="S34" i="2" l="1"/>
  <c r="T44" i="2"/>
  <c r="R44" i="2"/>
  <c r="U51" i="2"/>
  <c r="R34" i="2"/>
  <c r="R33" i="2"/>
  <c r="T34" i="2"/>
  <c r="S33" i="2"/>
  <c r="T33" i="2"/>
  <c r="R16" i="2"/>
  <c r="T51" i="2" l="1"/>
  <c r="R51" i="2"/>
  <c r="S51" i="2"/>
  <c r="U27" i="2" l="1"/>
  <c r="R27" i="2"/>
  <c r="S27" i="2"/>
  <c r="R36" i="2" l="1"/>
  <c r="U36" i="2"/>
  <c r="T27" i="2"/>
  <c r="S36" i="2" l="1"/>
  <c r="T36" i="2"/>
  <c r="S11" i="2" l="1"/>
  <c r="S10" i="2" l="1"/>
  <c r="S61" i="2" l="1"/>
  <c r="S15" i="2"/>
  <c r="S14" i="2"/>
  <c r="S62" i="2" l="1"/>
  <c r="R12" i="2"/>
  <c r="T10" i="2" l="1"/>
  <c r="T62" i="2" l="1"/>
  <c r="T61" i="2"/>
  <c r="S12" i="2"/>
  <c r="R52" i="2"/>
  <c r="T11" i="2" l="1"/>
  <c r="T15" i="2"/>
  <c r="T14" i="2"/>
  <c r="T16" i="2" l="1"/>
  <c r="U11" i="2" l="1"/>
  <c r="S52" i="2" l="1"/>
  <c r="U61" i="2" l="1"/>
  <c r="U62" i="2" l="1"/>
  <c r="U10" i="2"/>
  <c r="U14" i="2"/>
  <c r="T12" i="2"/>
  <c r="U15" i="2" l="1"/>
  <c r="U16" i="2" l="1"/>
  <c r="V26" i="2" l="1"/>
  <c r="V61" i="2"/>
  <c r="V27" i="2" l="1"/>
  <c r="V35" i="2"/>
  <c r="V24" i="2"/>
  <c r="V25" i="2"/>
  <c r="V62" i="2"/>
  <c r="U12" i="2"/>
  <c r="V10" i="2"/>
  <c r="V14" i="2"/>
  <c r="T52" i="2"/>
  <c r="R45" i="2"/>
  <c r="S45" i="2"/>
  <c r="T45" i="2" l="1"/>
  <c r="V44" i="2"/>
  <c r="V15" i="2"/>
  <c r="V16" i="2" l="1"/>
  <c r="W11" i="2" l="1"/>
  <c r="W26" i="2" l="1"/>
  <c r="W61" i="2"/>
  <c r="W24" i="2" l="1"/>
  <c r="W25" i="2"/>
  <c r="W35" i="2"/>
  <c r="W10" i="2"/>
  <c r="W14" i="2"/>
  <c r="V12" i="2"/>
  <c r="V33" i="2" l="1"/>
  <c r="W44" i="2"/>
  <c r="V34" i="2"/>
  <c r="W62" i="2"/>
  <c r="W15" i="2"/>
  <c r="V51" i="2" l="1"/>
  <c r="X11" i="2"/>
  <c r="W16" i="2"/>
  <c r="W27" i="2" l="1"/>
  <c r="V36" i="2" l="1"/>
  <c r="X26" i="2" l="1"/>
  <c r="X61" i="2"/>
  <c r="U52" i="2"/>
  <c r="X24" i="2" l="1"/>
  <c r="X35" i="2"/>
  <c r="X25" i="2"/>
  <c r="X62" i="2"/>
  <c r="X10" i="2"/>
  <c r="W12" i="2"/>
  <c r="X14" i="2"/>
  <c r="W33" i="2" l="1"/>
  <c r="W34" i="2"/>
  <c r="X44" i="2"/>
  <c r="X15" i="2"/>
  <c r="W51" i="2" l="1"/>
  <c r="X16" i="2"/>
  <c r="X27" i="2" l="1"/>
  <c r="W36" i="2" l="1"/>
  <c r="Y61" i="2"/>
  <c r="V52" i="2" l="1"/>
  <c r="Y26" i="2" l="1"/>
  <c r="Y35" i="2" l="1"/>
  <c r="Y25" i="2" l="1"/>
  <c r="Y24" i="2"/>
  <c r="X33" i="2" l="1"/>
  <c r="Y33" i="2"/>
  <c r="Y44" i="2"/>
  <c r="Y34" i="2"/>
  <c r="X34" i="2"/>
  <c r="X51" i="2" l="1"/>
  <c r="Y51" i="2"/>
  <c r="Y11" i="2"/>
  <c r="Y62" i="2" l="1"/>
  <c r="X12" i="2"/>
  <c r="Y27" i="2" l="1"/>
  <c r="X36" i="2" l="1"/>
  <c r="Y36" i="2"/>
  <c r="W52" i="2" l="1"/>
  <c r="Y10" i="2"/>
  <c r="Y14" i="2"/>
  <c r="Y15" i="2" l="1"/>
  <c r="Y16" i="2" l="1"/>
  <c r="Z26" i="2" l="1"/>
  <c r="Z11" i="2"/>
  <c r="Z61" i="2"/>
  <c r="Z10" i="2"/>
  <c r="AB10" i="2"/>
  <c r="AA10" i="2"/>
  <c r="Z24" i="2" l="1"/>
  <c r="Z25" i="2"/>
  <c r="Z35" i="2"/>
  <c r="Z62" i="2"/>
  <c r="Z14" i="2"/>
  <c r="Z15" i="2"/>
  <c r="Y12" i="2"/>
  <c r="Z44" i="2" l="1"/>
  <c r="U45" i="2"/>
  <c r="X45" i="2"/>
  <c r="X52" i="2"/>
  <c r="W45" i="2"/>
  <c r="V45" i="2" l="1"/>
  <c r="Z16" i="2"/>
  <c r="Z27" i="2" l="1"/>
  <c r="AA62" i="2" l="1"/>
  <c r="AE26" i="2" l="1"/>
  <c r="AA61" i="2" l="1"/>
  <c r="AA11" i="2" l="1"/>
  <c r="AA15" i="2"/>
  <c r="Z12" i="2" l="1"/>
  <c r="AA26" i="2" l="1"/>
  <c r="AB26" i="2"/>
  <c r="AA14" i="2"/>
  <c r="AA24" i="2" l="1"/>
  <c r="AA35" i="2"/>
  <c r="AA25" i="2"/>
  <c r="AB35" i="2"/>
  <c r="AB24" i="2" l="1"/>
  <c r="AB25" i="2"/>
  <c r="Z33" i="2"/>
  <c r="AA34" i="2"/>
  <c r="Z34" i="2"/>
  <c r="AA44" i="2"/>
  <c r="AA16" i="2"/>
  <c r="AB44" i="2" l="1"/>
  <c r="AA33" i="2"/>
  <c r="Z51" i="2"/>
  <c r="AA51" i="2" l="1"/>
  <c r="AB27" i="2" l="1"/>
  <c r="AB11" i="2"/>
  <c r="AB59" i="2" l="1"/>
  <c r="AA12" i="2"/>
  <c r="AB14" i="2"/>
  <c r="AB62" i="2" l="1"/>
  <c r="AB61" i="2"/>
  <c r="AB15" i="2"/>
  <c r="AB16" i="2" l="1"/>
  <c r="AC26" i="2" l="1"/>
  <c r="AC35" i="2" l="1"/>
  <c r="AB12" i="2"/>
  <c r="AC24" i="2" l="1"/>
  <c r="AC25" i="2"/>
  <c r="AC10" i="2"/>
  <c r="AC14" i="2"/>
  <c r="AC44" i="2" l="1"/>
  <c r="AB33" i="2"/>
  <c r="AC33" i="2"/>
  <c r="AB34" i="2"/>
  <c r="AC34" i="2"/>
  <c r="AC15" i="2"/>
  <c r="AC51" i="2" l="1"/>
  <c r="AB51" i="2"/>
  <c r="AC16" i="2"/>
  <c r="AC27" i="2" l="1"/>
  <c r="AC36" i="2" l="1"/>
  <c r="AB36" i="2"/>
  <c r="AD26" i="2" l="1"/>
  <c r="AD25" i="2" l="1"/>
  <c r="AD35" i="2"/>
  <c r="AD24" i="2"/>
  <c r="AD10" i="2"/>
  <c r="AD14" i="2"/>
  <c r="AC12" i="2"/>
  <c r="AD44" i="2" l="1"/>
  <c r="AB52" i="2"/>
  <c r="AB45" i="2"/>
  <c r="Y45" i="2"/>
  <c r="AD15" i="2"/>
  <c r="AD16" i="2" l="1"/>
  <c r="AD12" i="2" l="1"/>
  <c r="AE10" i="2" l="1"/>
  <c r="AE24" i="2" l="1"/>
  <c r="AD34" i="2" l="1"/>
  <c r="AD33" i="2"/>
  <c r="AD51" i="2" l="1"/>
  <c r="AE14" i="2" l="1"/>
  <c r="AE44" i="2" l="1"/>
  <c r="AE25" i="2"/>
  <c r="AE35" i="2"/>
  <c r="AE15" i="2"/>
  <c r="AE16" i="2" l="1"/>
  <c r="AF24" i="2" l="1"/>
  <c r="AF26" i="2" l="1"/>
  <c r="AE34" i="2"/>
  <c r="AE33" i="2"/>
  <c r="AE51" i="2" l="1"/>
  <c r="AF25" i="2"/>
  <c r="AF44" i="2"/>
  <c r="AE12" i="2"/>
  <c r="AF10" i="2" l="1"/>
  <c r="AF14" i="2"/>
  <c r="AF15" i="2" l="1"/>
  <c r="AF16" i="2" l="1"/>
  <c r="AG35" i="2" l="1"/>
  <c r="AX33" i="2" l="1"/>
  <c r="BB33" i="2"/>
  <c r="AG26" i="2"/>
  <c r="BD33" i="2"/>
  <c r="BF33" i="2"/>
  <c r="BH33" i="2"/>
  <c r="AK33" i="2"/>
  <c r="AH33" i="2"/>
  <c r="AO33" i="2"/>
  <c r="AM33" i="2"/>
  <c r="AS33" i="2"/>
  <c r="AQ33" i="2"/>
  <c r="AW33" i="2"/>
  <c r="AU33" i="2"/>
  <c r="BC33" i="2"/>
  <c r="AY33" i="2"/>
  <c r="BG33" i="2"/>
  <c r="BE33" i="2"/>
  <c r="AI33" i="2"/>
  <c r="AL33" i="2"/>
  <c r="AN33" i="2"/>
  <c r="AP33" i="2"/>
  <c r="AR33" i="2"/>
  <c r="AT33" i="2"/>
  <c r="AV33" i="2"/>
  <c r="AF35" i="2" l="1"/>
  <c r="AG10" i="2" l="1"/>
  <c r="AF12" i="2"/>
  <c r="AG14" i="2"/>
  <c r="AG15" i="2" l="1"/>
  <c r="AG16" i="2" l="1"/>
  <c r="AH35" i="2" l="1"/>
  <c r="AH26" i="2" l="1"/>
  <c r="AH34" i="2" l="1"/>
  <c r="AH51" i="2"/>
  <c r="AH10" i="2"/>
  <c r="AG12" i="2"/>
  <c r="AH14" i="2"/>
  <c r="AH15" i="2" l="1"/>
  <c r="AH16" i="2" l="1"/>
  <c r="AI26" i="2" l="1"/>
  <c r="AI35" i="2"/>
  <c r="AI34" i="2" l="1"/>
  <c r="AI14" i="2"/>
  <c r="AH12" i="2"/>
  <c r="AI10" i="2"/>
  <c r="AI15" i="2" l="1"/>
  <c r="AI16" i="2"/>
  <c r="AJ35" i="2" l="1"/>
  <c r="AJ26" i="2" l="1"/>
  <c r="AI12" i="2"/>
  <c r="AJ10" i="2"/>
  <c r="AJ14" i="2"/>
  <c r="AJ24" i="2" l="1"/>
  <c r="AJ25" i="2"/>
  <c r="AJ15" i="2"/>
  <c r="AJ16" i="2" l="1"/>
  <c r="AI51" i="2" l="1"/>
  <c r="AJ44" i="2"/>
  <c r="AK35" i="2" l="1"/>
  <c r="AK34" i="2" l="1"/>
  <c r="AI36" i="2"/>
  <c r="AK26" i="2"/>
  <c r="AL35" i="2" l="1"/>
  <c r="AK24" i="2"/>
  <c r="AK25" i="2"/>
  <c r="AK14" i="2"/>
  <c r="AK10" i="2"/>
  <c r="AK51" i="2" l="1"/>
  <c r="AK15" i="2"/>
  <c r="AK16" i="2"/>
  <c r="AL24" i="2" l="1"/>
  <c r="AL26" i="2"/>
  <c r="AK44" i="2"/>
  <c r="AL34" i="2" l="1"/>
  <c r="AK36" i="2"/>
  <c r="AK12" i="2"/>
  <c r="AJ12" i="2"/>
  <c r="AK27" i="2" l="1"/>
  <c r="AL25" i="2"/>
  <c r="AL16" i="2" l="1"/>
  <c r="AM35" i="2" l="1"/>
  <c r="AM26" i="2"/>
  <c r="AM34" i="2" l="1"/>
  <c r="AM25" i="2"/>
  <c r="AM24" i="2"/>
  <c r="AL12" i="2"/>
  <c r="AL10" i="2"/>
  <c r="AL14" i="2"/>
  <c r="AM16" i="2" l="1"/>
  <c r="AL15" i="2"/>
  <c r="AM44" i="2" l="1"/>
  <c r="AL51" i="2"/>
  <c r="AM10" i="2" l="1"/>
  <c r="AM14" i="2"/>
  <c r="AM27" i="2" l="1"/>
  <c r="AM15" i="2"/>
  <c r="AN35" i="2" l="1"/>
  <c r="AN26" i="2"/>
  <c r="AN34" i="2" l="1"/>
  <c r="AN24" i="2"/>
  <c r="AN25" i="2"/>
  <c r="AM12" i="2"/>
  <c r="AN16" i="2" l="1"/>
  <c r="AN44" i="2" l="1"/>
  <c r="AM51" i="2"/>
  <c r="AN10" i="2" l="1"/>
  <c r="AN14" i="2"/>
  <c r="AO35" i="2" l="1"/>
  <c r="AO26" i="2"/>
  <c r="AM36" i="2"/>
  <c r="AN27" i="2"/>
  <c r="AN15" i="2"/>
  <c r="AO24" i="2" l="1"/>
  <c r="AO34" i="2"/>
  <c r="AN12" i="2"/>
  <c r="AO25" i="2" l="1"/>
  <c r="AN51" i="2" l="1"/>
  <c r="AO51" i="2"/>
  <c r="AO44" i="2"/>
  <c r="AO16" i="2"/>
  <c r="AP24" i="2" l="1"/>
  <c r="AP26" i="2"/>
  <c r="AN36" i="2"/>
  <c r="AO36" i="2"/>
  <c r="AP35" i="2"/>
  <c r="AO27" i="2"/>
  <c r="AO14" i="2"/>
  <c r="AO10" i="2"/>
  <c r="AP25" i="2" l="1"/>
  <c r="AP34" i="2"/>
  <c r="AM52" i="2"/>
  <c r="AO15" i="2"/>
  <c r="AO12" i="2"/>
  <c r="AM45" i="2" l="1"/>
  <c r="AN52" i="2"/>
  <c r="AN45" i="2" l="1"/>
  <c r="AP44" i="2"/>
  <c r="AP16" i="2"/>
  <c r="AP27" i="2" l="1"/>
  <c r="AP10" i="2"/>
  <c r="AP14" i="2"/>
  <c r="AQ34" i="2" l="1"/>
  <c r="AQ26" i="2"/>
  <c r="AP15" i="2"/>
  <c r="AP12" i="2"/>
  <c r="AQ24" i="2" l="1"/>
  <c r="AQ25" i="2"/>
  <c r="AQ16" i="2" l="1"/>
  <c r="AP51" i="2" l="1"/>
  <c r="AQ44" i="2"/>
  <c r="AQ14" i="2"/>
  <c r="AQ10" i="2"/>
  <c r="AQ35" i="2" l="1"/>
  <c r="AR26" i="2"/>
  <c r="AR35" i="2"/>
  <c r="AQ15" i="2"/>
  <c r="AR24" i="2" l="1"/>
  <c r="AP36" i="2"/>
  <c r="AR25" i="2"/>
  <c r="AR34" i="2"/>
  <c r="AQ12" i="2"/>
  <c r="AO52" i="2" l="1"/>
  <c r="AR44" i="2" l="1"/>
  <c r="AQ51" i="2"/>
  <c r="AR16" i="2"/>
  <c r="AR14" i="2" l="1"/>
  <c r="AR10" i="2"/>
  <c r="AS26" i="2" l="1"/>
  <c r="AS24" i="2"/>
  <c r="AR27" i="2"/>
  <c r="AS35" i="2"/>
  <c r="AR15" i="2"/>
  <c r="AS34" i="2" l="1"/>
  <c r="AS25" i="2"/>
  <c r="AR12" i="2"/>
  <c r="AS44" i="2" l="1"/>
  <c r="AR51" i="2"/>
  <c r="AT35" i="2" l="1"/>
  <c r="AS51" i="2"/>
  <c r="AS16" i="2"/>
  <c r="AT26" i="2" l="1"/>
  <c r="AR36" i="2"/>
  <c r="AT34" i="2"/>
  <c r="AS27" i="2"/>
  <c r="AS10" i="2"/>
  <c r="AS14" i="2"/>
  <c r="AS36" i="2" l="1"/>
  <c r="AT24" i="2"/>
  <c r="AT25" i="2"/>
  <c r="AS12" i="2"/>
  <c r="AS15" i="2"/>
  <c r="AO45" i="2" l="1"/>
  <c r="AR52" i="2"/>
  <c r="AR45" i="2"/>
  <c r="AT44" i="2" l="1"/>
  <c r="AT16" i="2"/>
  <c r="AT10" i="2" l="1"/>
  <c r="AT14" i="2"/>
  <c r="AT27" i="2" l="1"/>
  <c r="AT15" i="2"/>
  <c r="AU35" i="2" l="1"/>
  <c r="AU34" i="2" l="1"/>
  <c r="AU26" i="2"/>
  <c r="AT12" i="2"/>
  <c r="AU24" i="2" l="1"/>
  <c r="AU25" i="2"/>
  <c r="AU16" i="2" l="1"/>
  <c r="AT51" i="2" l="1"/>
  <c r="AU44" i="2"/>
  <c r="AU10" i="2"/>
  <c r="AU14" i="2"/>
  <c r="AV24" i="2" l="1"/>
  <c r="AU15" i="2"/>
  <c r="AV26" i="2" l="1"/>
  <c r="AU27" i="2"/>
  <c r="AT36" i="2"/>
  <c r="AU12" i="2"/>
  <c r="AU51" i="2" l="1"/>
  <c r="AS52" i="2"/>
  <c r="AV16" i="2" l="1"/>
  <c r="AU36" i="2" l="1"/>
  <c r="AV35" i="2"/>
  <c r="AV14" i="2"/>
  <c r="AV10" i="2"/>
  <c r="AW24" i="2" l="1"/>
  <c r="AV15" i="2"/>
  <c r="AT52" i="2"/>
  <c r="AW35" i="2" l="1"/>
  <c r="AW34" i="2" l="1"/>
  <c r="AW26" i="2"/>
  <c r="AV12" i="2"/>
  <c r="AW25" i="2" l="1"/>
  <c r="AW44" i="2"/>
  <c r="AW51" i="2" l="1"/>
  <c r="AW16" i="2"/>
  <c r="AW14" i="2" l="1"/>
  <c r="AW10" i="2"/>
  <c r="AW27" i="2" l="1"/>
  <c r="AW36" i="2"/>
  <c r="AW15" i="2"/>
  <c r="AX26" i="2" l="1"/>
  <c r="AX35" i="2"/>
  <c r="AX34" i="2" l="1"/>
  <c r="AX24" i="2"/>
  <c r="AX25" i="2"/>
  <c r="AW12" i="2"/>
  <c r="AT45" i="2" l="1"/>
  <c r="AS45" i="2"/>
  <c r="AX44" i="2" l="1"/>
  <c r="AX16" i="2"/>
  <c r="AX14" i="2" l="1"/>
  <c r="AX10" i="2"/>
  <c r="AX27" i="2" l="1"/>
  <c r="AX15" i="2"/>
  <c r="AY26" i="2" l="1"/>
  <c r="AY35" i="2"/>
  <c r="AY25" i="2" l="1"/>
  <c r="AY34" i="2"/>
  <c r="AY24" i="2"/>
  <c r="AX12" i="2"/>
  <c r="AY16" i="2" l="1"/>
  <c r="AY44" i="2" l="1"/>
  <c r="AX51" i="2"/>
  <c r="AY14" i="2" l="1"/>
  <c r="AY10" i="2"/>
  <c r="AY27" i="2" l="1"/>
  <c r="AX36" i="2"/>
  <c r="AY15" i="2"/>
  <c r="AW52" i="2" l="1"/>
  <c r="AZ26" i="2" l="1"/>
  <c r="AZ35" i="2"/>
  <c r="AZ24" i="2" l="1"/>
  <c r="AZ25" i="2"/>
  <c r="AY12" i="2"/>
  <c r="AZ16" i="2" l="1"/>
  <c r="AY51" i="2" l="1"/>
  <c r="AZ44" i="2"/>
  <c r="BA35" i="2" l="1"/>
  <c r="AZ10" i="2"/>
  <c r="AZ14" i="2"/>
  <c r="AY36" i="2" l="1"/>
  <c r="BA26" i="2"/>
  <c r="AZ27" i="2"/>
  <c r="AZ15" i="2"/>
  <c r="BA24" i="2" l="1"/>
  <c r="AZ12" i="2"/>
  <c r="AX52" i="2"/>
  <c r="BA16" i="2" l="1"/>
  <c r="BA10" i="2" l="1"/>
  <c r="BA14" i="2"/>
  <c r="BB35" i="2" l="1"/>
  <c r="BA15" i="2"/>
  <c r="BB26" i="2" l="1"/>
  <c r="BB34" i="2"/>
  <c r="BB25" i="2" l="1"/>
  <c r="BB24" i="2"/>
  <c r="BA12" i="2"/>
  <c r="AY45" i="2" l="1"/>
  <c r="AW45" i="2"/>
  <c r="AX45" i="2"/>
  <c r="BB44" i="2" l="1"/>
  <c r="BB16" i="2"/>
  <c r="BB10" i="2" l="1"/>
  <c r="BB14" i="2"/>
  <c r="BB27" i="2" l="1"/>
  <c r="BB15" i="2"/>
  <c r="BF35" i="2" l="1"/>
  <c r="BE35" i="2"/>
  <c r="BD35" i="2"/>
  <c r="BC35" i="2"/>
  <c r="BH35" i="2"/>
  <c r="BG35" i="2"/>
  <c r="BD34" i="2" l="1"/>
  <c r="BD26" i="2"/>
  <c r="BH34" i="2"/>
  <c r="BH26" i="2"/>
  <c r="BE26" i="2"/>
  <c r="BE34" i="2"/>
  <c r="BF34" i="2"/>
  <c r="BC26" i="2"/>
  <c r="BC34" i="2"/>
  <c r="BG34" i="2"/>
  <c r="BG26" i="2"/>
  <c r="BF26" i="2"/>
  <c r="BF25" i="2" l="1"/>
  <c r="BE25" i="2"/>
  <c r="BF24" i="2"/>
  <c r="BG24" i="2"/>
  <c r="BH25" i="2"/>
  <c r="BH24" i="2"/>
  <c r="BC25" i="2"/>
  <c r="BC24" i="2"/>
  <c r="BD24" i="2"/>
  <c r="BD25" i="2"/>
  <c r="BE24" i="2"/>
  <c r="BG25" i="2"/>
  <c r="BE12" i="2"/>
  <c r="BD12" i="2"/>
  <c r="BI12" i="2"/>
  <c r="BB12" i="2"/>
  <c r="BG12" i="2"/>
  <c r="BH12" i="2" l="1"/>
  <c r="BC12" i="2"/>
  <c r="BG51" i="2"/>
  <c r="BE51" i="2"/>
  <c r="BD51" i="2"/>
  <c r="BF51" i="2"/>
  <c r="BH51" i="2"/>
  <c r="BC51" i="2"/>
  <c r="BF12" i="2"/>
  <c r="BI16" i="2"/>
  <c r="BF16" i="2"/>
  <c r="BE44" i="2" l="1"/>
  <c r="BC44" i="2"/>
  <c r="BF44" i="2"/>
  <c r="BH44" i="2"/>
  <c r="BB51" i="2"/>
  <c r="BG44" i="2"/>
  <c r="BD44" i="2"/>
  <c r="BD16" i="2"/>
  <c r="BH16" i="2"/>
  <c r="BH14" i="2"/>
  <c r="BH10" i="2"/>
  <c r="BG16" i="2"/>
  <c r="BC16" i="2"/>
  <c r="BI14" i="2"/>
  <c r="BI10" i="2"/>
  <c r="BE16" i="2"/>
  <c r="BD14" i="2"/>
  <c r="BD10" i="2"/>
  <c r="BG14" i="2"/>
  <c r="BG10" i="2"/>
  <c r="BG36" i="2" l="1"/>
  <c r="BH36" i="2"/>
  <c r="BF36" i="2"/>
  <c r="BC36" i="2"/>
  <c r="BE36" i="2"/>
  <c r="BD36" i="2"/>
  <c r="BE10" i="2"/>
  <c r="BE14" i="2"/>
  <c r="BH15" i="2"/>
  <c r="BD15" i="2"/>
  <c r="BG15" i="2"/>
  <c r="BC14" i="2"/>
  <c r="BC10" i="2"/>
  <c r="BI15" i="2"/>
  <c r="BF10" i="2"/>
  <c r="BF14" i="2"/>
  <c r="BF27" i="2" l="1"/>
  <c r="BH27" i="2"/>
  <c r="BD27" i="2"/>
  <c r="BG27" i="2"/>
  <c r="BB36" i="2"/>
  <c r="BC27" i="2"/>
  <c r="BE27" i="2"/>
  <c r="BF15" i="2"/>
  <c r="BG52" i="2"/>
  <c r="BE52" i="2"/>
  <c r="BE15" i="2"/>
  <c r="BC15" i="2"/>
  <c r="BC52" i="2"/>
  <c r="BD52" i="2" l="1"/>
  <c r="BF52" i="2"/>
  <c r="BH52" i="2"/>
  <c r="BD45" i="2"/>
  <c r="BB45" i="2"/>
  <c r="BE45" i="2"/>
  <c r="BH45" i="2"/>
  <c r="BG45" i="2" l="1"/>
  <c r="BB52" i="2"/>
  <c r="BC45" i="2"/>
  <c r="BF45" i="2"/>
  <c r="AV34" i="2" l="1"/>
  <c r="AV25" i="2"/>
  <c r="AV51" i="2" l="1"/>
  <c r="AV44" i="2"/>
  <c r="AV27" i="2" l="1"/>
  <c r="AV36" i="2"/>
  <c r="AU52" i="2" l="1"/>
  <c r="AU45" i="2"/>
  <c r="AV52" i="2"/>
  <c r="AV45" i="2"/>
  <c r="AQ27" i="2" l="1"/>
  <c r="AQ36" i="2"/>
  <c r="AP45" i="2" l="1"/>
  <c r="AP52" i="2"/>
  <c r="AQ45" i="2"/>
  <c r="AQ52" i="2"/>
  <c r="AL44" i="2" l="1"/>
  <c r="AL27" i="2" l="1"/>
  <c r="AL36" i="2"/>
  <c r="AL45" i="2" l="1"/>
  <c r="AL52" i="2"/>
  <c r="AK52" i="2"/>
  <c r="AK45" i="2"/>
  <c r="AH36" i="2" l="1"/>
  <c r="AH52" i="2" l="1"/>
  <c r="AZ33" i="2" l="1"/>
  <c r="BA33" i="2"/>
  <c r="AZ34" i="2"/>
  <c r="BA34" i="2"/>
  <c r="BA25" i="2"/>
  <c r="BA51" i="2" l="1"/>
  <c r="AZ51" i="2"/>
  <c r="BA44" i="2"/>
  <c r="AJ34" i="2" l="1"/>
  <c r="AI24" i="2"/>
  <c r="AI25" i="2"/>
  <c r="BA27" i="2"/>
  <c r="AJ33" i="2"/>
  <c r="AZ36" i="2"/>
  <c r="BA36" i="2"/>
  <c r="AH25" i="2" l="1"/>
  <c r="AH24" i="2"/>
  <c r="AY52" i="2"/>
  <c r="AZ52" i="2" l="1"/>
  <c r="AZ45" i="2"/>
  <c r="AJ51" i="2"/>
  <c r="BA52" i="2"/>
  <c r="AH44" i="2"/>
  <c r="BA45" i="2"/>
  <c r="AI44" i="2"/>
  <c r="AJ36" i="2" l="1"/>
  <c r="AI27" i="2"/>
  <c r="AJ27" i="2"/>
  <c r="AH27" i="2" l="1"/>
  <c r="AH45" i="2" l="1"/>
  <c r="AI52" i="2"/>
  <c r="AJ52" i="2"/>
  <c r="AJ45" i="2"/>
  <c r="AI45" i="2"/>
  <c r="AG34" i="2" l="1"/>
  <c r="AG33" i="2"/>
  <c r="AG25" i="2" l="1"/>
  <c r="AG24" i="2"/>
  <c r="AG51" i="2"/>
  <c r="AG44" i="2" l="1"/>
  <c r="AF33" i="2"/>
  <c r="AF34" i="2"/>
  <c r="AF51" i="2" l="1"/>
  <c r="Z36" i="2" l="1"/>
  <c r="AA27" i="2"/>
  <c r="AA36" i="2" l="1"/>
  <c r="Y52" i="2"/>
  <c r="Z45" i="2" l="1"/>
  <c r="AA45" i="2"/>
  <c r="Z52" i="2" l="1"/>
  <c r="AA52" i="2"/>
  <c r="AD27" i="2" l="1"/>
  <c r="AC45" i="2" l="1"/>
  <c r="AE27" i="2" l="1"/>
  <c r="AF27" i="2"/>
  <c r="AD36" i="2" l="1"/>
  <c r="AE36" i="2"/>
  <c r="AD45" i="2"/>
  <c r="AE45" i="2" l="1"/>
  <c r="AC52" i="2"/>
  <c r="AD52" i="2"/>
  <c r="AG27" i="2" l="1"/>
  <c r="AG36" i="2" l="1"/>
  <c r="AF36" i="2"/>
  <c r="AF45" i="2" l="1"/>
  <c r="AG45" i="2"/>
  <c r="AE52" i="2"/>
  <c r="AF52" i="2" l="1"/>
  <c r="AG52" i="2"/>
  <c r="S16" i="2" l="1"/>
  <c r="N14" i="2" l="1"/>
  <c r="N10" i="2"/>
  <c r="N15" i="2" l="1"/>
  <c r="M61" i="2" l="1"/>
  <c r="M11" i="2" l="1"/>
  <c r="I24" i="2" l="1"/>
  <c r="H33" i="2"/>
  <c r="H51" i="2" l="1"/>
  <c r="I44" i="2"/>
  <c r="I33" i="2" l="1"/>
  <c r="I51" i="2" l="1"/>
  <c r="I27" i="2" l="1"/>
  <c r="H36" i="2" l="1"/>
  <c r="I36" i="2"/>
  <c r="H45" i="2" l="1"/>
  <c r="I45" i="2"/>
  <c r="E171" i="8"/>
  <c r="G52" i="2"/>
  <c r="E172" i="8"/>
  <c r="I52" i="2" l="1"/>
  <c r="H52" i="2"/>
  <c r="C61" i="2" l="1"/>
  <c r="C11" i="2"/>
  <c r="C62" i="2" l="1"/>
  <c r="E164" i="8" l="1"/>
  <c r="C173" i="8" l="1"/>
  <c r="E173" i="8"/>
</calcChain>
</file>

<file path=xl/sharedStrings.xml><?xml version="1.0" encoding="utf-8"?>
<sst xmlns="http://schemas.openxmlformats.org/spreadsheetml/2006/main" count="65374" uniqueCount="473">
  <si>
    <t>Key financial and operational results</t>
  </si>
  <si>
    <t>Customer deposits</t>
  </si>
  <si>
    <t>Capital</t>
  </si>
  <si>
    <t>Contents</t>
  </si>
  <si>
    <t>in millions of Russian Rubles</t>
  </si>
  <si>
    <t>Corporate loans</t>
  </si>
  <si>
    <t>Individuals</t>
  </si>
  <si>
    <t>Other</t>
  </si>
  <si>
    <t>loans to finance working capital</t>
  </si>
  <si>
    <t>investment loans</t>
  </si>
  <si>
    <t>loans to entities financed by the government</t>
  </si>
  <si>
    <t>Loans to individuals</t>
  </si>
  <si>
    <t>mortgage loans</t>
  </si>
  <si>
    <t>car loans</t>
  </si>
  <si>
    <t>Allowance for impairment</t>
  </si>
  <si>
    <t>Loan portfolio by sector</t>
  </si>
  <si>
    <t>Construction</t>
  </si>
  <si>
    <t>Trade</t>
  </si>
  <si>
    <t>Heavy machinery and ship-building</t>
  </si>
  <si>
    <t>Leasing and financial services</t>
  </si>
  <si>
    <t>Real estate</t>
  </si>
  <si>
    <t>Extraction and transportation of oil and gas</t>
  </si>
  <si>
    <t>Entities financed by the government</t>
  </si>
  <si>
    <t>Production and food industry</t>
  </si>
  <si>
    <t>Transport</t>
  </si>
  <si>
    <t>Sports and health and entertainment organizations</t>
  </si>
  <si>
    <t>Energy</t>
  </si>
  <si>
    <t>Chemical industry</t>
  </si>
  <si>
    <t>Telecommunications</t>
  </si>
  <si>
    <t>Standard loans not past due</t>
  </si>
  <si>
    <t>Watch list loans not past due</t>
  </si>
  <si>
    <t>Impaired not past due</t>
  </si>
  <si>
    <t>Overdue</t>
  </si>
  <si>
    <t>less than 5 calendar days</t>
  </si>
  <si>
    <t>6 to 30 calendar days</t>
  </si>
  <si>
    <t>31 to 60 calendar days</t>
  </si>
  <si>
    <t>91 to 180 calendar days</t>
  </si>
  <si>
    <t>181 to 365 calendar days</t>
  </si>
  <si>
    <t>over 365 calendar days</t>
  </si>
  <si>
    <t>61 to 90 calendar days</t>
  </si>
  <si>
    <t>Loans collectively assessed for impairment, but not individually impaired</t>
  </si>
  <si>
    <t>Individually assessed loans, for which specific indications of impairment have been identified</t>
  </si>
  <si>
    <t>Loan portfolio and credit quality ratios</t>
  </si>
  <si>
    <t>Corporate loans/Gross loans</t>
  </si>
  <si>
    <t>Impaired not past due/ Gross loans</t>
  </si>
  <si>
    <t>Quality of corporate loan portfolio</t>
  </si>
  <si>
    <t>Quality of retail loan portfolio</t>
  </si>
  <si>
    <t>Total overdue corporate loans</t>
  </si>
  <si>
    <t>Total overdue retail loans</t>
  </si>
  <si>
    <t>Corporate overdue/ Corporate loans</t>
  </si>
  <si>
    <t>Provisions/ Total problem loans</t>
  </si>
  <si>
    <t>Provisions/ Gross loans</t>
  </si>
  <si>
    <t>Provisions/ Overdue loans</t>
  </si>
  <si>
    <t>Assets and Liabilities structure</t>
  </si>
  <si>
    <t>Loan portfolio structure</t>
  </si>
  <si>
    <t>Overdue loans/ Gross loans</t>
  </si>
  <si>
    <t>Loan portfolio</t>
  </si>
  <si>
    <t>Gross loans</t>
  </si>
  <si>
    <t>Gross loans and advances to legal entities</t>
  </si>
  <si>
    <t>Net loans and advances to legal entities</t>
  </si>
  <si>
    <t>Gross loans to individuals</t>
  </si>
  <si>
    <t>Net loans to individuals</t>
  </si>
  <si>
    <t>Total loans and advances to customers</t>
  </si>
  <si>
    <t>Income and Expenses structure</t>
  </si>
  <si>
    <t>Q-o-Q</t>
  </si>
  <si>
    <t>consumer loans</t>
  </si>
  <si>
    <t>Retail loan portfolio</t>
  </si>
  <si>
    <t>Loans to individuals/Gross loans</t>
  </si>
  <si>
    <t>Retail overdue/ Loans to individuals</t>
  </si>
  <si>
    <t>Other net operating income (loss)</t>
  </si>
  <si>
    <t>Gross retail loans (mortgage, car and consumer loans)</t>
  </si>
  <si>
    <t>Notes:</t>
  </si>
  <si>
    <t>Starting from 1Q 2016, derivative financial assets and liabilities are shown as new items of BS.</t>
  </si>
  <si>
    <t>Starting from 1Q 2014, financials are given for Bank Saint Petersburg Group (including Bank Evropeisky).</t>
  </si>
  <si>
    <t>Starting from 1Q 2013, gains (losses) from derivatives  are shown as a new item of PnL.</t>
  </si>
  <si>
    <t>Starting from FY 2016, gains (losses) from trading in foreign currencies and foreign exchange translations are shown as one item of PnL.</t>
  </si>
  <si>
    <t>Starting from FY 2016, loans and advances to corporate and individual customers are shown as separate items of BS.</t>
  </si>
  <si>
    <t>Starting from FY 2016, financial liabilities reflected at fair value are shown as a new item of BS.</t>
  </si>
  <si>
    <t>Starting from 1Q 2017, impairment allowance for receivables under overdue guarantees are shown as one item of PnL.</t>
  </si>
  <si>
    <t>YTD</t>
  </si>
  <si>
    <t>n.a.</t>
  </si>
  <si>
    <t>Starting from 1Q 2018, loan portfolio is shown under IFRS 9</t>
  </si>
  <si>
    <t xml:space="preserve">Starting from 1Q 2018, payments to Deposit Insurance Agency are excluded from operating expenses and added to Net Interest Income
</t>
  </si>
  <si>
    <t>Throughout the DataBook figures and ratios (revenues, NII, NIM, operating expenses, CIR) are adjusted retrospectively with regard to the Changes in accounting policy</t>
  </si>
  <si>
    <t>consumer loans to VIP clients</t>
  </si>
  <si>
    <t xml:space="preserve">Starting from FY 2019, insurance commissions are reported separately from Other F&amp;C income
</t>
  </si>
  <si>
    <t xml:space="preserve">Starting from FY 2019, interest income on loans and advances to customers is divided into Corporates and Individuals
</t>
  </si>
  <si>
    <t>Starting from FY 2019, expenses related to IFRS 16 are transferred from other OpEx to OpEx related to premises and equipment</t>
  </si>
  <si>
    <t>Starting from FY 2020, trust management of property income is transferred from other income to F&amp;C income</t>
  </si>
  <si>
    <t>Starting from FY 2020, net gains from derecognition of financial instruments at amortized value are shown separately from other income</t>
  </si>
  <si>
    <t xml:space="preserve">Starting from FY 2019, loyalty program expenses are excluded from Other income and added to F&amp;C income
</t>
  </si>
  <si>
    <t>Starting from 9M 2021, interest income on loans to individuals for 2Q 2021 was partially reclassified to interest income on corporate loans</t>
  </si>
  <si>
    <t>Starting from FY 2021, loyalty program commission expenses were partly transferred to banking cards commission income</t>
  </si>
  <si>
    <t>Gains (losses) from securities</t>
  </si>
  <si>
    <t>Gains from trading in foreign currencies, foreign exchange revaluation and derivatives</t>
  </si>
  <si>
    <t xml:space="preserve">Provision for credit related commitments and non-financial liabilities </t>
  </si>
  <si>
    <t xml:space="preserve">Net loss from reflection of financial assets at fair value on initial recognition </t>
  </si>
  <si>
    <t>Losses on premature redemption of debt</t>
  </si>
  <si>
    <t>Recovery of impairment (Impairment) of long-term assets held-for-sale</t>
  </si>
  <si>
    <t>Recovery of impairment (Impairment) of investment securities</t>
  </si>
  <si>
    <t>Net loss from disposal of long-term assets held-for-sale</t>
  </si>
  <si>
    <t>Recovery of impairment (Impairment) for credit related commitments</t>
  </si>
  <si>
    <t xml:space="preserve">Impairment allowance for receivables under overdue guarantees </t>
  </si>
  <si>
    <t>Recovery of impairment (Impairment) for non-financial related commitments</t>
  </si>
  <si>
    <t>Impairment of investment property</t>
  </si>
  <si>
    <t>Impairment of premises</t>
  </si>
  <si>
    <t>Net losses on redemption of reclassified securities</t>
  </si>
  <si>
    <t>Gain from disposal/acquisition of subsidiary</t>
  </si>
  <si>
    <t>Net loss from investment property derecognition</t>
  </si>
  <si>
    <t>Items that are or will be reclassified subsequently to profit or loss:</t>
  </si>
  <si>
    <t>Revaluation of investment securities measured at fair value through other comprehensive income transferred to profit or loss upon disposal</t>
  </si>
  <si>
    <t xml:space="preserve">Net gains from revaluation of investment securities measured at fair value through other comprehensive income </t>
  </si>
  <si>
    <t>Deferred income tax recognised in equity related to components of other comprehensive income</t>
  </si>
  <si>
    <t>Exchange differences on translation</t>
  </si>
  <si>
    <t>Items that will  not be reclassified subsequently to profit or loss:</t>
  </si>
  <si>
    <t>Result from disposal of equity securities measured through other comprehensive income</t>
  </si>
  <si>
    <t>Revaluation of premises</t>
  </si>
  <si>
    <t>Deferred income tax recognized in equity related to other comprehensive loss</t>
  </si>
  <si>
    <t>Starting from FY 2024, in order to more accurately present the structure of “Customer Deposits”, retail customer deposits attracted through savings accounts have been transferred from the line “Current accounts/demand accounts” and are reflected in the line “Term deposits”.</t>
  </si>
  <si>
    <t>Supplementary financial data for 9M 2025 IFRS Results</t>
  </si>
  <si>
    <t>Business model</t>
  </si>
  <si>
    <t/>
  </si>
  <si>
    <t>Total Assets</t>
  </si>
  <si>
    <t>Net loans</t>
  </si>
  <si>
    <t>%</t>
  </si>
  <si>
    <t>Loans-to-Deposits Ratio</t>
  </si>
  <si>
    <t>Net loans / Assets</t>
  </si>
  <si>
    <t>Customer deposits  / Liabilities &amp; Equity</t>
  </si>
  <si>
    <t>Results</t>
  </si>
  <si>
    <t>9M 2025</t>
  </si>
  <si>
    <t>1H 2025</t>
  </si>
  <si>
    <t>1Q 2025</t>
  </si>
  <si>
    <t>FY 2024</t>
  </si>
  <si>
    <t>9M 2024</t>
  </si>
  <si>
    <t>1H 2024</t>
  </si>
  <si>
    <t>1Q 2024</t>
  </si>
  <si>
    <t>FY 2023</t>
  </si>
  <si>
    <t>9M 2023</t>
  </si>
  <si>
    <t>1H 2023</t>
  </si>
  <si>
    <t>1Q 2023</t>
  </si>
  <si>
    <t>FY 2022</t>
  </si>
  <si>
    <t>9M 2022</t>
  </si>
  <si>
    <t>1H 2022</t>
  </si>
  <si>
    <t>1Q 2022</t>
  </si>
  <si>
    <t>FY 2021</t>
  </si>
  <si>
    <t>9M 2021</t>
  </si>
  <si>
    <t>1H 2021</t>
  </si>
  <si>
    <t>1Q 2021</t>
  </si>
  <si>
    <t>FY 2020</t>
  </si>
  <si>
    <t>9M 2020</t>
  </si>
  <si>
    <t>1H 2020</t>
  </si>
  <si>
    <t>1Q 2020</t>
  </si>
  <si>
    <t>FY 2019</t>
  </si>
  <si>
    <t>9M 2019</t>
  </si>
  <si>
    <t>1H 2019</t>
  </si>
  <si>
    <t>1Q 2019</t>
  </si>
  <si>
    <t>FY 2018</t>
  </si>
  <si>
    <t>9M 2018</t>
  </si>
  <si>
    <t>1H 2018</t>
  </si>
  <si>
    <t>1Q 2018</t>
  </si>
  <si>
    <t>FY 2017</t>
  </si>
  <si>
    <t>9M 2017</t>
  </si>
  <si>
    <t>1H 2017</t>
  </si>
  <si>
    <t>1Q 2017</t>
  </si>
  <si>
    <t>FY 2016</t>
  </si>
  <si>
    <t>9M 2016</t>
  </si>
  <si>
    <t>1H 2016</t>
  </si>
  <si>
    <t>1Q 2016</t>
  </si>
  <si>
    <t>FY 2015</t>
  </si>
  <si>
    <t>9M 2015</t>
  </si>
  <si>
    <t>1H 2015</t>
  </si>
  <si>
    <t>1Q 2015</t>
  </si>
  <si>
    <t>FY 2014</t>
  </si>
  <si>
    <t>9M 2014</t>
  </si>
  <si>
    <t>1H 2014</t>
  </si>
  <si>
    <t>1Q 2014</t>
  </si>
  <si>
    <t>FY 2013</t>
  </si>
  <si>
    <t>9M 2013</t>
  </si>
  <si>
    <t>1H 2013</t>
  </si>
  <si>
    <t>1Q 2013</t>
  </si>
  <si>
    <t>FY 2012</t>
  </si>
  <si>
    <t>9M 2012</t>
  </si>
  <si>
    <t>1H 2012</t>
  </si>
  <si>
    <t>1Q 2012</t>
  </si>
  <si>
    <t>FY 2011</t>
  </si>
  <si>
    <t>9M 2011</t>
  </si>
  <si>
    <t>1H 2011</t>
  </si>
  <si>
    <t>1Q 2011</t>
  </si>
  <si>
    <t>FY 2010</t>
  </si>
  <si>
    <t>9M 2010</t>
  </si>
  <si>
    <t>1H 2010</t>
  </si>
  <si>
    <t>1Q 2010</t>
  </si>
  <si>
    <t>Cumulative sum</t>
  </si>
  <si>
    <t>Revenues</t>
  </si>
  <si>
    <t>Net Interest Income</t>
  </si>
  <si>
    <t>Net Fee and Commission Income</t>
  </si>
  <si>
    <t>Profit for the period</t>
  </si>
  <si>
    <t>3Q 2025</t>
  </si>
  <si>
    <t>2Q 2025</t>
  </si>
  <si>
    <t>4Q 2024</t>
  </si>
  <si>
    <t>3Q 2024</t>
  </si>
  <si>
    <t>2Q 2024</t>
  </si>
  <si>
    <t>4Q 2023</t>
  </si>
  <si>
    <t>3Q 2023</t>
  </si>
  <si>
    <t>2Q 2023</t>
  </si>
  <si>
    <t>4Q 2022</t>
  </si>
  <si>
    <t>3Q 2022</t>
  </si>
  <si>
    <t>2Q 2021</t>
  </si>
  <si>
    <t>4Q 2021</t>
  </si>
  <si>
    <t>3Q 2021</t>
  </si>
  <si>
    <t>4Q 2020</t>
  </si>
  <si>
    <t>3Q 2020</t>
  </si>
  <si>
    <t>2Q 2020</t>
  </si>
  <si>
    <t>4Q 2019</t>
  </si>
  <si>
    <t>3Q 2019</t>
  </si>
  <si>
    <t>2Q 2019</t>
  </si>
  <si>
    <t>4Q 2018</t>
  </si>
  <si>
    <t>3Q 2018</t>
  </si>
  <si>
    <t>2Q 2018</t>
  </si>
  <si>
    <t>4Q 2017</t>
  </si>
  <si>
    <t>3Q 2017</t>
  </si>
  <si>
    <t>2Q 2017</t>
  </si>
  <si>
    <t>4Q 2016</t>
  </si>
  <si>
    <t>3Q 2016</t>
  </si>
  <si>
    <t>2Q 2016</t>
  </si>
  <si>
    <t>4Q 2015</t>
  </si>
  <si>
    <t>3Q 2015</t>
  </si>
  <si>
    <t>2Q 2015</t>
  </si>
  <si>
    <t>4Q 2014</t>
  </si>
  <si>
    <t>3Q 2014</t>
  </si>
  <si>
    <t>2Q 2014</t>
  </si>
  <si>
    <t>4Q 2013</t>
  </si>
  <si>
    <t>3Q 2013</t>
  </si>
  <si>
    <t>2Q 2013</t>
  </si>
  <si>
    <t>4Q 2012</t>
  </si>
  <si>
    <t>3Q 2012</t>
  </si>
  <si>
    <t>2Q 2012</t>
  </si>
  <si>
    <t>4Q 2011</t>
  </si>
  <si>
    <t>3Q 2011</t>
  </si>
  <si>
    <t>2Q 2011</t>
  </si>
  <si>
    <t>4Q 2010</t>
  </si>
  <si>
    <t>3Q 2010</t>
  </si>
  <si>
    <t>2Q 2010</t>
  </si>
  <si>
    <t>Quarterly</t>
  </si>
  <si>
    <t>Key performance ratios</t>
  </si>
  <si>
    <t xml:space="preserve">Cumulative </t>
  </si>
  <si>
    <t>Net Interest Margin</t>
  </si>
  <si>
    <t>Cost-to-Income Ratio</t>
  </si>
  <si>
    <t>ROAE</t>
  </si>
  <si>
    <t>Loan portfolio quality</t>
  </si>
  <si>
    <t>Problem loans/ Gross loans</t>
  </si>
  <si>
    <t>Capital (Russian Accounting Standards, Basel III)</t>
  </si>
  <si>
    <t>Tier 1 ratio (N1.2)</t>
  </si>
  <si>
    <t>Total capital ratio (N1.0)</t>
  </si>
  <si>
    <t>Other indicators</t>
  </si>
  <si>
    <t>Customer base</t>
  </si>
  <si>
    <t>Individuals, thou</t>
  </si>
  <si>
    <t>Corporates, thou</t>
  </si>
  <si>
    <t>Branches and outlets</t>
  </si>
  <si>
    <t>Number of ATMs</t>
  </si>
  <si>
    <t>Number of employees, thou</t>
  </si>
  <si>
    <t>Amount of ords, mln</t>
  </si>
  <si>
    <t>Amount of prefs, mln</t>
  </si>
  <si>
    <t>Total amount of shares, mln</t>
  </si>
  <si>
    <t>Statement of financial position - Assets</t>
  </si>
  <si>
    <t>Y-o-Y</t>
  </si>
  <si>
    <t>Assets</t>
  </si>
  <si>
    <t>Cash and cash equivalents</t>
  </si>
  <si>
    <t>Mandatory reserve deposits with the Central Bank of Russian Federation</t>
  </si>
  <si>
    <t>Trading securities, incl. securities pledged under sale and repurchase agreements and loaned</t>
  </si>
  <si>
    <t xml:space="preserve">Securities pledged under sale and repurchase agreements and loaned </t>
  </si>
  <si>
    <t>Financial instruments at fair value through profit or loss</t>
  </si>
  <si>
    <t>Amounts receivable under reverse repurchase agreements</t>
  </si>
  <si>
    <t>Derivative financial assets</t>
  </si>
  <si>
    <t>Due from banks</t>
  </si>
  <si>
    <t>Loans and advances to customers, incl.:</t>
  </si>
  <si>
    <t>Loans and advances to corporates</t>
  </si>
  <si>
    <t>Loans and advances to individuals</t>
  </si>
  <si>
    <t>Investment securities, incl. securities pledged under sale and repurchase agreements and loaned</t>
  </si>
  <si>
    <t>Investment securities held-to-maturity</t>
  </si>
  <si>
    <t>Other financial assets</t>
  </si>
  <si>
    <t>Investment property</t>
  </si>
  <si>
    <t>Premises, equipment and intangible assets</t>
  </si>
  <si>
    <t>Other assets</t>
  </si>
  <si>
    <t>Long-term assets held for sale</t>
  </si>
  <si>
    <t>Statement of financial position - Liabilities and Equity</t>
  </si>
  <si>
    <t>Liabilities</t>
  </si>
  <si>
    <t>Due to banks</t>
  </si>
  <si>
    <t>Customer accounts</t>
  </si>
  <si>
    <t>Corporate deposits</t>
  </si>
  <si>
    <t>Retail deposits</t>
  </si>
  <si>
    <t>Financial liabilities reflected at fair value</t>
  </si>
  <si>
    <t>Derivative financial liabilities</t>
  </si>
  <si>
    <t>Bonds issued</t>
  </si>
  <si>
    <t>Promissory notes and deposit certificates issued</t>
  </si>
  <si>
    <t>Other borrowed funds</t>
  </si>
  <si>
    <t>Other financial liabilities</t>
  </si>
  <si>
    <t>Other liabilities</t>
  </si>
  <si>
    <t>Total liabilities</t>
  </si>
  <si>
    <t>Equity</t>
  </si>
  <si>
    <t>Share capital</t>
  </si>
  <si>
    <t>Share premium</t>
  </si>
  <si>
    <t>Treasury shares purchased from shareholders</t>
  </si>
  <si>
    <t>Revaluation reserve for premises</t>
  </si>
  <si>
    <t>Revaluation reserve for investment securities</t>
  </si>
  <si>
    <t>Foreign currency translation reserve</t>
  </si>
  <si>
    <t>Retained earnings</t>
  </si>
  <si>
    <t>Total equity attributable to the shareholders of the Bank</t>
  </si>
  <si>
    <t>Non-controlling interests</t>
  </si>
  <si>
    <t>Total equity</t>
  </si>
  <si>
    <t>Total liabilities and equity</t>
  </si>
  <si>
    <t>Balance sheet ratios</t>
  </si>
  <si>
    <t>Assets Structure</t>
  </si>
  <si>
    <t>Cash &amp; cash equivalents</t>
  </si>
  <si>
    <t>Securities portfolio</t>
  </si>
  <si>
    <t>Loans and advances to customers</t>
  </si>
  <si>
    <t>Fixed and other assets</t>
  </si>
  <si>
    <t>Total assets</t>
  </si>
  <si>
    <t>Liabilities and Equity Structure</t>
  </si>
  <si>
    <t>Corporates</t>
  </si>
  <si>
    <t>Capital markets</t>
  </si>
  <si>
    <t>Shareholders' equity</t>
  </si>
  <si>
    <t>Loans at amortised cost</t>
  </si>
  <si>
    <t>Loans and advances to customers at a fair value</t>
  </si>
  <si>
    <t>Loan portfolio by sector (New)</t>
  </si>
  <si>
    <t>Manufacturing</t>
  </si>
  <si>
    <t>Oil and Gas</t>
  </si>
  <si>
    <t>Transport and Сommunication</t>
  </si>
  <si>
    <t>Wholesale trade</t>
  </si>
  <si>
    <t>Retail trade</t>
  </si>
  <si>
    <t>Mining industry</t>
  </si>
  <si>
    <t>Energy, water and gaz supply</t>
  </si>
  <si>
    <t>Agriculture</t>
  </si>
  <si>
    <t>Loans and advances to legal entities at amortised cost</t>
  </si>
  <si>
    <t>12-month ECL (stage 1)</t>
  </si>
  <si>
    <t>Minimum credit risk</t>
  </si>
  <si>
    <t>Low credit risk</t>
  </si>
  <si>
    <t>Medium credit risk</t>
  </si>
  <si>
    <t>High credit risk</t>
  </si>
  <si>
    <t xml:space="preserve">Default </t>
  </si>
  <si>
    <t>Gross 12-month ECL</t>
  </si>
  <si>
    <t>Net 12-month ECL</t>
  </si>
  <si>
    <t>Lifetime ECL not credit-impaired (stage 2)</t>
  </si>
  <si>
    <t>Gross lifetime ECL not credit-impaired</t>
  </si>
  <si>
    <t>Net lifetime ECL not credit-impaired</t>
  </si>
  <si>
    <t>Lifetime ECL credit-impaired (stage 3)</t>
  </si>
  <si>
    <t>Gross lifetime ECL credit-impaired</t>
  </si>
  <si>
    <t>Net lifetime ECL credit-impaired</t>
  </si>
  <si>
    <t xml:space="preserve">Loans impaired at initial recognition </t>
  </si>
  <si>
    <t xml:space="preserve">Gross loans impaired at initial recognition </t>
  </si>
  <si>
    <t xml:space="preserve">Net loans impaired at initial recognition </t>
  </si>
  <si>
    <t>Quality of loans to individuals</t>
  </si>
  <si>
    <t>Mortgage loans</t>
  </si>
  <si>
    <t>not past due</t>
  </si>
  <si>
    <t>1 to 90 days overdue</t>
  </si>
  <si>
    <t>over 90 calendar days overdue</t>
  </si>
  <si>
    <t>Gross mortgage loans</t>
  </si>
  <si>
    <t>Net mortgage loans</t>
  </si>
  <si>
    <t>Car loans</t>
  </si>
  <si>
    <t>Gross car loans</t>
  </si>
  <si>
    <t>Net car loans</t>
  </si>
  <si>
    <t>Consumer loans to VIP clients</t>
  </si>
  <si>
    <t>Gross consumer loans to VIP customers</t>
  </si>
  <si>
    <t>Net consumer loans to VIP customers</t>
  </si>
  <si>
    <t>Consumer loans</t>
  </si>
  <si>
    <t>Gross consumer loans</t>
  </si>
  <si>
    <t>Net consumer loans</t>
  </si>
  <si>
    <t>Corporate problem loans/ Corporate loans</t>
  </si>
  <si>
    <t>Retail problem loans/ Loans to individuals</t>
  </si>
  <si>
    <t>Loan portfolio by sector (old)</t>
  </si>
  <si>
    <t>Customer deposits structure</t>
  </si>
  <si>
    <t>State and public organisations</t>
  </si>
  <si>
    <t>Current/settlement accounts</t>
  </si>
  <si>
    <t>Term deposits</t>
  </si>
  <si>
    <t>Other legal entities</t>
  </si>
  <si>
    <t>Sale and repurchase agreements</t>
  </si>
  <si>
    <t>Current accounts/demand deposits</t>
  </si>
  <si>
    <t>Total customer accounts</t>
  </si>
  <si>
    <t>Total customer deposits</t>
  </si>
  <si>
    <t>% of Total customer deposits</t>
  </si>
  <si>
    <t>Current and settlement accounts</t>
  </si>
  <si>
    <t>Customer accounts by sector</t>
  </si>
  <si>
    <t>Financial services</t>
  </si>
  <si>
    <t>Art, science and education</t>
  </si>
  <si>
    <t>Public utilities</t>
  </si>
  <si>
    <t>Medical institutions</t>
  </si>
  <si>
    <t>Communications</t>
  </si>
  <si>
    <t>Capital (in accordance with Basel I)</t>
  </si>
  <si>
    <t>Tier 1</t>
  </si>
  <si>
    <t>Paid-in share capital</t>
  </si>
  <si>
    <t>Reserves and profit</t>
  </si>
  <si>
    <t>Non-controlling interest</t>
  </si>
  <si>
    <t>Goodwill</t>
  </si>
  <si>
    <t>Total Tier 1</t>
  </si>
  <si>
    <t>Tier 2</t>
  </si>
  <si>
    <t>Revaluation reserve for premises and equipment</t>
  </si>
  <si>
    <t>Subordinated loans</t>
  </si>
  <si>
    <t>Total Tier 2</t>
  </si>
  <si>
    <t>Total capital</t>
  </si>
  <si>
    <t>Risk weighted assets</t>
  </si>
  <si>
    <t>Risk weighted banking assets</t>
  </si>
  <si>
    <t>Risk weighted trading assets</t>
  </si>
  <si>
    <t>Risk weighted unrecognized commitments</t>
  </si>
  <si>
    <t>Total risk weighted assets</t>
  </si>
  <si>
    <t>Total Capital Adequacy Ratio</t>
  </si>
  <si>
    <t>Tier 1 Capital Adequacy Ratio</t>
  </si>
  <si>
    <t>Capital (Basel III, Russian Accounting Standards)</t>
  </si>
  <si>
    <t>Сore Tier 1 ratio (N1.1)</t>
  </si>
  <si>
    <t>Statement of comprehensive income - Cumulative</t>
  </si>
  <si>
    <t>Interest income</t>
  </si>
  <si>
    <t>Interest expense</t>
  </si>
  <si>
    <t>Contributions to Deposit Insurance System</t>
  </si>
  <si>
    <t>Net interest income</t>
  </si>
  <si>
    <t>Provision for loan impairment</t>
  </si>
  <si>
    <t>incl.  Provisions for customers' loans</t>
  </si>
  <si>
    <t>Net interest income after provision for loan impairment</t>
  </si>
  <si>
    <t>Fee and commission income</t>
  </si>
  <si>
    <t>Fee and commission expense</t>
  </si>
  <si>
    <t>Gains from revaluation of loans measured at fair value</t>
  </si>
  <si>
    <t>Net result on recognition/early redemption of assets granted at non market rates</t>
  </si>
  <si>
    <t xml:space="preserve">Net gains from derecognition of financial instruments at amortized value </t>
  </si>
  <si>
    <t>Operating income</t>
  </si>
  <si>
    <t>Administrative and other operating expenses</t>
  </si>
  <si>
    <t>Staff costs</t>
  </si>
  <si>
    <t>Other administrative and operating expenses</t>
  </si>
  <si>
    <t>Profit before tax</t>
  </si>
  <si>
    <t>Income tax expense</t>
  </si>
  <si>
    <t>Net profit attributable to:</t>
  </si>
  <si>
    <t>Shareholders</t>
  </si>
  <si>
    <t>Other comprehensive income (loss)</t>
  </si>
  <si>
    <t>Comprehensive income attributable to:</t>
  </si>
  <si>
    <t>Comprehensive income (loss) for the period</t>
  </si>
  <si>
    <t>Statement of comprehensive income - Quarterly</t>
  </si>
  <si>
    <t>3Q 2025/ 2Q 2025</t>
  </si>
  <si>
    <t>3Q 2025/ 3Q 2024</t>
  </si>
  <si>
    <t>2Q 2022</t>
  </si>
  <si>
    <t>Other comprehensive income</t>
  </si>
  <si>
    <t>Comprehensive income for the period</t>
  </si>
  <si>
    <t>Cumulative</t>
  </si>
  <si>
    <t>Net Trading Income (adjusted)</t>
  </si>
  <si>
    <t>Revenues (adjusted)</t>
  </si>
  <si>
    <t>Operating Expenses</t>
  </si>
  <si>
    <t>Provisions (adjusted)</t>
  </si>
  <si>
    <t>ROAA</t>
  </si>
  <si>
    <t>Cost of Risk</t>
  </si>
  <si>
    <t>Interest income and expense - Cumulative</t>
  </si>
  <si>
    <t>incl, Loans and advances to customers at fair value through profit and loss</t>
  </si>
  <si>
    <t>Debt investment securities measured at amortised cost</t>
  </si>
  <si>
    <t>Due from banks and correspondent accounts</t>
  </si>
  <si>
    <t>Trading securities</t>
  </si>
  <si>
    <t xml:space="preserve">Securities at fair value through other comprehensive income </t>
  </si>
  <si>
    <t>Total interest income</t>
  </si>
  <si>
    <t>Term deposits of legal entities</t>
  </si>
  <si>
    <t>Term deposits of individuals</t>
  </si>
  <si>
    <t>Total interest expense</t>
  </si>
  <si>
    <t>Interest income and expense - Quarterly</t>
  </si>
  <si>
    <t>Fee and Commission income and expense - Cumulative</t>
  </si>
  <si>
    <t>Settlement transactions</t>
  </si>
  <si>
    <t>Banking cards</t>
  </si>
  <si>
    <t>Guarantees and letters of credit issued</t>
  </si>
  <si>
    <t>Agency services for insurance contracts</t>
  </si>
  <si>
    <t>Cash transactions</t>
  </si>
  <si>
    <t xml:space="preserve">Trust management of property </t>
  </si>
  <si>
    <t>Cash collections</t>
  </si>
  <si>
    <t>Custody operations</t>
  </si>
  <si>
    <t>Foreign exchange transactions</t>
  </si>
  <si>
    <t>Total fee and commission income</t>
  </si>
  <si>
    <t>Loyalty programs</t>
  </si>
  <si>
    <t>Securities</t>
  </si>
  <si>
    <t>Banknote transactions</t>
  </si>
  <si>
    <t>Total fee and commission expense</t>
  </si>
  <si>
    <t>Net fee and commission income</t>
  </si>
  <si>
    <t>Fee and Commission income and expense - 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</si>
</sst>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-* #,##0\ _р_._-;\-* #,##0\ _р_._-;_-* &quot;-&quot;\ _р_._-;_-@_-"/>
    <numFmt numFmtId="167" formatCode="_-* #,##0.00\ _р_._-;\-* #,##0.00\ _р_._-;_-* &quot;-&quot;??\ _р_._-;_-@_-"/>
    <numFmt numFmtId="168" formatCode="###,###,###,###,##0;\(###,###,###,###,##0\)"/>
    <numFmt numFmtId="169" formatCode="#,##0.000"/>
    <numFmt numFmtId="170" formatCode="#,##0.0"/>
    <numFmt numFmtId="171" formatCode="0.00000%"/>
    <numFmt numFmtId="172" formatCode="_-* #,##0\ _₽_-;\-* #,##0\ _₽_-;_-* &quot;-&quot;??\ _₽_-;_-@_-"/>
    <numFmt numFmtId="173" formatCode="###,###,###,###,##0.0;\(###,###,###,###,##0.0\)"/>
    <numFmt numFmtId="174" formatCode="0.00000"/>
    <numFmt numFmtId="175" formatCode="0.0000%"/>
    <numFmt numFmtId="176" formatCode="###,###,###,###,##0.000;\(###,###,###,###,##0.000\)"/>
    <numFmt numFmtId="177" formatCode="_-* #,##0.0000\ _₽_-;\-* #,##0.0000\ _₽_-;_-* &quot;-&quot;??\ _₽_-;_-@_-"/>
    <numFmt numFmtId="178" formatCode="_-* #,##0.00000\ _₽_-;\-* #,##0.00000\ _₽_-;_-* &quot;-&quot;??\ _₽_-;_-@_-"/>
    <numFmt numFmtId="179" formatCode="_-* #,##0.00000000000000\ _₽_-;\-* #,##0.00000000000000\ _₽_-;_-* &quot;-&quot;??\ _₽_-;_-@_-"/>
    <numFmt numFmtId="180" formatCode="0.0"/>
  </numFmts>
  <fonts count="5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8"/>
      <color rgb="FFC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i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i/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i/>
      <sz val="1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rgb="FF6DD9FF"/>
        </stop>
      </gradientFill>
    </fill>
    <fill>
      <patternFill patternType="solid">
        <fgColor rgb="FFE7FFFF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40"/>
      </top>
      <bottom style="thin">
        <color indexed="40"/>
      </bottom>
      <diagonal/>
    </border>
    <border>
      <left style="thin">
        <color indexed="44"/>
      </left>
      <right style="thin">
        <color indexed="44"/>
      </right>
      <top/>
      <bottom style="double">
        <color indexed="44"/>
      </bottom>
      <diagonal/>
    </border>
    <border>
      <left/>
      <right/>
      <top style="thin">
        <color indexed="38"/>
      </top>
      <bottom/>
      <diagonal/>
    </border>
    <border>
      <left/>
      <right/>
      <top/>
      <bottom style="thin">
        <color indexed="38"/>
      </bottom>
      <diagonal/>
    </border>
    <border>
      <left/>
      <right/>
      <top/>
      <bottom style="thin">
        <color indexed="40"/>
      </bottom>
      <diagonal/>
    </border>
    <border>
      <left style="thin">
        <color indexed="40"/>
      </left>
      <right style="thin">
        <color indexed="40"/>
      </right>
      <top/>
      <bottom/>
      <diagonal/>
    </border>
    <border>
      <left style="thin">
        <color indexed="40"/>
      </left>
      <right style="thin">
        <color indexed="40"/>
      </right>
      <top/>
      <bottom style="thin">
        <color indexed="40"/>
      </bottom>
      <diagonal/>
    </border>
    <border>
      <left/>
      <right style="thin">
        <color indexed="40"/>
      </right>
      <top/>
      <bottom/>
      <diagonal/>
    </border>
    <border>
      <left style="thin">
        <color indexed="40"/>
      </left>
      <right/>
      <top/>
      <bottom/>
      <diagonal/>
    </border>
    <border>
      <left/>
      <right/>
      <top style="thin">
        <color rgb="FF33CAFF"/>
      </top>
      <bottom style="thin">
        <color rgb="FF33CAFF"/>
      </bottom>
      <diagonal/>
    </border>
    <border>
      <left style="thin">
        <color rgb="FF6DD9FF"/>
      </left>
      <right style="thin">
        <color rgb="FF6DD9FF"/>
      </right>
      <top/>
      <bottom style="double">
        <color rgb="FF6DD9FF"/>
      </bottom>
      <diagonal/>
    </border>
    <border>
      <left style="thin">
        <color rgb="FF6DD9FF"/>
      </left>
      <right/>
      <top/>
      <bottom/>
      <diagonal/>
    </border>
    <border>
      <left style="thin">
        <color indexed="40"/>
      </left>
      <right/>
      <top/>
      <bottom style="thin">
        <color indexed="40"/>
      </bottom>
      <diagonal/>
    </border>
    <border>
      <left/>
      <right style="thin">
        <color indexed="40"/>
      </right>
      <top/>
      <bottom style="thin">
        <color indexed="40"/>
      </bottom>
      <diagonal/>
    </border>
    <border>
      <left style="thin">
        <color rgb="FF6DD9FF"/>
      </left>
      <right style="thin">
        <color indexed="40"/>
      </right>
      <top/>
      <bottom/>
      <diagonal/>
    </border>
    <border>
      <left style="thin">
        <color indexed="40"/>
      </left>
      <right style="thin">
        <color rgb="FF6DD9FF"/>
      </right>
      <top/>
      <bottom/>
      <diagonal/>
    </border>
    <border>
      <left style="thin">
        <color rgb="FF6DD9FF"/>
      </left>
      <right style="thin">
        <color indexed="40"/>
      </right>
      <top/>
      <bottom style="thin">
        <color indexed="40"/>
      </bottom>
      <diagonal/>
    </border>
    <border>
      <left style="thin">
        <color indexed="40"/>
      </left>
      <right style="thin">
        <color rgb="FF6DD9FF"/>
      </right>
      <top/>
      <bottom style="thin">
        <color indexed="40"/>
      </bottom>
      <diagonal/>
    </border>
    <border>
      <left/>
      <right style="thin">
        <color rgb="FF6DD9FF"/>
      </right>
      <top/>
      <bottom/>
      <diagonal/>
    </border>
    <border>
      <left style="thin">
        <color rgb="FF6DD9FF"/>
      </left>
      <right/>
      <top/>
      <bottom style="thin">
        <color indexed="40"/>
      </bottom>
      <diagonal/>
    </border>
    <border>
      <left/>
      <right style="thin">
        <color rgb="FF6DD9FF"/>
      </right>
      <top/>
      <bottom style="thin">
        <color indexed="40"/>
      </bottom>
      <diagonal/>
    </border>
    <border>
      <left/>
      <right style="thin">
        <color indexed="44"/>
      </right>
      <top/>
      <bottom style="double">
        <color indexed="44"/>
      </bottom>
      <diagonal/>
    </border>
    <border>
      <left style="thin">
        <color indexed="44"/>
      </left>
      <right/>
      <top/>
      <bottom style="double">
        <color indexed="44"/>
      </bottom>
      <diagonal/>
    </border>
    <border>
      <left/>
      <right style="thin">
        <color rgb="FF99CCFF"/>
      </right>
      <top/>
      <bottom style="double">
        <color rgb="FF99CCFF"/>
      </bottom>
      <diagonal/>
    </border>
    <border>
      <left/>
      <right style="thin">
        <color indexed="44"/>
      </right>
      <top/>
      <bottom style="double">
        <color rgb="FF99CCFF"/>
      </bottom>
      <diagonal/>
    </border>
    <border>
      <left style="thin">
        <color indexed="44"/>
      </left>
      <right style="thin">
        <color indexed="44"/>
      </right>
      <top/>
      <bottom style="double">
        <color rgb="FF99CCFF"/>
      </bottom>
      <diagonal/>
    </border>
    <border>
      <left style="thin">
        <color rgb="FF99CCFF"/>
      </left>
      <right style="thin">
        <color rgb="FF99CCFF"/>
      </right>
      <top/>
      <bottom style="double">
        <color rgb="FF99CCFF"/>
      </bottom>
      <diagonal/>
    </border>
    <border>
      <left style="thin">
        <color indexed="40"/>
      </left>
      <right/>
      <top style="thin">
        <color indexed="40"/>
      </top>
      <bottom/>
      <diagonal/>
    </border>
    <border>
      <left/>
      <right style="thin">
        <color indexed="40"/>
      </right>
      <top style="thin">
        <color indexed="40"/>
      </top>
      <bottom/>
      <diagonal/>
    </border>
    <border>
      <left/>
      <right/>
      <top/>
      <bottom style="thin">
        <color rgb="FF008080"/>
      </bottom>
      <diagonal/>
    </border>
    <border>
      <left style="thin">
        <color rgb="FF6DD9FF"/>
      </left>
      <right/>
      <top style="thin">
        <color rgb="FF008080"/>
      </top>
      <bottom/>
      <diagonal/>
    </border>
    <border>
      <left/>
      <right/>
      <top style="thin">
        <color rgb="FF008080"/>
      </top>
      <bottom/>
      <diagonal/>
    </border>
    <border>
      <left style="thin">
        <color rgb="FF6DD9FF"/>
      </left>
      <right/>
      <top/>
      <bottom style="thin">
        <color rgb="FF008080"/>
      </bottom>
      <diagonal/>
    </border>
    <border>
      <left/>
      <right style="thin">
        <color rgb="FF6DD9FF"/>
      </right>
      <top style="thin">
        <color indexed="40"/>
      </top>
      <bottom/>
      <diagonal/>
    </border>
    <border>
      <left/>
      <right/>
      <top style="thin">
        <color rgb="FF6ED9FF"/>
      </top>
      <bottom/>
      <diagonal/>
    </border>
    <border>
      <left style="thin">
        <color indexed="40"/>
      </left>
      <right style="thin">
        <color indexed="40"/>
      </right>
      <top/>
      <bottom style="thin">
        <color rgb="FF6ED9FF"/>
      </bottom>
      <diagonal/>
    </border>
    <border>
      <left/>
      <right/>
      <top style="thin">
        <color indexed="40"/>
      </top>
      <bottom/>
      <diagonal/>
    </border>
    <border>
      <left style="thin">
        <color rgb="FF6DD9FF"/>
      </left>
      <right/>
      <top style="thin">
        <color indexed="40"/>
      </top>
      <bottom/>
      <diagonal/>
    </border>
  </borders>
  <cellStyleXfs count="38">
    <xf numFmtId="0" fontId="0" fillId="0" borderId="0"/>
    <xf numFmtId="0" fontId="6" fillId="0" borderId="0">
      <alignment vertical="center"/>
    </xf>
    <xf numFmtId="0" fontId="8" fillId="0" borderId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8" fontId="23" fillId="4" borderId="0"/>
    <xf numFmtId="0" fontId="6" fillId="0" borderId="0">
      <alignment vertical="center"/>
    </xf>
    <xf numFmtId="0" fontId="8" fillId="0" borderId="0"/>
    <xf numFmtId="0" fontId="8" fillId="0" borderId="0"/>
    <xf numFmtId="0" fontId="12" fillId="0" borderId="0"/>
    <xf numFmtId="0" fontId="7" fillId="0" borderId="0">
      <alignment vertical="top"/>
    </xf>
    <xf numFmtId="0" fontId="24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4" borderId="10">
      <alignment horizontal="left" wrapText="1"/>
    </xf>
    <xf numFmtId="0" fontId="23" fillId="5" borderId="11">
      <alignment horizontal="center" vertical="center" wrapText="1"/>
    </xf>
    <xf numFmtId="0" fontId="23" fillId="4" borderId="11">
      <alignment horizontal="center" vertical="center" wrapText="1"/>
    </xf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1" fillId="5" borderId="6" applyBorder="0">
      <alignment horizontal="center" vertical="center"/>
    </xf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</cellStyleXfs>
  <cellXfs count="468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22" fillId="2" borderId="0" xfId="3" applyFill="1"/>
    <xf numFmtId="0" fontId="4" fillId="2" borderId="2" xfId="3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4" fontId="4" fillId="2" borderId="0" xfId="0" applyNumberFormat="1" applyFont="1" applyFill="1"/>
    <xf numFmtId="10" fontId="4" fillId="2" borderId="0" xfId="0" applyNumberFormat="1" applyFont="1" applyFill="1"/>
    <xf numFmtId="3" fontId="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165" fontId="4" fillId="2" borderId="0" xfId="0" applyNumberFormat="1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3" fontId="5" fillId="2" borderId="0" xfId="0" applyNumberFormat="1" applyFont="1" applyFill="1"/>
    <xf numFmtId="3" fontId="1" fillId="2" borderId="0" xfId="0" applyNumberFormat="1" applyFont="1" applyFill="1"/>
    <xf numFmtId="168" fontId="4" fillId="2" borderId="0" xfId="0" applyNumberFormat="1" applyFont="1" applyFill="1"/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68" fontId="0" fillId="2" borderId="0" xfId="0" applyNumberFormat="1" applyFill="1"/>
    <xf numFmtId="0" fontId="5" fillId="2" borderId="0" xfId="0" applyFont="1" applyFill="1" applyAlignment="1">
      <alignment horizontal="left" wrapText="1"/>
    </xf>
    <xf numFmtId="3" fontId="0" fillId="2" borderId="0" xfId="0" applyNumberFormat="1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68" fontId="4" fillId="2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vertical="center"/>
    </xf>
    <xf numFmtId="10" fontId="0" fillId="2" borderId="0" xfId="0" applyNumberFormat="1" applyFill="1"/>
    <xf numFmtId="10" fontId="5" fillId="2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3" fontId="15" fillId="2" borderId="0" xfId="0" applyNumberFormat="1" applyFont="1" applyFill="1"/>
    <xf numFmtId="168" fontId="15" fillId="2" borderId="0" xfId="0" applyNumberFormat="1" applyFont="1" applyFill="1"/>
    <xf numFmtId="0" fontId="0" fillId="2" borderId="0" xfId="0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/>
    <xf numFmtId="3" fontId="4" fillId="2" borderId="0" xfId="0" applyNumberFormat="1" applyFont="1" applyFill="1" applyBorder="1"/>
    <xf numFmtId="3" fontId="5" fillId="2" borderId="0" xfId="0" applyNumberFormat="1" applyFont="1" applyFill="1" applyBorder="1"/>
    <xf numFmtId="0" fontId="18" fillId="2" borderId="2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165" fontId="4" fillId="2" borderId="3" xfId="0" applyNumberFormat="1" applyFont="1" applyFill="1" applyBorder="1"/>
    <xf numFmtId="165" fontId="4" fillId="2" borderId="4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0" fontId="1" fillId="2" borderId="0" xfId="0" applyFont="1" applyFill="1" applyAlignment="1">
      <alignment wrapText="1"/>
    </xf>
    <xf numFmtId="3" fontId="23" fillId="2" borderId="0" xfId="0" applyNumberFormat="1" applyFont="1" applyFill="1"/>
    <xf numFmtId="0" fontId="9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10" fontId="5" fillId="2" borderId="0" xfId="0" applyNumberFormat="1" applyFont="1" applyFill="1" applyBorder="1"/>
    <xf numFmtId="0" fontId="28" fillId="2" borderId="2" xfId="3" applyFont="1" applyFill="1" applyBorder="1" applyAlignment="1">
      <alignment horizontal="center" vertical="center" wrapText="1"/>
    </xf>
    <xf numFmtId="0" fontId="0" fillId="4" borderId="0" xfId="0" applyFill="1"/>
    <xf numFmtId="0" fontId="23" fillId="2" borderId="0" xfId="0" applyFont="1" applyFill="1"/>
    <xf numFmtId="0" fontId="30" fillId="5" borderId="2" xfId="35" applyFont="1" applyBorder="1" applyAlignment="1">
      <alignment horizontal="center" vertical="center" wrapText="1"/>
    </xf>
    <xf numFmtId="168" fontId="23" fillId="4" borderId="0" xfId="11" applyNumberFormat="1"/>
    <xf numFmtId="168" fontId="5" fillId="2" borderId="0" xfId="0" applyNumberFormat="1" applyFont="1" applyFill="1" applyAlignment="1">
      <alignment wrapText="1"/>
    </xf>
    <xf numFmtId="168" fontId="5" fillId="2" borderId="0" xfId="0" applyNumberFormat="1" applyFont="1" applyFill="1"/>
    <xf numFmtId="168" fontId="1" fillId="2" borderId="0" xfId="0" applyNumberFormat="1" applyFont="1" applyFill="1"/>
    <xf numFmtId="168" fontId="4" fillId="2" borderId="0" xfId="0" applyNumberFormat="1" applyFont="1" applyFill="1" applyAlignment="1">
      <alignment horizontal="right" wrapText="1"/>
    </xf>
    <xf numFmtId="168" fontId="4" fillId="2" borderId="0" xfId="0" applyNumberFormat="1" applyFont="1" applyFill="1" applyAlignment="1">
      <alignment horizontal="left" vertical="center"/>
    </xf>
    <xf numFmtId="168" fontId="9" fillId="2" borderId="0" xfId="0" applyNumberFormat="1" applyFont="1" applyFill="1" applyAlignment="1">
      <alignment horizontal="right" vertical="center"/>
    </xf>
    <xf numFmtId="168" fontId="23" fillId="2" borderId="0" xfId="0" applyNumberFormat="1" applyFont="1" applyFill="1"/>
    <xf numFmtId="10" fontId="23" fillId="2" borderId="0" xfId="0" applyNumberFormat="1" applyFont="1" applyFill="1"/>
    <xf numFmtId="0" fontId="29" fillId="2" borderId="0" xfId="0" applyFont="1" applyFill="1"/>
    <xf numFmtId="0" fontId="33" fillId="2" borderId="0" xfId="0" applyFont="1" applyFill="1"/>
    <xf numFmtId="0" fontId="23" fillId="2" borderId="0" xfId="0" applyFont="1" applyFill="1" applyAlignment="1">
      <alignment horizontal="left"/>
    </xf>
    <xf numFmtId="0" fontId="32" fillId="2" borderId="0" xfId="0" applyFont="1" applyFill="1"/>
    <xf numFmtId="3" fontId="33" fillId="2" borderId="0" xfId="0" applyNumberFormat="1" applyFont="1" applyFill="1"/>
    <xf numFmtId="3" fontId="23" fillId="4" borderId="0" xfId="0" applyNumberFormat="1" applyFont="1" applyFill="1"/>
    <xf numFmtId="3" fontId="4" fillId="4" borderId="0" xfId="0" applyNumberFormat="1" applyFont="1" applyFill="1" applyBorder="1"/>
    <xf numFmtId="165" fontId="0" fillId="2" borderId="0" xfId="0" applyNumberFormat="1" applyFill="1"/>
    <xf numFmtId="0" fontId="27" fillId="2" borderId="0" xfId="0" applyFont="1" applyFill="1"/>
    <xf numFmtId="14" fontId="31" fillId="4" borderId="0" xfId="0" applyNumberFormat="1" applyFont="1" applyFill="1" applyBorder="1" applyAlignment="1">
      <alignment horizontal="center" wrapText="1"/>
    </xf>
    <xf numFmtId="0" fontId="31" fillId="4" borderId="0" xfId="0" applyFont="1" applyFill="1"/>
    <xf numFmtId="168" fontId="4" fillId="2" borderId="0" xfId="0" applyNumberFormat="1" applyFont="1" applyFill="1" applyBorder="1"/>
    <xf numFmtId="168" fontId="4" fillId="2" borderId="0" xfId="0" applyNumberFormat="1" applyFont="1" applyFill="1" applyAlignment="1">
      <alignment horizontal="right"/>
    </xf>
    <xf numFmtId="168" fontId="4" fillId="2" borderId="0" xfId="0" applyNumberFormat="1" applyFont="1" applyFill="1" applyBorder="1" applyAlignment="1">
      <alignment horizontal="right"/>
    </xf>
    <xf numFmtId="10" fontId="9" fillId="2" borderId="0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34" fillId="2" borderId="12" xfId="0" applyFont="1" applyFill="1" applyBorder="1" applyAlignment="1">
      <alignment horizontal="left"/>
    </xf>
    <xf numFmtId="0" fontId="34" fillId="2" borderId="19" xfId="0" applyFont="1" applyFill="1" applyBorder="1" applyAlignment="1">
      <alignment horizontal="left"/>
    </xf>
    <xf numFmtId="10" fontId="9" fillId="2" borderId="12" xfId="0" applyNumberFormat="1" applyFont="1" applyFill="1" applyBorder="1" applyAlignment="1">
      <alignment horizontal="center"/>
    </xf>
    <xf numFmtId="10" fontId="9" fillId="2" borderId="19" xfId="0" applyNumberFormat="1" applyFont="1" applyFill="1" applyBorder="1" applyAlignment="1">
      <alignment horizontal="center"/>
    </xf>
    <xf numFmtId="10" fontId="34" fillId="2" borderId="12" xfId="0" applyNumberFormat="1" applyFont="1" applyFill="1" applyBorder="1" applyAlignment="1">
      <alignment horizontal="center"/>
    </xf>
    <xf numFmtId="10" fontId="34" fillId="2" borderId="19" xfId="0" applyNumberFormat="1" applyFont="1" applyFill="1" applyBorder="1" applyAlignment="1">
      <alignment horizontal="center"/>
    </xf>
    <xf numFmtId="0" fontId="0" fillId="2" borderId="12" xfId="0" applyFill="1" applyBorder="1"/>
    <xf numFmtId="0" fontId="0" fillId="2" borderId="19" xfId="0" applyFill="1" applyBorder="1"/>
    <xf numFmtId="0" fontId="4" fillId="2" borderId="12" xfId="0" applyFont="1" applyFill="1" applyBorder="1"/>
    <xf numFmtId="0" fontId="4" fillId="2" borderId="19" xfId="0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3" fontId="1" fillId="2" borderId="12" xfId="0" applyNumberFormat="1" applyFont="1" applyFill="1" applyBorder="1"/>
    <xf numFmtId="3" fontId="1" fillId="2" borderId="19" xfId="0" applyNumberFormat="1" applyFont="1" applyFill="1" applyBorder="1"/>
    <xf numFmtId="0" fontId="1" fillId="2" borderId="12" xfId="0" applyFont="1" applyFill="1" applyBorder="1"/>
    <xf numFmtId="0" fontId="1" fillId="2" borderId="19" xfId="0" applyFont="1" applyFill="1" applyBorder="1"/>
    <xf numFmtId="165" fontId="9" fillId="2" borderId="12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0" fontId="26" fillId="2" borderId="25" xfId="0" applyFont="1" applyFill="1" applyBorder="1" applyAlignment="1">
      <alignment horizontal="center" vertical="center"/>
    </xf>
    <xf numFmtId="0" fontId="4" fillId="0" borderId="26" xfId="3" applyFont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>
      <alignment horizontal="center" vertical="center" wrapText="1"/>
    </xf>
    <xf numFmtId="0" fontId="18" fillId="2" borderId="26" xfId="3" applyFont="1" applyFill="1" applyBorder="1" applyAlignment="1">
      <alignment horizontal="center" vertical="center" wrapText="1"/>
    </xf>
    <xf numFmtId="0" fontId="23" fillId="4" borderId="26" xfId="30" applyBorder="1">
      <alignment horizontal="center" vertical="center" wrapText="1"/>
    </xf>
    <xf numFmtId="0" fontId="28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30" fillId="5" borderId="27" xfId="35" applyFont="1" applyBorder="1" applyAlignment="1">
      <alignment horizontal="center" vertical="center" wrapText="1"/>
    </xf>
    <xf numFmtId="0" fontId="23" fillId="4" borderId="27" xfId="30" applyBorder="1">
      <alignment horizontal="center" vertical="center" wrapText="1"/>
    </xf>
    <xf numFmtId="0" fontId="28" fillId="2" borderId="27" xfId="3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5" fillId="5" borderId="2" xfId="29" applyFont="1" applyBorder="1">
      <alignment horizontal="center" vertical="center" wrapText="1"/>
    </xf>
    <xf numFmtId="0" fontId="23" fillId="4" borderId="2" xfId="30" applyBorder="1">
      <alignment horizontal="center" vertical="center" wrapText="1"/>
    </xf>
    <xf numFmtId="0" fontId="0" fillId="2" borderId="23" xfId="0" applyFill="1" applyBorder="1"/>
    <xf numFmtId="0" fontId="26" fillId="2" borderId="22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/>
    </xf>
    <xf numFmtId="10" fontId="34" fillId="2" borderId="0" xfId="0" applyNumberFormat="1" applyFont="1" applyFill="1" applyBorder="1" applyAlignment="1">
      <alignment horizontal="center"/>
    </xf>
    <xf numFmtId="3" fontId="33" fillId="4" borderId="0" xfId="0" applyNumberFormat="1" applyFont="1" applyFill="1"/>
    <xf numFmtId="3" fontId="4" fillId="4" borderId="0" xfId="0" applyNumberFormat="1" applyFont="1" applyFill="1"/>
    <xf numFmtId="169" fontId="0" fillId="2" borderId="0" xfId="0" applyNumberFormat="1" applyFill="1"/>
    <xf numFmtId="165" fontId="4" fillId="4" borderId="0" xfId="0" applyNumberFormat="1" applyFont="1" applyFill="1"/>
    <xf numFmtId="1" fontId="0" fillId="2" borderId="0" xfId="0" applyNumberFormat="1" applyFill="1"/>
    <xf numFmtId="0" fontId="23" fillId="2" borderId="0" xfId="0" applyFont="1" applyFill="1" applyAlignment="1">
      <alignment horizontal="right"/>
    </xf>
    <xf numFmtId="3" fontId="4" fillId="2" borderId="0" xfId="0" applyNumberFormat="1" applyFont="1" applyFill="1" applyBorder="1" applyAlignment="1"/>
    <xf numFmtId="0" fontId="33" fillId="2" borderId="0" xfId="0" applyFont="1" applyFill="1" applyAlignment="1">
      <alignment horizontal="left"/>
    </xf>
    <xf numFmtId="165" fontId="23" fillId="2" borderId="0" xfId="0" applyNumberFormat="1" applyFont="1" applyFill="1"/>
    <xf numFmtId="0" fontId="0" fillId="2" borderId="28" xfId="0" applyFill="1" applyBorder="1"/>
    <xf numFmtId="0" fontId="0" fillId="2" borderId="29" xfId="0" applyFill="1" applyBorder="1"/>
    <xf numFmtId="0" fontId="35" fillId="2" borderId="0" xfId="0" applyFont="1" applyFill="1"/>
    <xf numFmtId="0" fontId="23" fillId="4" borderId="0" xfId="0" applyFont="1" applyFill="1"/>
    <xf numFmtId="10" fontId="4" fillId="4" borderId="0" xfId="0" applyNumberFormat="1" applyFont="1" applyFill="1"/>
    <xf numFmtId="10" fontId="18" fillId="4" borderId="0" xfId="0" applyNumberFormat="1" applyFont="1" applyFill="1"/>
    <xf numFmtId="168" fontId="9" fillId="2" borderId="0" xfId="0" applyNumberFormat="1" applyFont="1" applyFill="1" applyBorder="1" applyAlignment="1">
      <alignment horizontal="center"/>
    </xf>
    <xf numFmtId="170" fontId="0" fillId="2" borderId="0" xfId="0" applyNumberFormat="1" applyFill="1"/>
    <xf numFmtId="0" fontId="4" fillId="4" borderId="19" xfId="0" applyFont="1" applyFill="1" applyBorder="1"/>
    <xf numFmtId="0" fontId="9" fillId="2" borderId="29" xfId="0" applyFont="1" applyFill="1" applyBorder="1" applyAlignment="1">
      <alignment horizontal="right" vertical="center"/>
    </xf>
    <xf numFmtId="3" fontId="34" fillId="2" borderId="0" xfId="0" applyNumberFormat="1" applyFont="1" applyFill="1" applyBorder="1" applyAlignment="1">
      <alignment horizontal="center"/>
    </xf>
    <xf numFmtId="165" fontId="9" fillId="2" borderId="0" xfId="0" applyNumberFormat="1" applyFont="1" applyFill="1" applyBorder="1" applyAlignment="1">
      <alignment horizontal="center"/>
    </xf>
    <xf numFmtId="169" fontId="9" fillId="2" borderId="0" xfId="0" applyNumberFormat="1" applyFont="1" applyFill="1" applyBorder="1" applyAlignment="1">
      <alignment horizontal="center"/>
    </xf>
    <xf numFmtId="168" fontId="4" fillId="4" borderId="0" xfId="0" applyNumberFormat="1" applyFont="1" applyFill="1" applyAlignment="1">
      <alignment wrapText="1"/>
    </xf>
    <xf numFmtId="168" fontId="4" fillId="4" borderId="0" xfId="0" applyNumberFormat="1" applyFont="1" applyFill="1"/>
    <xf numFmtId="3" fontId="34" fillId="2" borderId="0" xfId="0" applyNumberFormat="1" applyFont="1" applyFill="1" applyBorder="1" applyAlignment="1">
      <alignment horizontal="left"/>
    </xf>
    <xf numFmtId="168" fontId="0" fillId="4" borderId="0" xfId="0" applyNumberFormat="1" applyFill="1"/>
    <xf numFmtId="10" fontId="9" fillId="4" borderId="12" xfId="0" applyNumberFormat="1" applyFont="1" applyFill="1" applyBorder="1" applyAlignment="1">
      <alignment horizontal="center"/>
    </xf>
    <xf numFmtId="10" fontId="9" fillId="4" borderId="19" xfId="0" applyNumberFormat="1" applyFont="1" applyFill="1" applyBorder="1" applyAlignment="1">
      <alignment horizontal="center"/>
    </xf>
    <xf numFmtId="165" fontId="9" fillId="4" borderId="0" xfId="0" applyNumberFormat="1" applyFont="1" applyFill="1" applyBorder="1" applyAlignment="1">
      <alignment horizontal="center"/>
    </xf>
    <xf numFmtId="3" fontId="5" fillId="4" borderId="0" xfId="0" applyNumberFormat="1" applyFont="1" applyFill="1"/>
    <xf numFmtId="3" fontId="9" fillId="2" borderId="0" xfId="0" applyNumberFormat="1" applyFont="1" applyFill="1" applyBorder="1" applyAlignment="1">
      <alignment horizontal="center"/>
    </xf>
    <xf numFmtId="10" fontId="36" fillId="2" borderId="9" xfId="0" applyNumberFormat="1" applyFont="1" applyFill="1" applyBorder="1" applyAlignment="1">
      <alignment horizontal="center"/>
    </xf>
    <xf numFmtId="10" fontId="36" fillId="2" borderId="8" xfId="0" applyNumberFormat="1" applyFont="1" applyFill="1" applyBorder="1" applyAlignment="1">
      <alignment horizontal="center"/>
    </xf>
    <xf numFmtId="3" fontId="4" fillId="2" borderId="30" xfId="0" applyNumberFormat="1" applyFont="1" applyFill="1" applyBorder="1"/>
    <xf numFmtId="3" fontId="9" fillId="4" borderId="0" xfId="0" applyNumberFormat="1" applyFont="1" applyFill="1" applyBorder="1" applyAlignment="1">
      <alignment horizontal="center"/>
    </xf>
    <xf numFmtId="3" fontId="5" fillId="4" borderId="0" xfId="0" applyNumberFormat="1" applyFont="1" applyFill="1" applyBorder="1"/>
    <xf numFmtId="0" fontId="38" fillId="2" borderId="0" xfId="0" applyFont="1" applyFill="1"/>
    <xf numFmtId="3" fontId="4" fillId="2" borderId="32" xfId="0" applyNumberFormat="1" applyFont="1" applyFill="1" applyBorder="1"/>
    <xf numFmtId="0" fontId="38" fillId="4" borderId="0" xfId="0" applyFont="1" applyFill="1"/>
    <xf numFmtId="14" fontId="39" fillId="4" borderId="0" xfId="0" applyNumberFormat="1" applyFont="1" applyFill="1" applyBorder="1" applyAlignment="1">
      <alignment horizontal="center" wrapText="1"/>
    </xf>
    <xf numFmtId="10" fontId="9" fillId="4" borderId="0" xfId="0" applyNumberFormat="1" applyFont="1" applyFill="1" applyBorder="1" applyAlignment="1">
      <alignment horizontal="center"/>
    </xf>
    <xf numFmtId="168" fontId="4" fillId="4" borderId="0" xfId="0" applyNumberFormat="1" applyFont="1" applyFill="1" applyBorder="1"/>
    <xf numFmtId="10" fontId="5" fillId="4" borderId="0" xfId="0" applyNumberFormat="1" applyFont="1" applyFill="1" applyBorder="1"/>
    <xf numFmtId="168" fontId="5" fillId="4" borderId="0" xfId="0" applyNumberFormat="1" applyFont="1" applyFill="1"/>
    <xf numFmtId="0" fontId="9" fillId="4" borderId="0" xfId="0" applyFont="1" applyFill="1" applyBorder="1" applyAlignment="1">
      <alignment horizontal="right" vertical="center"/>
    </xf>
    <xf numFmtId="168" fontId="23" fillId="4" borderId="0" xfId="11" applyNumberFormat="1" applyFill="1"/>
    <xf numFmtId="168" fontId="23" fillId="4" borderId="0" xfId="0" applyNumberFormat="1" applyFont="1" applyFill="1"/>
    <xf numFmtId="10" fontId="23" fillId="4" borderId="0" xfId="0" applyNumberFormat="1" applyFont="1" applyFill="1"/>
    <xf numFmtId="171" fontId="0" fillId="2" borderId="0" xfId="0" applyNumberFormat="1" applyFill="1"/>
    <xf numFmtId="10" fontId="9" fillId="6" borderId="12" xfId="0" applyNumberFormat="1" applyFont="1" applyFill="1" applyBorder="1" applyAlignment="1">
      <alignment horizontal="center"/>
    </xf>
    <xf numFmtId="10" fontId="9" fillId="6" borderId="19" xfId="0" applyNumberFormat="1" applyFont="1" applyFill="1" applyBorder="1" applyAlignment="1">
      <alignment horizontal="center"/>
    </xf>
    <xf numFmtId="0" fontId="19" fillId="6" borderId="0" xfId="0" quotePrefix="1" applyFont="1" applyFill="1" applyBorder="1" applyAlignment="1">
      <alignment horizontal="right"/>
    </xf>
    <xf numFmtId="168" fontId="40" fillId="6" borderId="0" xfId="0" applyNumberFormat="1" applyFont="1" applyFill="1" applyBorder="1" applyAlignment="1">
      <alignment horizontal="right"/>
    </xf>
    <xf numFmtId="0" fontId="41" fillId="2" borderId="0" xfId="0" applyFont="1" applyFill="1" applyAlignment="1">
      <alignment horizontal="left"/>
    </xf>
    <xf numFmtId="3" fontId="4" fillId="4" borderId="0" xfId="0" applyNumberFormat="1" applyFont="1" applyFill="1" applyBorder="1" applyAlignment="1"/>
    <xf numFmtId="10" fontId="34" fillId="4" borderId="0" xfId="0" applyNumberFormat="1" applyFont="1" applyFill="1" applyBorder="1" applyAlignment="1">
      <alignment horizontal="center"/>
    </xf>
    <xf numFmtId="3" fontId="34" fillId="4" borderId="0" xfId="0" applyNumberFormat="1" applyFont="1" applyFill="1" applyBorder="1" applyAlignment="1">
      <alignment horizontal="center"/>
    </xf>
    <xf numFmtId="165" fontId="0" fillId="4" borderId="0" xfId="0" applyNumberFormat="1" applyFill="1"/>
    <xf numFmtId="10" fontId="34" fillId="4" borderId="12" xfId="0" applyNumberFormat="1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Border="1"/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Border="1" applyAlignment="1">
      <alignment horizontal="right"/>
    </xf>
    <xf numFmtId="3" fontId="40" fillId="6" borderId="0" xfId="0" applyNumberFormat="1" applyFont="1" applyFill="1" applyBorder="1" applyAlignment="1">
      <alignment horizontal="right"/>
    </xf>
    <xf numFmtId="0" fontId="9" fillId="4" borderId="28" xfId="0" applyFont="1" applyFill="1" applyBorder="1" applyAlignment="1">
      <alignment horizontal="right" vertical="center"/>
    </xf>
    <xf numFmtId="10" fontId="34" fillId="4" borderId="9" xfId="0" applyNumberFormat="1" applyFont="1" applyFill="1" applyBorder="1" applyAlignment="1">
      <alignment horizontal="center"/>
    </xf>
    <xf numFmtId="10" fontId="34" fillId="2" borderId="8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0" fillId="2" borderId="9" xfId="0" applyFill="1" applyBorder="1"/>
    <xf numFmtId="0" fontId="0" fillId="2" borderId="8" xfId="0" applyFill="1" applyBorder="1"/>
    <xf numFmtId="0" fontId="36" fillId="2" borderId="9" xfId="0" applyFont="1" applyFill="1" applyBorder="1"/>
    <xf numFmtId="0" fontId="36" fillId="2" borderId="8" xfId="0" applyFont="1" applyFill="1" applyBorder="1"/>
    <xf numFmtId="10" fontId="9" fillId="2" borderId="8" xfId="0" applyNumberFormat="1" applyFont="1" applyFill="1" applyBorder="1" applyAlignment="1">
      <alignment horizontal="center"/>
    </xf>
    <xf numFmtId="10" fontId="9" fillId="2" borderId="9" xfId="0" applyNumberFormat="1" applyFont="1" applyFill="1" applyBorder="1" applyAlignment="1">
      <alignment horizontal="center"/>
    </xf>
    <xf numFmtId="165" fontId="18" fillId="4" borderId="0" xfId="0" applyNumberFormat="1" applyFont="1" applyFill="1" applyBorder="1"/>
    <xf numFmtId="0" fontId="27" fillId="4" borderId="0" xfId="0" applyFont="1" applyFill="1"/>
    <xf numFmtId="168" fontId="4" fillId="2" borderId="31" xfId="0" applyNumberFormat="1" applyFont="1" applyFill="1" applyBorder="1"/>
    <xf numFmtId="168" fontId="4" fillId="2" borderId="12" xfId="0" applyNumberFormat="1" applyFont="1" applyFill="1" applyBorder="1"/>
    <xf numFmtId="168" fontId="4" fillId="2" borderId="33" xfId="0" applyNumberFormat="1" applyFont="1" applyFill="1" applyBorder="1"/>
    <xf numFmtId="168" fontId="5" fillId="2" borderId="0" xfId="0" applyNumberFormat="1" applyFont="1" applyFill="1" applyBorder="1"/>
    <xf numFmtId="168" fontId="4" fillId="2" borderId="32" xfId="0" applyNumberFormat="1" applyFont="1" applyFill="1" applyBorder="1"/>
    <xf numFmtId="168" fontId="4" fillId="2" borderId="30" xfId="0" applyNumberFormat="1" applyFont="1" applyFill="1" applyBorder="1"/>
    <xf numFmtId="168" fontId="4" fillId="2" borderId="3" xfId="0" applyNumberFormat="1" applyFont="1" applyFill="1" applyBorder="1"/>
    <xf numFmtId="168" fontId="4" fillId="2" borderId="4" xfId="0" applyNumberFormat="1" applyFont="1" applyFill="1" applyBorder="1"/>
    <xf numFmtId="168" fontId="4" fillId="2" borderId="0" xfId="0" applyNumberFormat="1" applyFont="1" applyFill="1" applyBorder="1" applyAlignment="1"/>
    <xf numFmtId="168" fontId="33" fillId="2" borderId="0" xfId="0" applyNumberFormat="1" applyFont="1" applyFill="1"/>
    <xf numFmtId="168" fontId="5" fillId="4" borderId="0" xfId="0" applyNumberFormat="1" applyFont="1" applyFill="1" applyBorder="1"/>
    <xf numFmtId="168" fontId="9" fillId="4" borderId="0" xfId="0" applyNumberFormat="1" applyFont="1" applyFill="1" applyBorder="1" applyAlignment="1">
      <alignment horizontal="center"/>
    </xf>
    <xf numFmtId="168" fontId="5" fillId="2" borderId="12" xfId="0" applyNumberFormat="1" applyFont="1" applyFill="1" applyBorder="1"/>
    <xf numFmtId="14" fontId="9" fillId="2" borderId="0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1" fillId="4" borderId="0" xfId="0" applyFont="1" applyFill="1" applyBorder="1"/>
    <xf numFmtId="168" fontId="33" fillId="4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34" fillId="4" borderId="12" xfId="0" applyFont="1" applyFill="1" applyBorder="1" applyAlignment="1">
      <alignment horizontal="left"/>
    </xf>
    <xf numFmtId="0" fontId="34" fillId="4" borderId="19" xfId="0" applyFont="1" applyFill="1" applyBorder="1" applyAlignment="1">
      <alignment horizontal="left"/>
    </xf>
    <xf numFmtId="0" fontId="34" fillId="4" borderId="20" xfId="0" applyFont="1" applyFill="1" applyBorder="1" applyAlignment="1">
      <alignment horizontal="left"/>
    </xf>
    <xf numFmtId="0" fontId="34" fillId="4" borderId="21" xfId="0" applyFont="1" applyFill="1" applyBorder="1" applyAlignment="1">
      <alignment horizontal="left"/>
    </xf>
    <xf numFmtId="0" fontId="34" fillId="4" borderId="5" xfId="0" applyFont="1" applyFill="1" applyBorder="1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168" fontId="4" fillId="4" borderId="12" xfId="0" applyNumberFormat="1" applyFont="1" applyFill="1" applyBorder="1"/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10" fontId="34" fillId="4" borderId="19" xfId="0" applyNumberFormat="1" applyFont="1" applyFill="1" applyBorder="1" applyAlignment="1">
      <alignment horizontal="center"/>
    </xf>
    <xf numFmtId="0" fontId="1" fillId="4" borderId="0" xfId="0" applyFont="1" applyFill="1"/>
    <xf numFmtId="168" fontId="18" fillId="2" borderId="0" xfId="0" applyNumberFormat="1" applyFont="1" applyFill="1" applyAlignment="1">
      <alignment wrapText="1"/>
    </xf>
    <xf numFmtId="0" fontId="42" fillId="0" borderId="0" xfId="0" applyFont="1" applyAlignment="1">
      <alignment vertical="center"/>
    </xf>
    <xf numFmtId="0" fontId="30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/>
    </xf>
    <xf numFmtId="168" fontId="30" fillId="2" borderId="0" xfId="0" applyNumberFormat="1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4" fillId="0" borderId="0" xfId="0" applyFont="1" applyFill="1" applyBorder="1"/>
    <xf numFmtId="10" fontId="4" fillId="0" borderId="0" xfId="0" applyNumberFormat="1" applyFont="1" applyFill="1"/>
    <xf numFmtId="168" fontId="4" fillId="0" borderId="12" xfId="0" applyNumberFormat="1" applyFont="1" applyFill="1" applyBorder="1"/>
    <xf numFmtId="0" fontId="0" fillId="4" borderId="0" xfId="0" applyFill="1" applyBorder="1"/>
    <xf numFmtId="168" fontId="27" fillId="2" borderId="0" xfId="0" applyNumberFormat="1" applyFont="1" applyFill="1"/>
    <xf numFmtId="3" fontId="0" fillId="4" borderId="0" xfId="0" applyNumberFormat="1" applyFill="1"/>
    <xf numFmtId="10" fontId="1" fillId="2" borderId="0" xfId="36" applyNumberFormat="1" applyFont="1" applyFill="1"/>
    <xf numFmtId="10" fontId="0" fillId="2" borderId="0" xfId="36" applyNumberFormat="1" applyFont="1" applyFill="1"/>
    <xf numFmtId="168" fontId="4" fillId="0" borderId="0" xfId="0" applyNumberFormat="1" applyFont="1" applyFill="1" applyBorder="1"/>
    <xf numFmtId="0" fontId="18" fillId="2" borderId="0" xfId="0" applyFont="1" applyFill="1" applyBorder="1" applyAlignment="1">
      <alignment wrapText="1"/>
    </xf>
    <xf numFmtId="165" fontId="23" fillId="2" borderId="0" xfId="36" applyNumberFormat="1" applyFont="1" applyFill="1"/>
    <xf numFmtId="43" fontId="9" fillId="4" borderId="0" xfId="37" applyFont="1" applyFill="1" applyBorder="1" applyAlignment="1">
      <alignment horizontal="center"/>
    </xf>
    <xf numFmtId="165" fontId="9" fillId="4" borderId="0" xfId="36" applyNumberFormat="1" applyFont="1" applyFill="1" applyBorder="1" applyAlignment="1">
      <alignment horizontal="center"/>
    </xf>
    <xf numFmtId="168" fontId="4" fillId="0" borderId="0" xfId="0" applyNumberFormat="1" applyFont="1" applyFill="1"/>
    <xf numFmtId="168" fontId="5" fillId="0" borderId="0" xfId="0" applyNumberFormat="1" applyFont="1" applyFill="1"/>
    <xf numFmtId="10" fontId="9" fillId="4" borderId="0" xfId="36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10" fontId="9" fillId="6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/>
    <xf numFmtId="0" fontId="9" fillId="2" borderId="35" xfId="0" applyFont="1" applyFill="1" applyBorder="1" applyAlignment="1">
      <alignment horizontal="right" vertical="center"/>
    </xf>
    <xf numFmtId="0" fontId="0" fillId="2" borderId="37" xfId="0" applyFill="1" applyBorder="1"/>
    <xf numFmtId="0" fontId="36" fillId="2" borderId="0" xfId="0" applyFont="1" applyFill="1" applyBorder="1"/>
    <xf numFmtId="14" fontId="9" fillId="2" borderId="5" xfId="0" applyNumberFormat="1" applyFont="1" applyFill="1" applyBorder="1" applyAlignment="1">
      <alignment horizontal="center" vertical="center"/>
    </xf>
    <xf numFmtId="14" fontId="9" fillId="2" borderId="34" xfId="0" applyNumberFormat="1" applyFont="1" applyFill="1" applyBorder="1" applyAlignment="1">
      <alignment vertical="center"/>
    </xf>
    <xf numFmtId="10" fontId="9" fillId="2" borderId="19" xfId="36" applyNumberFormat="1" applyFont="1" applyFill="1" applyBorder="1" applyAlignment="1">
      <alignment vertical="center"/>
    </xf>
    <xf numFmtId="0" fontId="39" fillId="4" borderId="0" xfId="0" applyFont="1" applyFill="1"/>
    <xf numFmtId="14" fontId="4" fillId="2" borderId="9" xfId="0" applyNumberFormat="1" applyFont="1" applyFill="1" applyBorder="1" applyAlignment="1">
      <alignment horizontal="center" vertical="center"/>
    </xf>
    <xf numFmtId="168" fontId="34" fillId="2" borderId="0" xfId="0" applyNumberFormat="1" applyFont="1" applyFill="1" applyBorder="1" applyAlignment="1">
      <alignment horizontal="left"/>
    </xf>
    <xf numFmtId="10" fontId="9" fillId="0" borderId="19" xfId="0" applyNumberFormat="1" applyFont="1" applyFill="1" applyBorder="1" applyAlignment="1">
      <alignment horizontal="center"/>
    </xf>
    <xf numFmtId="14" fontId="31" fillId="0" borderId="0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29" fillId="0" borderId="0" xfId="0" applyFont="1" applyFill="1"/>
    <xf numFmtId="14" fontId="9" fillId="2" borderId="0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65" fontId="4" fillId="2" borderId="19" xfId="0" applyNumberFormat="1" applyFont="1" applyFill="1" applyBorder="1"/>
    <xf numFmtId="0" fontId="45" fillId="2" borderId="0" xfId="0" applyFont="1" applyFill="1" applyAlignment="1">
      <alignment horizontal="right"/>
    </xf>
    <xf numFmtId="0" fontId="46" fillId="2" borderId="0" xfId="0" applyFont="1" applyFill="1"/>
    <xf numFmtId="3" fontId="45" fillId="4" borderId="0" xfId="0" applyNumberFormat="1" applyFont="1" applyFill="1"/>
    <xf numFmtId="3" fontId="45" fillId="2" borderId="0" xfId="0" applyNumberFormat="1" applyFont="1" applyFill="1"/>
    <xf numFmtId="172" fontId="0" fillId="2" borderId="0" xfId="37" applyNumberFormat="1" applyFont="1" applyFill="1"/>
    <xf numFmtId="0" fontId="0" fillId="0" borderId="0" xfId="0" applyFill="1"/>
    <xf numFmtId="0" fontId="4" fillId="0" borderId="2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68" fontId="34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8" fontId="23" fillId="0" borderId="0" xfId="0" applyNumberFormat="1" applyFont="1" applyFill="1"/>
    <xf numFmtId="165" fontId="4" fillId="0" borderId="0" xfId="0" applyNumberFormat="1" applyFont="1" applyFill="1"/>
    <xf numFmtId="3" fontId="5" fillId="0" borderId="0" xfId="0" applyNumberFormat="1" applyFont="1" applyFill="1"/>
    <xf numFmtId="10" fontId="0" fillId="0" borderId="0" xfId="36" applyNumberFormat="1" applyFont="1" applyFill="1"/>
    <xf numFmtId="0" fontId="34" fillId="0" borderId="0" xfId="0" applyFont="1" applyFill="1" applyBorder="1" applyAlignment="1">
      <alignment horizontal="left"/>
    </xf>
    <xf numFmtId="168" fontId="5" fillId="0" borderId="0" xfId="0" applyNumberFormat="1" applyFont="1" applyFill="1" applyBorder="1"/>
    <xf numFmtId="0" fontId="34" fillId="0" borderId="5" xfId="0" applyFont="1" applyFill="1" applyBorder="1" applyAlignment="1">
      <alignment horizontal="left"/>
    </xf>
    <xf numFmtId="3" fontId="5" fillId="0" borderId="0" xfId="0" applyNumberFormat="1" applyFont="1" applyFill="1" applyBorder="1"/>
    <xf numFmtId="165" fontId="4" fillId="0" borderId="0" xfId="0" applyNumberFormat="1" applyFont="1" applyFill="1" applyBorder="1"/>
    <xf numFmtId="165" fontId="4" fillId="0" borderId="3" xfId="0" applyNumberFormat="1" applyFont="1" applyFill="1" applyBorder="1"/>
    <xf numFmtId="165" fontId="4" fillId="0" borderId="4" xfId="0" applyNumberFormat="1" applyFont="1" applyFill="1" applyBorder="1"/>
    <xf numFmtId="173" fontId="0" fillId="0" borderId="0" xfId="0" applyNumberFormat="1" applyFill="1"/>
    <xf numFmtId="174" fontId="4" fillId="0" borderId="0" xfId="0" applyNumberFormat="1" applyFont="1" applyFill="1"/>
    <xf numFmtId="3" fontId="45" fillId="0" borderId="0" xfId="0" applyNumberFormat="1" applyFont="1" applyFill="1"/>
    <xf numFmtId="168" fontId="9" fillId="0" borderId="0" xfId="0" applyNumberFormat="1" applyFont="1" applyFill="1" applyBorder="1" applyAlignment="1">
      <alignment horizontal="center"/>
    </xf>
    <xf numFmtId="10" fontId="9" fillId="0" borderId="0" xfId="36" applyNumberFormat="1" applyFont="1" applyFill="1" applyBorder="1" applyAlignment="1">
      <alignment horizontal="center"/>
    </xf>
    <xf numFmtId="168" fontId="4" fillId="0" borderId="0" xfId="0" applyNumberFormat="1" applyFont="1" applyFill="1" applyAlignment="1">
      <alignment wrapText="1"/>
    </xf>
    <xf numFmtId="0" fontId="23" fillId="0" borderId="0" xfId="0" applyFont="1" applyFill="1" applyAlignment="1">
      <alignment horizontal="left"/>
    </xf>
    <xf numFmtId="0" fontId="29" fillId="4" borderId="0" xfId="0" applyFont="1" applyFill="1"/>
    <xf numFmtId="14" fontId="27" fillId="0" borderId="0" xfId="0" applyNumberFormat="1" applyFont="1" applyFill="1"/>
    <xf numFmtId="14" fontId="47" fillId="0" borderId="0" xfId="0" applyNumberFormat="1" applyFont="1" applyFill="1" applyBorder="1" applyAlignment="1">
      <alignment horizontal="center" wrapText="1"/>
    </xf>
    <xf numFmtId="0" fontId="47" fillId="0" borderId="0" xfId="0" applyFont="1" applyFill="1"/>
    <xf numFmtId="2" fontId="39" fillId="4" borderId="0" xfId="0" applyNumberFormat="1" applyFont="1" applyFill="1"/>
    <xf numFmtId="168" fontId="5" fillId="0" borderId="12" xfId="0" applyNumberFormat="1" applyFont="1" applyFill="1" applyBorder="1"/>
    <xf numFmtId="3" fontId="23" fillId="0" borderId="0" xfId="0" applyNumberFormat="1" applyFont="1" applyFill="1"/>
    <xf numFmtId="3" fontId="33" fillId="0" borderId="0" xfId="0" applyNumberFormat="1" applyFont="1" applyFill="1"/>
    <xf numFmtId="168" fontId="33" fillId="0" borderId="0" xfId="0" applyNumberFormat="1" applyFont="1" applyFill="1"/>
    <xf numFmtId="14" fontId="38" fillId="0" borderId="0" xfId="0" applyNumberFormat="1" applyFont="1" applyFill="1"/>
    <xf numFmtId="14" fontId="39" fillId="0" borderId="0" xfId="0" applyNumberFormat="1" applyFont="1" applyFill="1" applyBorder="1" applyAlignment="1">
      <alignment horizontal="center" wrapText="1"/>
    </xf>
    <xf numFmtId="0" fontId="39" fillId="0" borderId="0" xfId="0" applyFont="1" applyFill="1"/>
    <xf numFmtId="175" fontId="9" fillId="2" borderId="0" xfId="0" applyNumberFormat="1" applyFont="1" applyFill="1" applyBorder="1" applyAlignment="1">
      <alignment horizontal="center"/>
    </xf>
    <xf numFmtId="0" fontId="34" fillId="0" borderId="37" xfId="0" applyFont="1" applyFill="1" applyBorder="1" applyAlignment="1">
      <alignment horizontal="left"/>
    </xf>
    <xf numFmtId="0" fontId="37" fillId="2" borderId="0" xfId="0" applyFont="1" applyFill="1" applyAlignment="1">
      <alignment horizontal="left"/>
    </xf>
    <xf numFmtId="9" fontId="0" fillId="0" borderId="0" xfId="36" applyNumberFormat="1" applyFont="1" applyFill="1"/>
    <xf numFmtId="3" fontId="4" fillId="0" borderId="0" xfId="0" applyNumberFormat="1" applyFont="1" applyFill="1"/>
    <xf numFmtId="176" fontId="4" fillId="2" borderId="0" xfId="0" applyNumberFormat="1" applyFont="1" applyFill="1"/>
    <xf numFmtId="176" fontId="9" fillId="2" borderId="0" xfId="0" applyNumberFormat="1" applyFont="1" applyFill="1" applyBorder="1" applyAlignment="1">
      <alignment horizontal="center"/>
    </xf>
    <xf numFmtId="168" fontId="9" fillId="0" borderId="12" xfId="0" applyNumberFormat="1" applyFont="1" applyFill="1" applyBorder="1" applyAlignment="1">
      <alignment horizontal="center"/>
    </xf>
    <xf numFmtId="168" fontId="0" fillId="0" borderId="12" xfId="0" applyNumberFormat="1" applyFill="1" applyBorder="1"/>
    <xf numFmtId="168" fontId="34" fillId="0" borderId="20" xfId="0" applyNumberFormat="1" applyFont="1" applyFill="1" applyBorder="1" applyAlignment="1">
      <alignment horizontal="left"/>
    </xf>
    <xf numFmtId="168" fontId="34" fillId="0" borderId="38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center"/>
    </xf>
    <xf numFmtId="9" fontId="0" fillId="2" borderId="0" xfId="36" applyFont="1" applyFill="1"/>
    <xf numFmtId="43" fontId="9" fillId="0" borderId="0" xfId="37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65" fontId="4" fillId="7" borderId="0" xfId="0" applyNumberFormat="1" applyFont="1" applyFill="1"/>
    <xf numFmtId="3" fontId="5" fillId="7" borderId="0" xfId="0" applyNumberFormat="1" applyFont="1" applyFill="1"/>
    <xf numFmtId="43" fontId="38" fillId="2" borderId="0" xfId="37" applyFont="1" applyFill="1"/>
    <xf numFmtId="43" fontId="38" fillId="2" borderId="0" xfId="37" applyNumberFormat="1" applyFont="1" applyFill="1"/>
    <xf numFmtId="177" fontId="38" fillId="2" borderId="0" xfId="37" applyNumberFormat="1" applyFont="1" applyFill="1"/>
    <xf numFmtId="178" fontId="38" fillId="2" borderId="0" xfId="37" applyNumberFormat="1" applyFont="1" applyFill="1"/>
    <xf numFmtId="179" fontId="38" fillId="2" borderId="0" xfId="37" applyNumberFormat="1" applyFont="1" applyFill="1"/>
    <xf numFmtId="165" fontId="18" fillId="0" borderId="0" xfId="0" applyNumberFormat="1" applyFont="1" applyFill="1" applyBorder="1"/>
    <xf numFmtId="0" fontId="0" fillId="2" borderId="0" xfId="0" applyNumberFormat="1" applyFill="1"/>
    <xf numFmtId="0" fontId="4" fillId="0" borderId="0" xfId="0" applyFont="1" applyFill="1" applyAlignment="1">
      <alignment horizontal="left" vertical="center"/>
    </xf>
    <xf numFmtId="10" fontId="9" fillId="0" borderId="12" xfId="0" applyNumberFormat="1" applyFont="1" applyFill="1" applyBorder="1" applyAlignment="1">
      <alignment horizontal="center"/>
    </xf>
    <xf numFmtId="0" fontId="23" fillId="0" borderId="0" xfId="0" applyFont="1" applyFill="1"/>
    <xf numFmtId="14" fontId="9" fillId="0" borderId="16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168" fontId="0" fillId="0" borderId="0" xfId="0" applyNumberFormat="1" applyFill="1"/>
    <xf numFmtId="9" fontId="48" fillId="2" borderId="0" xfId="36" applyFont="1" applyFill="1"/>
    <xf numFmtId="0" fontId="48" fillId="2" borderId="0" xfId="0" applyFont="1" applyFill="1"/>
    <xf numFmtId="9" fontId="38" fillId="2" borderId="0" xfId="36" applyFont="1" applyFill="1"/>
    <xf numFmtId="2" fontId="38" fillId="2" borderId="0" xfId="0" applyNumberFormat="1" applyFont="1" applyFill="1"/>
    <xf numFmtId="0" fontId="45" fillId="2" borderId="0" xfId="0" applyFont="1" applyFill="1" applyAlignment="1">
      <alignment horizontal="right" wrapText="1"/>
    </xf>
    <xf numFmtId="0" fontId="29" fillId="2" borderId="0" xfId="0" applyFont="1" applyFill="1" applyAlignment="1">
      <alignment horizontal="right"/>
    </xf>
    <xf numFmtId="0" fontId="29" fillId="2" borderId="0" xfId="0" applyFont="1" applyFill="1" applyAlignment="1">
      <alignment horizontal="center"/>
    </xf>
    <xf numFmtId="168" fontId="49" fillId="2" borderId="0" xfId="0" applyNumberFormat="1" applyFont="1" applyFill="1" applyAlignment="1">
      <alignment wrapText="1"/>
    </xf>
    <xf numFmtId="168" fontId="18" fillId="4" borderId="0" xfId="0" applyNumberFormat="1" applyFont="1" applyFill="1" applyAlignment="1">
      <alignment wrapText="1"/>
    </xf>
    <xf numFmtId="0" fontId="29" fillId="2" borderId="0" xfId="0" applyFont="1" applyFill="1" applyAlignment="1">
      <alignment vertical="center"/>
    </xf>
    <xf numFmtId="168" fontId="0" fillId="2" borderId="0" xfId="0" applyNumberFormat="1" applyFill="1" applyAlignment="1">
      <alignment vertical="center"/>
    </xf>
    <xf numFmtId="180" fontId="29" fillId="4" borderId="0" xfId="0" applyNumberFormat="1" applyFont="1" applyFill="1"/>
    <xf numFmtId="180" fontId="4" fillId="2" borderId="0" xfId="0" applyNumberFormat="1" applyFont="1" applyFill="1"/>
    <xf numFmtId="180" fontId="4" fillId="0" borderId="0" xfId="0" applyNumberFormat="1" applyFont="1" applyFill="1"/>
    <xf numFmtId="180" fontId="4" fillId="4" borderId="0" xfId="0" applyNumberFormat="1" applyFont="1" applyFill="1"/>
    <xf numFmtId="180" fontId="0" fillId="2" borderId="0" xfId="0" applyNumberFormat="1" applyFill="1"/>
    <xf numFmtId="14" fontId="4" fillId="2" borderId="9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68" fontId="4" fillId="0" borderId="0" xfId="0" applyNumberFormat="1" applyFont="1" applyFill="1" applyAlignment="1">
      <alignment vertical="center" wrapText="1"/>
    </xf>
    <xf numFmtId="10" fontId="9" fillId="0" borderId="12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19" xfId="0" applyNumberFormat="1" applyFont="1" applyFill="1" applyBorder="1" applyAlignment="1">
      <alignment horizontal="center" vertical="center"/>
    </xf>
    <xf numFmtId="168" fontId="18" fillId="0" borderId="0" xfId="0" applyNumberFormat="1" applyFont="1" applyFill="1" applyAlignment="1">
      <alignment wrapText="1"/>
    </xf>
    <xf numFmtId="10" fontId="43" fillId="0" borderId="12" xfId="0" applyNumberFormat="1" applyFont="1" applyFill="1" applyBorder="1" applyAlignment="1">
      <alignment horizontal="center"/>
    </xf>
    <xf numFmtId="10" fontId="43" fillId="0" borderId="0" xfId="0" applyNumberFormat="1" applyFont="1" applyFill="1" applyBorder="1" applyAlignment="1">
      <alignment horizontal="center"/>
    </xf>
    <xf numFmtId="10" fontId="43" fillId="0" borderId="19" xfId="0" applyNumberFormat="1" applyFont="1" applyFill="1" applyBorder="1" applyAlignment="1">
      <alignment horizontal="center"/>
    </xf>
    <xf numFmtId="168" fontId="18" fillId="0" borderId="0" xfId="0" applyNumberFormat="1" applyFont="1" applyFill="1" applyAlignment="1"/>
    <xf numFmtId="168" fontId="5" fillId="0" borderId="0" xfId="0" applyNumberFormat="1" applyFont="1" applyFill="1" applyAlignment="1">
      <alignment wrapText="1"/>
    </xf>
    <xf numFmtId="10" fontId="34" fillId="0" borderId="12" xfId="0" applyNumberFormat="1" applyFont="1" applyFill="1" applyBorder="1" applyAlignment="1">
      <alignment horizontal="center"/>
    </xf>
    <xf numFmtId="10" fontId="34" fillId="0" borderId="0" xfId="0" applyNumberFormat="1" applyFont="1" applyFill="1" applyBorder="1" applyAlignment="1">
      <alignment horizontal="center"/>
    </xf>
    <xf numFmtId="10" fontId="34" fillId="0" borderId="19" xfId="0" applyNumberFormat="1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right" wrapText="1"/>
    </xf>
    <xf numFmtId="0" fontId="19" fillId="0" borderId="0" xfId="0" applyFont="1" applyFill="1" applyAlignment="1">
      <alignment wrapText="1"/>
    </xf>
    <xf numFmtId="176" fontId="9" fillId="0" borderId="0" xfId="0" applyNumberFormat="1" applyFont="1" applyFill="1" applyBorder="1" applyAlignment="1">
      <alignment horizontal="center"/>
    </xf>
    <xf numFmtId="168" fontId="19" fillId="0" borderId="0" xfId="0" applyNumberFormat="1" applyFont="1" applyFill="1" applyAlignment="1">
      <alignment horizontal="left" wrapText="1"/>
    </xf>
    <xf numFmtId="0" fontId="29" fillId="0" borderId="0" xfId="0" applyFont="1" applyFill="1" applyAlignment="1">
      <alignment vertical="center"/>
    </xf>
    <xf numFmtId="168" fontId="4" fillId="0" borderId="0" xfId="0" applyNumberFormat="1" applyFont="1" applyFill="1" applyAlignment="1">
      <alignment vertical="center"/>
    </xf>
    <xf numFmtId="168" fontId="0" fillId="0" borderId="0" xfId="0" applyNumberFormat="1" applyFill="1" applyAlignment="1">
      <alignment vertical="center"/>
    </xf>
    <xf numFmtId="168" fontId="18" fillId="0" borderId="0" xfId="0" applyNumberFormat="1" applyFont="1" applyFill="1"/>
    <xf numFmtId="168" fontId="27" fillId="0" borderId="0" xfId="0" applyNumberFormat="1" applyFont="1" applyFill="1"/>
    <xf numFmtId="168" fontId="23" fillId="0" borderId="0" xfId="11" applyNumberFormat="1" applyFill="1"/>
    <xf numFmtId="9" fontId="4" fillId="0" borderId="0" xfId="36" applyFont="1" applyFill="1"/>
    <xf numFmtId="168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176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21" fillId="5" borderId="7" xfId="35" applyBorder="1">
      <alignment horizontal="center" vertical="center"/>
    </xf>
    <xf numFmtId="3" fontId="4" fillId="7" borderId="0" xfId="0" applyNumberFormat="1" applyFont="1" applyFill="1" applyAlignment="1">
      <alignment vertical="center"/>
    </xf>
    <xf numFmtId="3" fontId="4" fillId="7" borderId="0" xfId="0" applyNumberFormat="1" applyFont="1" applyFill="1"/>
    <xf numFmtId="10" fontId="4" fillId="7" borderId="0" xfId="0" applyNumberFormat="1" applyFont="1" applyFill="1"/>
    <xf numFmtId="168" fontId="4" fillId="7" borderId="0" xfId="0" applyNumberFormat="1" applyFont="1" applyFill="1" applyAlignment="1">
      <alignment horizontal="right"/>
    </xf>
    <xf numFmtId="168" fontId="4" fillId="7" borderId="0" xfId="0" applyNumberFormat="1" applyFont="1" applyFill="1"/>
    <xf numFmtId="168" fontId="4" fillId="7" borderId="12" xfId="0" applyNumberFormat="1" applyFont="1" applyFill="1" applyBorder="1"/>
    <xf numFmtId="165" fontId="4" fillId="7" borderId="0" xfId="0" applyNumberFormat="1" applyFont="1" applyFill="1" applyBorder="1"/>
    <xf numFmtId="165" fontId="4" fillId="7" borderId="3" xfId="0" applyNumberFormat="1" applyFont="1" applyFill="1" applyBorder="1"/>
    <xf numFmtId="165" fontId="4" fillId="7" borderId="4" xfId="0" applyNumberFormat="1" applyFont="1" applyFill="1" applyBorder="1"/>
    <xf numFmtId="165" fontId="18" fillId="7" borderId="0" xfId="0" applyNumberFormat="1" applyFont="1" applyFill="1" applyBorder="1"/>
    <xf numFmtId="0" fontId="27" fillId="2" borderId="1" xfId="3" applyFont="1" applyFill="1" applyBorder="1" applyAlignment="1">
      <alignment horizontal="left" wrapText="1"/>
    </xf>
    <xf numFmtId="0" fontId="2" fillId="4" borderId="0" xfId="0" applyFont="1" applyFill="1" applyAlignment="1">
      <alignment horizontal="left"/>
    </xf>
    <xf numFmtId="0" fontId="3" fillId="2" borderId="5" xfId="3" applyFont="1" applyFill="1" applyBorder="1" applyAlignment="1">
      <alignment horizontal="left" wrapText="1"/>
    </xf>
    <xf numFmtId="0" fontId="17" fillId="2" borderId="1" xfId="3" applyFont="1" applyFill="1" applyBorder="1" applyAlignment="1">
      <alignment horizontal="left" wrapText="1"/>
    </xf>
    <xf numFmtId="0" fontId="25" fillId="4" borderId="10" xfId="28">
      <alignment horizontal="left" wrapText="1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68" fontId="4" fillId="2" borderId="6" xfId="0" applyNumberFormat="1" applyFont="1" applyFill="1" applyBorder="1" applyAlignment="1">
      <alignment horizontal="center" vertical="center"/>
    </xf>
    <xf numFmtId="168" fontId="4" fillId="2" borderId="7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5" borderId="6" xfId="35" applyBorder="1">
      <alignment horizontal="center" vertical="center"/>
    </xf>
    <xf numFmtId="0" fontId="21" fillId="5" borderId="7" xfId="35" applyBorder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1" fillId="5" borderId="9" xfId="35" applyBorder="1">
      <alignment horizontal="center" vertical="center"/>
    </xf>
    <xf numFmtId="0" fontId="21" fillId="5" borderId="13" xfId="35" applyBorder="1">
      <alignment horizontal="center" vertical="center"/>
    </xf>
    <xf numFmtId="0" fontId="4" fillId="0" borderId="27" xfId="3" applyFont="1" applyBorder="1" applyAlignment="1" applyProtection="1">
      <alignment horizontal="center" vertical="center" wrapText="1"/>
      <protection locked="0"/>
    </xf>
    <xf numFmtId="14" fontId="9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14" fontId="9" fillId="2" borderId="9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4" fontId="9" fillId="2" borderId="12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4" fontId="9" fillId="2" borderId="36" xfId="0" applyNumberFormat="1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4" fillId="0" borderId="2" xfId="3" applyFont="1" applyBorder="1" applyAlignment="1" applyProtection="1">
      <alignment horizontal="center" vertical="center" wrapText="1"/>
      <protection locked="0"/>
    </xf>
    <xf numFmtId="14" fontId="9" fillId="2" borderId="14" xfId="0" applyNumberFormat="1" applyFont="1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8" fontId="4" fillId="0" borderId="6" xfId="0" applyNumberFormat="1" applyFont="1" applyFill="1" applyBorder="1" applyAlignment="1">
      <alignment horizontal="center" vertical="center"/>
    </xf>
    <xf numFmtId="168" fontId="4" fillId="0" borderId="7" xfId="0" applyNumberFormat="1" applyFont="1" applyFill="1" applyBorder="1" applyAlignment="1">
      <alignment horizontal="center" vertical="center"/>
    </xf>
    <xf numFmtId="14" fontId="9" fillId="2" borderId="16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4" fontId="9" fillId="0" borderId="16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168" fontId="20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38">
    <cellStyle name="fo]_x000d__x000a_UserName=bsv_x000d__x000a_UserCompany=СПб РЦ АБ ИНКОМБАНК_x000d__x000a__x000d__x000a_[File Paths]_x000d__x000a_WorkingDirectory=C:\MSTOCK\DLWIN_x000d__x000a_DownLoad" xfId="1"/>
    <cellStyle name="Iau?iue_IAS99q4_rab" xfId="2"/>
    <cellStyle name="Гиперссылка" xfId="3" builtinId="8"/>
    <cellStyle name="Гиперссылка 2" xfId="4"/>
    <cellStyle name="Гиперссылка 3" xfId="5"/>
    <cellStyle name="Гиперссылка 4" xfId="6"/>
    <cellStyle name="Гиперссылка 5" xfId="7"/>
    <cellStyle name="Гиперссылка 6" xfId="8"/>
    <cellStyle name="Гиперссылка 7" xfId="9"/>
    <cellStyle name="Гиперссылка 8" xfId="10"/>
    <cellStyle name="Заливон" xfId="35"/>
    <cellStyle name="минус" xfId="11"/>
    <cellStyle name="Обычный" xfId="0" builtinId="0"/>
    <cellStyle name="Обычный 2" xfId="12"/>
    <cellStyle name="Обычный 2 2" xfId="13"/>
    <cellStyle name="Обычный 2 3" xfId="14"/>
    <cellStyle name="Обычный 2 4" xfId="15"/>
    <cellStyle name="Обычный 2 5" xfId="16"/>
    <cellStyle name="Обычный 3" xfId="17"/>
    <cellStyle name="Обычный 3 2" xfId="18"/>
    <cellStyle name="Обычный 3 3" xfId="19"/>
    <cellStyle name="Обычный 3 4" xfId="20"/>
    <cellStyle name="Обычный 4" xfId="21"/>
    <cellStyle name="Обычный 5" xfId="22"/>
    <cellStyle name="Обычный 6" xfId="23"/>
    <cellStyle name="Обычный 7" xfId="24"/>
    <cellStyle name="Обычный 8" xfId="25"/>
    <cellStyle name="Процентный" xfId="36" builtinId="5"/>
    <cellStyle name="Процентный 2" xfId="26"/>
    <cellStyle name="Процентный 2 2" xfId="27"/>
    <cellStyle name="Стиль оглавл" xfId="28"/>
    <cellStyle name="Стиль ссылки" xfId="29"/>
    <cellStyle name="Стиль ссылки об" xfId="30"/>
    <cellStyle name="Тысячи [0]_ Куйб.ф-л" xfId="31"/>
    <cellStyle name="Тысячи_ Куйб.ф-л" xfId="32"/>
    <cellStyle name="Финансовый" xfId="37" builtinId="3"/>
    <cellStyle name="Финансовый 2" xfId="33"/>
    <cellStyle name="Финансовый 2 2" xfId="34"/>
  </cellStyles>
  <dxfs count="0"/>
  <tableStyles count="0" defaultTableStyle="TableStyleMedium2" defaultPivotStyle="PivotStyleLight16"/>
  <colors>
    <mruColors>
      <color rgb="FF6ED9FF"/>
      <color rgb="FFE7FFFF"/>
      <color rgb="FFCCFFFF"/>
      <color rgb="FF008080"/>
      <color rgb="FF99CCFF"/>
      <color rgb="FF6D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161925</xdr:rowOff>
    </xdr:from>
    <xdr:to>
      <xdr:col>4</xdr:col>
      <xdr:colOff>580042</xdr:colOff>
      <xdr:row>6</xdr:row>
      <xdr:rowOff>110348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542925"/>
          <a:ext cx="1799242" cy="710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130968</xdr:rowOff>
    </xdr:from>
    <xdr:to>
      <xdr:col>1</xdr:col>
      <xdr:colOff>1864964</xdr:colOff>
      <xdr:row>3</xdr:row>
      <xdr:rowOff>175604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" y="130968"/>
          <a:ext cx="1841152" cy="7113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74083</xdr:rowOff>
    </xdr:from>
    <xdr:to>
      <xdr:col>1</xdr:col>
      <xdr:colOff>1904652</xdr:colOff>
      <xdr:row>3</xdr:row>
      <xdr:rowOff>118719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74083"/>
          <a:ext cx="1841152" cy="711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1841152</xdr:colOff>
      <xdr:row>4</xdr:row>
      <xdr:rowOff>139886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841152" cy="711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114300</xdr:rowOff>
    </xdr:from>
    <xdr:to>
      <xdr:col>1</xdr:col>
      <xdr:colOff>1860202</xdr:colOff>
      <xdr:row>4</xdr:row>
      <xdr:rowOff>63686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14300"/>
          <a:ext cx="1841152" cy="711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1841152</xdr:colOff>
      <xdr:row>4</xdr:row>
      <xdr:rowOff>139886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841152" cy="7113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1841152</xdr:colOff>
      <xdr:row>4</xdr:row>
      <xdr:rowOff>139886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841152" cy="7113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1841152</xdr:colOff>
      <xdr:row>4</xdr:row>
      <xdr:rowOff>139886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841152" cy="711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38"/>
  <sheetViews>
    <sheetView tabSelected="1" topLeftCell="B1" zoomScaleNormal="100" workbookViewId="0">
      <selection activeCell="B1" sqref="B1"/>
    </sheetView>
  </sheetViews>
  <sheetFormatPr defaultColWidth="9.140625" defaultRowHeight="15" x14ac:dyDescent="0.25"/>
  <cols>
    <col min="1" max="1" width="5.85546875" style="1" customWidth="1"/>
    <col min="2" max="2" width="10.42578125" style="1" customWidth="1"/>
    <col min="3" max="5" width="9.140625" style="1"/>
    <col min="6" max="6" width="9.5703125" style="1" customWidth="1"/>
    <col min="7" max="13" width="9.140625" style="1"/>
    <col min="14" max="16" width="9.140625" style="1" hidden="1" customWidth="1"/>
    <col min="17" max="16384" width="9.140625" style="1"/>
  </cols>
  <sheetData>
    <row r="1" spans="1:16" x14ac:dyDescent="0.25">
      <c r="A1" s="60"/>
    </row>
    <row r="8" spans="1:16" ht="21" x14ac:dyDescent="0.35">
      <c r="B8" s="2"/>
      <c r="C8" s="412" t="s">
        <v>119</v>
      </c>
      <c r="D8" s="412"/>
      <c r="E8" s="412"/>
      <c r="F8" s="412"/>
      <c r="G8" s="412"/>
      <c r="H8" s="412"/>
      <c r="I8" s="412"/>
      <c r="J8" s="412"/>
      <c r="K8" s="2"/>
      <c r="L8" s="2"/>
      <c r="M8" s="2"/>
      <c r="N8" s="2"/>
      <c r="O8" s="2"/>
      <c r="P8" s="2"/>
    </row>
    <row r="9" spans="1:16" x14ac:dyDescent="0.25">
      <c r="B9" s="60"/>
    </row>
    <row r="10" spans="1:16" x14ac:dyDescent="0.25">
      <c r="A10" s="60"/>
      <c r="B10" s="60"/>
      <c r="C10" s="60"/>
    </row>
    <row r="11" spans="1:16" ht="28.5" customHeight="1" x14ac:dyDescent="0.25">
      <c r="C11" s="413" t="s">
        <v>0</v>
      </c>
      <c r="D11" s="413"/>
      <c r="E11" s="413"/>
      <c r="F11" s="413"/>
    </row>
    <row r="12" spans="1:16" ht="28.5" customHeight="1" x14ac:dyDescent="0.25">
      <c r="C12" s="414" t="s">
        <v>53</v>
      </c>
      <c r="D12" s="414"/>
      <c r="E12" s="414"/>
      <c r="F12" s="414"/>
    </row>
    <row r="13" spans="1:16" ht="28.5" customHeight="1" x14ac:dyDescent="0.25">
      <c r="C13" s="414" t="s">
        <v>56</v>
      </c>
      <c r="D13" s="414"/>
      <c r="E13" s="414"/>
      <c r="F13" s="414"/>
    </row>
    <row r="14" spans="1:16" ht="28.5" customHeight="1" x14ac:dyDescent="0.25">
      <c r="C14" s="415" t="s">
        <v>1</v>
      </c>
      <c r="D14" s="415"/>
      <c r="E14" s="415"/>
      <c r="F14" s="415"/>
    </row>
    <row r="15" spans="1:16" ht="28.5" customHeight="1" x14ac:dyDescent="0.25">
      <c r="C15" s="415" t="s">
        <v>2</v>
      </c>
      <c r="D15" s="415"/>
      <c r="E15" s="415"/>
      <c r="F15" s="415"/>
    </row>
    <row r="16" spans="1:16" ht="28.5" customHeight="1" x14ac:dyDescent="0.25">
      <c r="C16" s="411" t="s">
        <v>63</v>
      </c>
      <c r="D16" s="411"/>
      <c r="E16" s="411"/>
      <c r="F16" s="411"/>
    </row>
    <row r="17" spans="3:6" ht="15.75" x14ac:dyDescent="0.25">
      <c r="C17" s="4"/>
      <c r="D17" s="3"/>
      <c r="E17" s="3"/>
      <c r="F17" s="3"/>
    </row>
    <row r="18" spans="3:6" ht="15.75" x14ac:dyDescent="0.25">
      <c r="C18" s="4"/>
      <c r="D18" s="3"/>
      <c r="E18" s="3"/>
      <c r="F18" s="3"/>
    </row>
    <row r="19" spans="3:6" ht="15.75" x14ac:dyDescent="0.25">
      <c r="C19" s="177" t="s">
        <v>71</v>
      </c>
      <c r="D19" s="3"/>
      <c r="E19" s="3"/>
      <c r="F19" s="3"/>
    </row>
    <row r="20" spans="3:6" ht="15.75" x14ac:dyDescent="0.25">
      <c r="C20" s="177" t="s">
        <v>118</v>
      </c>
      <c r="D20" s="3"/>
      <c r="E20" s="3"/>
      <c r="F20" s="3"/>
    </row>
    <row r="21" spans="3:6" ht="15.75" x14ac:dyDescent="0.25">
      <c r="C21" s="177" t="s">
        <v>92</v>
      </c>
      <c r="D21" s="3"/>
      <c r="E21" s="3"/>
      <c r="F21" s="3"/>
    </row>
    <row r="22" spans="3:6" ht="15.75" x14ac:dyDescent="0.25">
      <c r="C22" s="177" t="s">
        <v>91</v>
      </c>
      <c r="D22" s="3"/>
      <c r="E22" s="3"/>
      <c r="F22" s="3"/>
    </row>
    <row r="23" spans="3:6" ht="15.75" x14ac:dyDescent="0.25">
      <c r="C23" s="177" t="s">
        <v>88</v>
      </c>
      <c r="D23" s="3"/>
      <c r="E23" s="3"/>
      <c r="F23" s="3"/>
    </row>
    <row r="24" spans="3:6" ht="15.75" x14ac:dyDescent="0.25">
      <c r="C24" s="177" t="s">
        <v>89</v>
      </c>
      <c r="D24" s="3"/>
      <c r="E24" s="3"/>
      <c r="F24" s="3"/>
    </row>
    <row r="25" spans="3:6" ht="15.75" x14ac:dyDescent="0.25">
      <c r="C25" s="177" t="s">
        <v>87</v>
      </c>
      <c r="D25" s="3"/>
      <c r="E25" s="3"/>
      <c r="F25" s="3"/>
    </row>
    <row r="26" spans="3:6" ht="15.75" x14ac:dyDescent="0.25">
      <c r="C26" s="177" t="s">
        <v>90</v>
      </c>
      <c r="D26" s="3"/>
      <c r="E26" s="3"/>
      <c r="F26" s="3"/>
    </row>
    <row r="27" spans="3:6" ht="15.75" x14ac:dyDescent="0.25">
      <c r="C27" s="177" t="s">
        <v>85</v>
      </c>
      <c r="D27" s="3"/>
      <c r="E27" s="3"/>
      <c r="F27" s="3"/>
    </row>
    <row r="28" spans="3:6" ht="15.75" customHeight="1" x14ac:dyDescent="0.25">
      <c r="C28" s="177" t="s">
        <v>86</v>
      </c>
      <c r="D28" s="3"/>
      <c r="E28" s="3"/>
      <c r="F28" s="3"/>
    </row>
    <row r="29" spans="3:6" ht="15.75" customHeight="1" x14ac:dyDescent="0.25">
      <c r="C29" s="177" t="s">
        <v>81</v>
      </c>
      <c r="D29" s="3"/>
      <c r="E29" s="3"/>
      <c r="F29" s="3"/>
    </row>
    <row r="30" spans="3:6" ht="15.75" x14ac:dyDescent="0.25">
      <c r="C30" s="177" t="s">
        <v>82</v>
      </c>
      <c r="D30" s="3"/>
      <c r="E30" s="3"/>
      <c r="F30" s="3"/>
    </row>
    <row r="31" spans="3:6" ht="15.75" x14ac:dyDescent="0.25">
      <c r="C31" s="241" t="s">
        <v>83</v>
      </c>
      <c r="D31" s="3"/>
      <c r="E31" s="3"/>
      <c r="F31" s="3"/>
    </row>
    <row r="32" spans="3:6" ht="15.75" x14ac:dyDescent="0.25">
      <c r="C32" s="177" t="s">
        <v>78</v>
      </c>
      <c r="D32" s="3"/>
      <c r="E32" s="3"/>
      <c r="F32" s="3"/>
    </row>
    <row r="33" spans="3:11" ht="15.75" x14ac:dyDescent="0.25">
      <c r="C33" s="177" t="s">
        <v>76</v>
      </c>
      <c r="D33" s="3"/>
      <c r="E33" s="3"/>
      <c r="F33" s="3"/>
    </row>
    <row r="34" spans="3:11" x14ac:dyDescent="0.25">
      <c r="C34" s="177" t="s">
        <v>77</v>
      </c>
      <c r="D34" s="321"/>
      <c r="E34" s="321"/>
      <c r="F34" s="321"/>
      <c r="G34" s="321"/>
      <c r="H34" s="321"/>
      <c r="I34" s="321"/>
      <c r="J34" s="321"/>
    </row>
    <row r="35" spans="3:11" ht="15" customHeight="1" x14ac:dyDescent="0.25">
      <c r="C35" s="177" t="s">
        <v>75</v>
      </c>
      <c r="D35" s="321"/>
      <c r="E35" s="321"/>
      <c r="F35" s="321"/>
      <c r="G35" s="321"/>
      <c r="H35" s="321"/>
      <c r="I35" s="321"/>
      <c r="J35" s="321"/>
    </row>
    <row r="36" spans="3:11" ht="15" customHeight="1" x14ac:dyDescent="0.25">
      <c r="C36" s="321" t="s">
        <v>72</v>
      </c>
      <c r="D36" s="321"/>
      <c r="E36" s="321"/>
      <c r="F36" s="321"/>
      <c r="G36" s="321"/>
      <c r="H36" s="321"/>
      <c r="I36" s="321"/>
      <c r="J36" s="321"/>
      <c r="K36" s="60"/>
    </row>
    <row r="37" spans="3:11" ht="15" customHeight="1" x14ac:dyDescent="0.25">
      <c r="C37" s="321" t="s">
        <v>73</v>
      </c>
    </row>
    <row r="38" spans="3:11" x14ac:dyDescent="0.25">
      <c r="C38" s="321" t="s">
        <v>74</v>
      </c>
    </row>
  </sheetData>
  <customSheetViews>
    <customSheetView guid="{0284F5E2-DB98-486F-B3F7-128FA2A0A465}" fitToPage="1" hiddenColumns="1">
      <selection activeCell="G9" sqref="G9"/>
      <pageMargins left="0.70866141732283472" right="0.70866141732283472" top="0.74803149606299213" bottom="0.74803149606299213" header="0.31496062992125984" footer="0.31496062992125984"/>
      <pageSetup paperSize="9" scale="93" orientation="landscape" r:id="rId1"/>
    </customSheetView>
    <customSheetView guid="{E4AC4991-F371-4BAF-8335-AD017EF379C0}" fitToPage="1" hiddenColumns="1">
      <selection activeCell="G9" sqref="G9"/>
      <pageMargins left="0.70866141732283472" right="0.70866141732283472" top="0.74803149606299213" bottom="0.74803149606299213" header="0.31496062992125984" footer="0.31496062992125984"/>
      <pageSetup paperSize="9" scale="93" orientation="landscape" r:id="rId2"/>
    </customSheetView>
  </customSheetViews>
  <mergeCells count="7">
    <mergeCell ref="C16:F16"/>
    <mergeCell ref="C8:J8"/>
    <mergeCell ref="C11:F11"/>
    <mergeCell ref="C12:F12"/>
    <mergeCell ref="C13:F13"/>
    <mergeCell ref="C14:F14"/>
    <mergeCell ref="C15:F15"/>
  </mergeCells>
  <phoneticPr fontId="14" type="noConversion"/>
  <hyperlinks>
    <hyperlink ref="C11:F11" location="'Key Financials'!A1" display="Key financial and operational results"/>
    <hyperlink ref="C12:F12" location="'Assets and Liabili-s structure'!A1" display="Assets and Liabilities structure"/>
    <hyperlink ref="C13:F13" location="'Loan Portfolio IFRS 9'!A1" display="Loan portfolio"/>
    <hyperlink ref="C14:F14" location="'Customer Deposits'!A1" display="Customer deposits"/>
    <hyperlink ref="C15:F15" location="Capital!A1" display="Capital"/>
    <hyperlink ref="C16:F16" location="'Income and Expenses structure'!A1" display="Income and Expenses structure"/>
  </hyperlinks>
  <pageMargins left="0.70866141732283472" right="0.70866141732283472" top="0.74803149606299213" bottom="0.74803149606299213" header="0.31496062992125984" footer="0.31496062992125984"/>
  <pageSetup paperSize="9" scale="93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W91"/>
  <sheetViews>
    <sheetView showGridLines="0" zoomScale="80" zoomScaleNormal="8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5.7109375" style="72" customWidth="1"/>
    <col min="2" max="2" width="54.42578125" style="1" customWidth="1"/>
    <col min="3" max="19" width="16.7109375" style="1" customWidth="1"/>
    <col min="20" max="20" width="15.7109375" style="1" customWidth="1"/>
    <col min="21" max="32" width="16.7109375" style="1" customWidth="1"/>
    <col min="33" max="16384" width="9.140625" style="1"/>
  </cols>
  <sheetData>
    <row r="1" spans="1:153" ht="22.5" customHeight="1" x14ac:dyDescent="0.25">
      <c r="A1" s="307">
        <v>1</v>
      </c>
      <c r="B1" s="358">
        <v>2</v>
      </c>
      <c r="C1" s="359">
        <v>3</v>
      </c>
      <c r="D1" s="358">
        <v>4</v>
      </c>
      <c r="E1" s="359">
        <v>5</v>
      </c>
      <c r="F1" s="358">
        <v>6</v>
      </c>
      <c r="G1" s="359">
        <v>7</v>
      </c>
      <c r="H1" s="358">
        <v>8</v>
      </c>
      <c r="I1" s="359">
        <v>9</v>
      </c>
      <c r="J1" s="358">
        <v>10</v>
      </c>
      <c r="K1" s="359">
        <v>11</v>
      </c>
      <c r="L1" s="358">
        <v>12</v>
      </c>
      <c r="M1" s="359">
        <v>13</v>
      </c>
      <c r="N1" s="358">
        <v>14</v>
      </c>
      <c r="O1" s="359">
        <v>15</v>
      </c>
      <c r="P1" s="358">
        <v>16</v>
      </c>
      <c r="Q1" s="359">
        <v>17</v>
      </c>
      <c r="R1" s="358">
        <v>18</v>
      </c>
      <c r="S1" s="359">
        <v>19</v>
      </c>
      <c r="T1" s="358">
        <v>20</v>
      </c>
      <c r="U1" s="359">
        <v>21</v>
      </c>
      <c r="V1" s="358">
        <v>22</v>
      </c>
      <c r="W1" s="359">
        <v>23</v>
      </c>
      <c r="X1" s="358">
        <v>24</v>
      </c>
      <c r="Y1" s="359">
        <v>25</v>
      </c>
      <c r="Z1" s="358">
        <v>26</v>
      </c>
      <c r="AA1" s="359">
        <v>27</v>
      </c>
      <c r="AB1" s="358">
        <v>28</v>
      </c>
      <c r="AC1" s="359">
        <v>29</v>
      </c>
      <c r="AD1" s="358">
        <v>30</v>
      </c>
      <c r="AE1" s="359">
        <v>31</v>
      </c>
      <c r="AF1" s="358">
        <v>32</v>
      </c>
      <c r="AG1" s="359">
        <v>33</v>
      </c>
      <c r="AH1" s="358">
        <v>34</v>
      </c>
      <c r="AI1" s="359">
        <v>35</v>
      </c>
      <c r="AJ1" s="358">
        <v>36</v>
      </c>
      <c r="AK1" s="359">
        <v>37</v>
      </c>
      <c r="AL1" s="358">
        <v>38</v>
      </c>
      <c r="AM1" s="359">
        <v>39</v>
      </c>
      <c r="AN1" s="358">
        <v>40</v>
      </c>
      <c r="AO1" s="359">
        <v>41</v>
      </c>
      <c r="AP1" s="358">
        <v>42</v>
      </c>
      <c r="AQ1" s="359">
        <v>43</v>
      </c>
      <c r="AR1" s="358">
        <v>44</v>
      </c>
      <c r="AS1" s="359">
        <v>45</v>
      </c>
      <c r="AT1" s="358">
        <v>46</v>
      </c>
      <c r="AU1" s="359">
        <v>47</v>
      </c>
      <c r="AV1" s="358">
        <v>48</v>
      </c>
      <c r="AW1" s="359">
        <v>49</v>
      </c>
      <c r="AX1" s="358">
        <v>50</v>
      </c>
      <c r="AY1" s="359">
        <v>51</v>
      </c>
      <c r="AZ1" s="358">
        <v>52</v>
      </c>
      <c r="BA1" s="359">
        <v>53</v>
      </c>
      <c r="BB1" s="358">
        <v>54</v>
      </c>
      <c r="BC1" s="359">
        <v>55</v>
      </c>
      <c r="BD1" s="358">
        <v>56</v>
      </c>
      <c r="BE1" s="359">
        <v>57</v>
      </c>
      <c r="BF1" s="358">
        <v>58</v>
      </c>
      <c r="BG1" s="359">
        <v>59</v>
      </c>
      <c r="BH1" s="358">
        <v>60</v>
      </c>
      <c r="BI1" s="359">
        <v>61</v>
      </c>
      <c r="BJ1" s="359">
        <v>62</v>
      </c>
      <c r="BK1" s="359">
        <v>63</v>
      </c>
      <c r="BL1" s="358">
        <v>64</v>
      </c>
      <c r="BM1" s="359">
        <v>65</v>
      </c>
      <c r="BN1" s="358">
        <v>66</v>
      </c>
      <c r="BO1" s="359">
        <v>67</v>
      </c>
      <c r="BP1" s="358">
        <v>68</v>
      </c>
      <c r="BQ1" s="359">
        <v>69</v>
      </c>
      <c r="BR1" s="358">
        <v>70</v>
      </c>
      <c r="BS1" s="359">
        <v>71</v>
      </c>
      <c r="BT1" s="358">
        <v>72</v>
      </c>
      <c r="BU1" s="359">
        <v>73</v>
      </c>
      <c r="BV1" s="358">
        <v>74</v>
      </c>
      <c r="BW1" s="359">
        <v>75</v>
      </c>
      <c r="BX1" s="358">
        <v>76</v>
      </c>
      <c r="BY1" s="359">
        <v>77</v>
      </c>
      <c r="BZ1" s="358">
        <v>78</v>
      </c>
      <c r="CA1" s="359">
        <v>79</v>
      </c>
      <c r="CB1" s="358">
        <v>80</v>
      </c>
      <c r="CC1" s="359">
        <v>81</v>
      </c>
      <c r="CD1" s="358">
        <v>82</v>
      </c>
      <c r="CE1" s="359">
        <v>83</v>
      </c>
      <c r="CF1" s="358">
        <v>84</v>
      </c>
      <c r="CG1" s="359">
        <v>85</v>
      </c>
      <c r="CH1" s="358">
        <v>86</v>
      </c>
      <c r="CI1" s="359">
        <v>87</v>
      </c>
      <c r="CJ1" s="358">
        <v>88</v>
      </c>
      <c r="CK1" s="359">
        <v>89</v>
      </c>
      <c r="CL1" s="358">
        <v>90</v>
      </c>
      <c r="CM1" s="359">
        <v>91</v>
      </c>
      <c r="CN1" s="358">
        <v>92</v>
      </c>
      <c r="CO1" s="359">
        <v>93</v>
      </c>
      <c r="CP1" s="358">
        <v>94</v>
      </c>
      <c r="CQ1" s="359">
        <v>95</v>
      </c>
      <c r="CR1" s="358">
        <v>96</v>
      </c>
      <c r="CS1" s="359">
        <v>97</v>
      </c>
      <c r="CT1" s="358">
        <v>98</v>
      </c>
      <c r="CU1" s="359">
        <v>99</v>
      </c>
      <c r="CV1" s="358">
        <v>100</v>
      </c>
      <c r="CW1" s="359">
        <v>101</v>
      </c>
      <c r="CX1" s="358">
        <v>102</v>
      </c>
      <c r="CY1" s="359">
        <v>103</v>
      </c>
      <c r="CZ1" s="358">
        <v>104</v>
      </c>
      <c r="DA1" s="359">
        <v>105</v>
      </c>
      <c r="DB1" s="358">
        <v>106</v>
      </c>
      <c r="DC1" s="359">
        <v>107</v>
      </c>
      <c r="DD1" s="358">
        <v>108</v>
      </c>
      <c r="DE1" s="359">
        <v>109</v>
      </c>
      <c r="DF1" s="358">
        <v>110</v>
      </c>
      <c r="DG1" s="359">
        <v>111</v>
      </c>
      <c r="DH1" s="358">
        <v>112</v>
      </c>
      <c r="DI1" s="359">
        <v>113</v>
      </c>
      <c r="DJ1" s="358">
        <v>114</v>
      </c>
      <c r="DK1" s="359">
        <v>115</v>
      </c>
      <c r="DL1" s="358">
        <v>116</v>
      </c>
      <c r="DM1" s="359">
        <v>117</v>
      </c>
      <c r="DN1" s="358">
        <v>118</v>
      </c>
      <c r="DO1" s="359">
        <v>119</v>
      </c>
      <c r="DP1" s="358">
        <v>120</v>
      </c>
      <c r="DQ1" s="359">
        <v>121</v>
      </c>
      <c r="DR1" s="358">
        <v>122</v>
      </c>
      <c r="DS1" s="359">
        <v>123</v>
      </c>
      <c r="DT1" s="358">
        <v>124</v>
      </c>
      <c r="DU1" s="359">
        <v>125</v>
      </c>
      <c r="DV1" s="358">
        <v>126</v>
      </c>
      <c r="DW1" s="359">
        <v>127</v>
      </c>
      <c r="DX1" s="358">
        <v>128</v>
      </c>
      <c r="DY1" s="359">
        <v>129</v>
      </c>
      <c r="DZ1" s="358">
        <v>130</v>
      </c>
      <c r="EA1" s="359">
        <v>131</v>
      </c>
      <c r="EB1" s="358">
        <v>132</v>
      </c>
      <c r="EC1" s="359">
        <v>133</v>
      </c>
      <c r="ED1" s="358">
        <v>134</v>
      </c>
      <c r="EE1" s="359">
        <v>135</v>
      </c>
      <c r="EF1" s="358">
        <v>136</v>
      </c>
      <c r="EG1" s="359">
        <v>137</v>
      </c>
      <c r="EH1" s="358">
        <v>138</v>
      </c>
      <c r="EI1" s="359">
        <v>139</v>
      </c>
      <c r="EJ1" s="358">
        <v>140</v>
      </c>
      <c r="EK1" s="359">
        <v>141</v>
      </c>
      <c r="EL1" s="358">
        <v>142</v>
      </c>
      <c r="EM1" s="359">
        <v>143</v>
      </c>
      <c r="EN1" s="358">
        <v>144</v>
      </c>
      <c r="EO1" s="359">
        <v>145</v>
      </c>
      <c r="EP1" s="358">
        <v>146</v>
      </c>
      <c r="EQ1" s="359">
        <v>147</v>
      </c>
      <c r="ER1" s="358">
        <v>148</v>
      </c>
      <c r="ES1" s="359">
        <v>149</v>
      </c>
      <c r="ET1" s="358">
        <v>150</v>
      </c>
      <c r="EU1" s="359">
        <v>151</v>
      </c>
      <c r="EV1" s="358">
        <v>152</v>
      </c>
      <c r="EW1" s="359">
        <v>153</v>
      </c>
    </row>
    <row r="2" spans="1:153" x14ac:dyDescent="0.25">
      <c r="A2" s="72">
        <v>2</v>
      </c>
      <c r="C2" s="247"/>
      <c r="D2" s="247"/>
      <c r="E2" s="247"/>
      <c r="F2" s="247"/>
    </row>
    <row r="3" spans="1:153" x14ac:dyDescent="0.25">
      <c r="A3" s="72">
        <v>3</v>
      </c>
      <c r="C3" s="128"/>
      <c r="D3" s="128"/>
      <c r="E3" s="128"/>
    </row>
    <row r="4" spans="1:153" x14ac:dyDescent="0.25">
      <c r="A4" s="307">
        <v>4</v>
      </c>
      <c r="C4" s="6"/>
    </row>
    <row r="5" spans="1:153" ht="51" customHeight="1" thickBot="1" x14ac:dyDescent="0.3">
      <c r="A5" s="72">
        <v>5</v>
      </c>
      <c r="B5" s="107" t="s">
        <v>0</v>
      </c>
      <c r="C5" s="108" t="s">
        <v>3</v>
      </c>
      <c r="D5" s="109" t="s">
        <v>0</v>
      </c>
      <c r="E5" s="110" t="s">
        <v>53</v>
      </c>
      <c r="F5" s="110" t="s">
        <v>56</v>
      </c>
      <c r="G5" s="111" t="s">
        <v>1</v>
      </c>
      <c r="H5" s="111" t="s">
        <v>2</v>
      </c>
      <c r="I5" s="112" t="s">
        <v>63</v>
      </c>
      <c r="J5"/>
    </row>
    <row r="6" spans="1:153" ht="15.75" thickTop="1" x14ac:dyDescent="0.25">
      <c r="A6" s="72">
        <v>6</v>
      </c>
      <c r="B6" s="201"/>
    </row>
    <row r="7" spans="1:153" ht="15.75" customHeight="1" x14ac:dyDescent="0.25">
      <c r="A7" s="307">
        <v>7</v>
      </c>
      <c r="B7" s="423" t="s">
        <v>120</v>
      </c>
      <c r="C7" s="416">
        <v>45930</v>
      </c>
      <c r="D7" s="416">
        <v>45838</v>
      </c>
      <c r="E7" s="416">
        <v>45747</v>
      </c>
      <c r="F7" s="416">
        <v>45657</v>
      </c>
      <c r="G7" s="416">
        <v>45565</v>
      </c>
      <c r="H7" s="416">
        <v>45473</v>
      </c>
      <c r="I7" s="416">
        <v>45382</v>
      </c>
      <c r="J7" s="416">
        <v>45291</v>
      </c>
      <c r="K7" s="416">
        <v>45199</v>
      </c>
      <c r="L7" s="416">
        <v>45107</v>
      </c>
      <c r="M7" s="416">
        <v>45016</v>
      </c>
      <c r="N7" s="416">
        <v>44926</v>
      </c>
      <c r="O7" s="416">
        <v>44834</v>
      </c>
      <c r="P7" s="416">
        <v>44742</v>
      </c>
      <c r="Q7" s="416">
        <v>44651</v>
      </c>
      <c r="R7" s="416">
        <v>44561</v>
      </c>
      <c r="S7" s="416">
        <v>44469</v>
      </c>
      <c r="T7" s="416">
        <v>44377</v>
      </c>
      <c r="U7" s="416">
        <v>44286</v>
      </c>
      <c r="V7" s="416">
        <v>44196</v>
      </c>
      <c r="W7" s="416">
        <v>44104</v>
      </c>
      <c r="X7" s="416">
        <v>44012</v>
      </c>
      <c r="Y7" s="416">
        <v>43921</v>
      </c>
      <c r="Z7" s="416">
        <v>43830</v>
      </c>
      <c r="AA7" s="416">
        <v>43738</v>
      </c>
      <c r="AB7" s="416">
        <v>43646</v>
      </c>
      <c r="AC7" s="416">
        <v>43555</v>
      </c>
      <c r="AD7" s="416">
        <v>43465</v>
      </c>
      <c r="AE7" s="416">
        <v>43373</v>
      </c>
      <c r="AF7" s="416">
        <v>43281</v>
      </c>
      <c r="AG7" s="416">
        <v>43190</v>
      </c>
      <c r="AH7" s="416">
        <v>43100</v>
      </c>
      <c r="AI7" s="416">
        <v>43008</v>
      </c>
      <c r="AJ7" s="416">
        <v>42916</v>
      </c>
      <c r="AK7" s="416">
        <v>42825</v>
      </c>
      <c r="AL7" s="416">
        <v>42735</v>
      </c>
      <c r="AM7" s="416">
        <v>42643</v>
      </c>
      <c r="AN7" s="416">
        <v>42551</v>
      </c>
      <c r="AO7" s="416">
        <v>42460</v>
      </c>
      <c r="AP7" s="416">
        <v>42369</v>
      </c>
      <c r="AQ7" s="416">
        <v>42277</v>
      </c>
      <c r="AR7" s="416">
        <v>42185</v>
      </c>
      <c r="AS7" s="416">
        <v>42094</v>
      </c>
      <c r="AT7" s="416">
        <v>42004</v>
      </c>
      <c r="AU7" s="416">
        <v>41912</v>
      </c>
      <c r="AV7" s="416">
        <v>41820</v>
      </c>
      <c r="AW7" s="416">
        <v>41729</v>
      </c>
      <c r="AX7" s="416">
        <v>41639</v>
      </c>
      <c r="AY7" s="416">
        <v>41547</v>
      </c>
      <c r="AZ7" s="416">
        <v>41455</v>
      </c>
      <c r="BA7" s="416">
        <v>41364</v>
      </c>
      <c r="BB7" s="416">
        <v>41274</v>
      </c>
      <c r="BC7" s="416">
        <v>41182</v>
      </c>
      <c r="BD7" s="416">
        <v>41090</v>
      </c>
      <c r="BE7" s="416">
        <v>40999</v>
      </c>
      <c r="BF7" s="416">
        <v>40908</v>
      </c>
      <c r="BG7" s="416">
        <v>40816</v>
      </c>
      <c r="BH7" s="416">
        <v>40724</v>
      </c>
      <c r="BI7" s="416">
        <v>40633</v>
      </c>
      <c r="BJ7" s="416">
        <v>40543</v>
      </c>
      <c r="BK7" s="416">
        <v>40451</v>
      </c>
      <c r="BL7" s="1">
        <v>40359</v>
      </c>
      <c r="BM7" s="1">
        <v>40268</v>
      </c>
      <c r="BN7" s="1">
        <v>40178</v>
      </c>
      <c r="BO7" s="1" t="s">
        <v>121</v>
      </c>
      <c r="BP7" s="1" t="s">
        <v>121</v>
      </c>
      <c r="BQ7" s="1" t="s">
        <v>121</v>
      </c>
      <c r="BR7" s="1" t="s">
        <v>121</v>
      </c>
      <c r="BS7" s="1" t="s">
        <v>121</v>
      </c>
      <c r="BT7" s="1" t="s">
        <v>121</v>
      </c>
      <c r="BU7" s="1" t="s">
        <v>121</v>
      </c>
      <c r="BV7" s="1" t="s">
        <v>121</v>
      </c>
      <c r="BW7" s="1" t="s">
        <v>121</v>
      </c>
      <c r="BX7" s="1" t="s">
        <v>121</v>
      </c>
      <c r="BY7" s="1" t="s">
        <v>121</v>
      </c>
      <c r="BZ7" s="1" t="s">
        <v>121</v>
      </c>
      <c r="CA7" s="1" t="s">
        <v>121</v>
      </c>
      <c r="CB7" s="1" t="s">
        <v>121</v>
      </c>
      <c r="CC7" s="1" t="s">
        <v>121</v>
      </c>
      <c r="CD7" s="1" t="s">
        <v>121</v>
      </c>
      <c r="CE7" s="1" t="s">
        <v>121</v>
      </c>
      <c r="CF7" s="1" t="s">
        <v>121</v>
      </c>
      <c r="CG7" s="1" t="s">
        <v>121</v>
      </c>
      <c r="CH7" s="1" t="s">
        <v>121</v>
      </c>
      <c r="CI7" s="1" t="s">
        <v>121</v>
      </c>
      <c r="CJ7" s="1" t="s">
        <v>121</v>
      </c>
      <c r="CK7" s="1" t="s">
        <v>121</v>
      </c>
      <c r="CL7" s="1" t="s">
        <v>121</v>
      </c>
      <c r="CM7" s="1" t="s">
        <v>121</v>
      </c>
      <c r="CN7" s="1" t="s">
        <v>121</v>
      </c>
      <c r="CO7" s="1" t="s">
        <v>121</v>
      </c>
      <c r="CP7" s="1" t="s">
        <v>121</v>
      </c>
      <c r="CQ7" s="1" t="s">
        <v>121</v>
      </c>
      <c r="CR7" s="1" t="s">
        <v>121</v>
      </c>
      <c r="CS7" s="1" t="s">
        <v>121</v>
      </c>
      <c r="CT7" s="1" t="s">
        <v>121</v>
      </c>
      <c r="CU7" s="1" t="s">
        <v>121</v>
      </c>
      <c r="CV7" s="1" t="s">
        <v>121</v>
      </c>
      <c r="CW7" s="1" t="s">
        <v>121</v>
      </c>
      <c r="CX7" s="1" t="s">
        <v>121</v>
      </c>
      <c r="CY7" s="1" t="s">
        <v>121</v>
      </c>
      <c r="CZ7" s="1" t="s">
        <v>121</v>
      </c>
      <c r="DA7" s="1" t="s">
        <v>121</v>
      </c>
      <c r="DB7" s="1" t="s">
        <v>121</v>
      </c>
      <c r="DC7" s="1" t="s">
        <v>121</v>
      </c>
      <c r="DD7" s="1" t="s">
        <v>121</v>
      </c>
      <c r="DE7" s="1" t="s">
        <v>121</v>
      </c>
      <c r="DF7" s="1" t="s">
        <v>121</v>
      </c>
      <c r="DG7" s="1" t="s">
        <v>121</v>
      </c>
      <c r="DH7" s="1" t="s">
        <v>121</v>
      </c>
      <c r="DI7" s="1" t="s">
        <v>121</v>
      </c>
      <c r="DJ7" s="1" t="s">
        <v>121</v>
      </c>
      <c r="DK7" s="1" t="s">
        <v>121</v>
      </c>
      <c r="DL7" s="1" t="s">
        <v>121</v>
      </c>
      <c r="DM7" s="1" t="s">
        <v>121</v>
      </c>
      <c r="DN7" s="1" t="s">
        <v>121</v>
      </c>
      <c r="DO7" s="1" t="s">
        <v>121</v>
      </c>
      <c r="DP7" s="1" t="s">
        <v>121</v>
      </c>
      <c r="DQ7" s="1" t="s">
        <v>121</v>
      </c>
      <c r="DR7" s="1" t="s">
        <v>121</v>
      </c>
      <c r="DS7" s="1" t="s">
        <v>121</v>
      </c>
      <c r="DT7" s="1" t="s">
        <v>121</v>
      </c>
      <c r="DU7" s="1" t="s">
        <v>121</v>
      </c>
      <c r="DV7" s="1" t="s">
        <v>121</v>
      </c>
      <c r="DW7" s="1" t="s">
        <v>121</v>
      </c>
      <c r="DX7" s="1" t="s">
        <v>121</v>
      </c>
      <c r="DY7" s="1" t="s">
        <v>121</v>
      </c>
      <c r="DZ7" s="1" t="s">
        <v>121</v>
      </c>
      <c r="EA7" s="1" t="s">
        <v>121</v>
      </c>
      <c r="EB7" s="1" t="s">
        <v>121</v>
      </c>
      <c r="EC7" s="1" t="s">
        <v>121</v>
      </c>
      <c r="ED7" s="1" t="s">
        <v>121</v>
      </c>
      <c r="EE7" s="1" t="s">
        <v>121</v>
      </c>
      <c r="EF7" s="1" t="s">
        <v>121</v>
      </c>
      <c r="EG7" s="1" t="s">
        <v>121</v>
      </c>
      <c r="EH7" s="1" t="s">
        <v>121</v>
      </c>
      <c r="EI7" s="1" t="s">
        <v>121</v>
      </c>
      <c r="EJ7" s="1" t="s">
        <v>121</v>
      </c>
      <c r="EK7" s="1" t="s">
        <v>121</v>
      </c>
      <c r="EL7" s="1" t="s">
        <v>121</v>
      </c>
      <c r="EM7" s="1" t="s">
        <v>121</v>
      </c>
      <c r="EN7" s="1" t="s">
        <v>121</v>
      </c>
      <c r="EO7" s="1" t="s">
        <v>121</v>
      </c>
      <c r="EP7" s="1" t="s">
        <v>121</v>
      </c>
    </row>
    <row r="8" spans="1:153" ht="15" customHeight="1" x14ac:dyDescent="0.25">
      <c r="A8" s="72">
        <v>8</v>
      </c>
      <c r="B8" s="424"/>
      <c r="C8" s="417"/>
      <c r="D8" s="417"/>
      <c r="E8" s="417"/>
      <c r="F8" s="417"/>
      <c r="G8" s="417"/>
      <c r="H8" s="417"/>
      <c r="I8" s="417"/>
      <c r="J8" s="418"/>
      <c r="K8" s="418"/>
      <c r="L8" s="418"/>
      <c r="M8" s="417"/>
      <c r="N8" s="417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18"/>
      <c r="AH8" s="418"/>
      <c r="AI8" s="418"/>
      <c r="AJ8" s="418"/>
      <c r="AK8" s="418"/>
      <c r="AL8" s="418"/>
      <c r="AM8" s="418"/>
      <c r="AN8" s="418"/>
      <c r="AO8" s="418"/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8"/>
      <c r="BE8" s="418"/>
      <c r="BF8" s="418"/>
      <c r="BG8" s="418"/>
      <c r="BH8" s="418"/>
      <c r="BI8" s="418"/>
      <c r="BJ8" s="418"/>
      <c r="BK8" s="418"/>
    </row>
    <row r="9" spans="1:153" ht="9.75" customHeight="1" x14ac:dyDescent="0.25">
      <c r="A9" s="72">
        <v>9</v>
      </c>
      <c r="B9" s="8" t="s">
        <v>4</v>
      </c>
      <c r="C9" s="8" t="s">
        <v>121</v>
      </c>
      <c r="D9" s="1" t="s">
        <v>121</v>
      </c>
      <c r="E9" s="1" t="s">
        <v>121</v>
      </c>
      <c r="F9" s="1" t="s">
        <v>121</v>
      </c>
      <c r="G9" s="1" t="s">
        <v>121</v>
      </c>
      <c r="H9" s="1" t="s">
        <v>121</v>
      </c>
      <c r="I9" s="1" t="s">
        <v>121</v>
      </c>
      <c r="J9" s="1" t="s">
        <v>121</v>
      </c>
      <c r="K9" s="1" t="s">
        <v>121</v>
      </c>
      <c r="L9" s="1" t="s">
        <v>121</v>
      </c>
      <c r="M9" s="1" t="s">
        <v>121</v>
      </c>
      <c r="N9" s="1" t="s">
        <v>121</v>
      </c>
      <c r="O9" s="1" t="s">
        <v>121</v>
      </c>
      <c r="P9" s="1" t="s">
        <v>121</v>
      </c>
      <c r="Q9" s="1" t="s">
        <v>121</v>
      </c>
      <c r="R9" s="1" t="s">
        <v>121</v>
      </c>
      <c r="S9" s="1" t="s">
        <v>121</v>
      </c>
      <c r="T9" s="1" t="s">
        <v>121</v>
      </c>
      <c r="U9" s="1" t="s">
        <v>121</v>
      </c>
      <c r="V9" s="1" t="s">
        <v>121</v>
      </c>
      <c r="W9" s="8" t="s">
        <v>121</v>
      </c>
      <c r="X9" s="8" t="s">
        <v>121</v>
      </c>
      <c r="Y9" s="8" t="s">
        <v>121</v>
      </c>
      <c r="Z9" s="8" t="s">
        <v>121</v>
      </c>
      <c r="AA9" s="8" t="s">
        <v>121</v>
      </c>
      <c r="AB9" s="8" t="s">
        <v>121</v>
      </c>
      <c r="AC9" s="8" t="s">
        <v>121</v>
      </c>
      <c r="AD9" s="8" t="s">
        <v>121</v>
      </c>
      <c r="AE9" s="8" t="s">
        <v>121</v>
      </c>
      <c r="AF9" s="8" t="s">
        <v>121</v>
      </c>
      <c r="AG9" s="8" t="s">
        <v>121</v>
      </c>
      <c r="AH9" s="8" t="s">
        <v>121</v>
      </c>
      <c r="AI9" s="8" t="s">
        <v>121</v>
      </c>
      <c r="AJ9" s="8" t="s">
        <v>121</v>
      </c>
      <c r="AK9" s="8" t="s">
        <v>121</v>
      </c>
      <c r="AL9" s="8" t="s">
        <v>121</v>
      </c>
      <c r="AM9" s="8" t="s">
        <v>121</v>
      </c>
      <c r="AN9" s="8" t="s">
        <v>121</v>
      </c>
      <c r="AO9" s="8" t="s">
        <v>121</v>
      </c>
      <c r="AP9" s="8" t="s">
        <v>121</v>
      </c>
      <c r="AQ9" s="8" t="s">
        <v>121</v>
      </c>
      <c r="AR9" s="8" t="s">
        <v>121</v>
      </c>
      <c r="AS9" s="8" t="s">
        <v>121</v>
      </c>
      <c r="AT9" s="8" t="s">
        <v>121</v>
      </c>
      <c r="AU9" s="8" t="s">
        <v>121</v>
      </c>
      <c r="AV9" s="8" t="s">
        <v>121</v>
      </c>
      <c r="AW9" s="8" t="s">
        <v>121</v>
      </c>
      <c r="AX9" s="1" t="s">
        <v>121</v>
      </c>
      <c r="AY9" s="1" t="s">
        <v>121</v>
      </c>
      <c r="AZ9" s="1" t="s">
        <v>121</v>
      </c>
      <c r="BA9" s="1" t="s">
        <v>121</v>
      </c>
      <c r="BB9" s="1" t="s">
        <v>121</v>
      </c>
      <c r="BC9" s="1" t="s">
        <v>121</v>
      </c>
      <c r="BD9" s="1" t="s">
        <v>121</v>
      </c>
      <c r="BE9" s="1" t="s">
        <v>121</v>
      </c>
      <c r="BF9" s="1" t="s">
        <v>121</v>
      </c>
      <c r="BG9" s="1" t="s">
        <v>121</v>
      </c>
      <c r="BH9" s="1" t="s">
        <v>121</v>
      </c>
      <c r="BI9" s="1" t="s">
        <v>121</v>
      </c>
      <c r="BJ9" s="1" t="s">
        <v>121</v>
      </c>
      <c r="BK9" s="1" t="s">
        <v>121</v>
      </c>
      <c r="BL9" s="1" t="s">
        <v>121</v>
      </c>
      <c r="BM9" s="1" t="s">
        <v>121</v>
      </c>
      <c r="BN9" s="1" t="s">
        <v>121</v>
      </c>
      <c r="BO9" s="1" t="s">
        <v>121</v>
      </c>
      <c r="BP9" s="1" t="s">
        <v>121</v>
      </c>
      <c r="BQ9" s="1" t="s">
        <v>121</v>
      </c>
      <c r="BR9" s="1" t="s">
        <v>121</v>
      </c>
      <c r="BS9" s="1" t="s">
        <v>121</v>
      </c>
      <c r="BT9" s="1" t="s">
        <v>121</v>
      </c>
      <c r="BU9" s="1" t="s">
        <v>121</v>
      </c>
      <c r="BV9" s="1" t="s">
        <v>121</v>
      </c>
      <c r="BW9" s="1" t="s">
        <v>121</v>
      </c>
      <c r="BX9" s="1" t="s">
        <v>121</v>
      </c>
      <c r="BY9" s="1" t="s">
        <v>121</v>
      </c>
      <c r="BZ9" s="1" t="s">
        <v>121</v>
      </c>
      <c r="CA9" s="1" t="s">
        <v>121</v>
      </c>
      <c r="CB9" s="1" t="s">
        <v>121</v>
      </c>
      <c r="CC9" s="1" t="s">
        <v>121</v>
      </c>
      <c r="CD9" s="1" t="s">
        <v>121</v>
      </c>
      <c r="CE9" s="1" t="s">
        <v>121</v>
      </c>
      <c r="CF9" s="1" t="s">
        <v>121</v>
      </c>
      <c r="CG9" s="1" t="s">
        <v>121</v>
      </c>
      <c r="CH9" s="1" t="s">
        <v>121</v>
      </c>
      <c r="CI9" s="1" t="s">
        <v>121</v>
      </c>
      <c r="CJ9" s="1" t="s">
        <v>121</v>
      </c>
      <c r="CK9" s="1" t="s">
        <v>121</v>
      </c>
      <c r="CL9" s="1" t="s">
        <v>121</v>
      </c>
      <c r="CM9" s="1" t="s">
        <v>121</v>
      </c>
      <c r="CN9" s="1" t="s">
        <v>121</v>
      </c>
      <c r="CO9" s="1" t="s">
        <v>121</v>
      </c>
      <c r="CP9" s="1" t="s">
        <v>121</v>
      </c>
      <c r="CQ9" s="1" t="s">
        <v>121</v>
      </c>
      <c r="CR9" s="1" t="s">
        <v>121</v>
      </c>
      <c r="CS9" s="1" t="s">
        <v>121</v>
      </c>
      <c r="CT9" s="1" t="s">
        <v>121</v>
      </c>
      <c r="CU9" s="1" t="s">
        <v>121</v>
      </c>
      <c r="CV9" s="1" t="s">
        <v>121</v>
      </c>
      <c r="CW9" s="1" t="s">
        <v>121</v>
      </c>
      <c r="CX9" s="1" t="s">
        <v>121</v>
      </c>
      <c r="CY9" s="1" t="s">
        <v>121</v>
      </c>
      <c r="CZ9" s="1" t="s">
        <v>121</v>
      </c>
      <c r="DA9" s="1" t="s">
        <v>121</v>
      </c>
      <c r="DB9" s="1" t="s">
        <v>121</v>
      </c>
      <c r="DC9" s="1" t="s">
        <v>121</v>
      </c>
      <c r="DD9" s="1" t="s">
        <v>121</v>
      </c>
      <c r="DE9" s="1" t="s">
        <v>121</v>
      </c>
      <c r="DF9" s="1" t="s">
        <v>121</v>
      </c>
      <c r="DG9" s="1" t="s">
        <v>121</v>
      </c>
      <c r="DH9" s="1" t="s">
        <v>121</v>
      </c>
      <c r="DI9" s="1" t="s">
        <v>121</v>
      </c>
      <c r="DJ9" s="1" t="s">
        <v>121</v>
      </c>
      <c r="DK9" s="1" t="s">
        <v>121</v>
      </c>
      <c r="DL9" s="1" t="s">
        <v>121</v>
      </c>
      <c r="DM9" s="1" t="s">
        <v>121</v>
      </c>
      <c r="DN9" s="1" t="s">
        <v>121</v>
      </c>
      <c r="DO9" s="1" t="s">
        <v>121</v>
      </c>
      <c r="DP9" s="1" t="s">
        <v>121</v>
      </c>
      <c r="DQ9" s="1" t="s">
        <v>121</v>
      </c>
      <c r="DR9" s="1" t="s">
        <v>121</v>
      </c>
      <c r="DS9" s="1" t="s">
        <v>121</v>
      </c>
      <c r="DT9" s="1" t="s">
        <v>121</v>
      </c>
      <c r="DU9" s="1" t="s">
        <v>121</v>
      </c>
      <c r="DV9" s="1" t="s">
        <v>121</v>
      </c>
      <c r="DW9" s="1" t="s">
        <v>121</v>
      </c>
      <c r="DX9" s="1" t="s">
        <v>121</v>
      </c>
      <c r="DY9" s="1" t="s">
        <v>121</v>
      </c>
      <c r="DZ9" s="1" t="s">
        <v>121</v>
      </c>
      <c r="EA9" s="1" t="s">
        <v>121</v>
      </c>
      <c r="EB9" s="1" t="s">
        <v>121</v>
      </c>
      <c r="EC9" s="1" t="s">
        <v>121</v>
      </c>
      <c r="ED9" s="1" t="s">
        <v>121</v>
      </c>
      <c r="EE9" s="1" t="s">
        <v>121</v>
      </c>
      <c r="EF9" s="1" t="s">
        <v>121</v>
      </c>
      <c r="EG9" s="1" t="s">
        <v>121</v>
      </c>
      <c r="EH9" s="1" t="s">
        <v>121</v>
      </c>
      <c r="EI9" s="1" t="s">
        <v>121</v>
      </c>
      <c r="EJ9" s="1" t="s">
        <v>121</v>
      </c>
      <c r="EK9" s="1" t="s">
        <v>121</v>
      </c>
      <c r="EL9" s="1" t="s">
        <v>121</v>
      </c>
      <c r="EM9" s="1" t="s">
        <v>121</v>
      </c>
      <c r="EN9" s="1" t="s">
        <v>121</v>
      </c>
      <c r="EO9" s="1" t="s">
        <v>121</v>
      </c>
      <c r="EP9" s="1" t="s">
        <v>121</v>
      </c>
    </row>
    <row r="10" spans="1:153" x14ac:dyDescent="0.25">
      <c r="A10" s="307">
        <v>10</v>
      </c>
      <c r="B10" s="12" t="s">
        <v>122</v>
      </c>
      <c r="C10" s="31">
        <f>'Assets and Liabili-s structure'!F29</f>
        <v>1353333</v>
      </c>
      <c r="D10" s="31">
        <f>'Assets and Liabili-s structure'!G29</f>
        <v>1252641</v>
      </c>
      <c r="E10" s="31">
        <f>'Assets and Liabili-s structure'!H29</f>
        <v>1143318</v>
      </c>
      <c r="F10" s="31">
        <f>'Assets and Liabili-s structure'!I29</f>
        <v>1137432</v>
      </c>
      <c r="G10" s="31">
        <f>'Assets and Liabili-s structure'!J29</f>
        <v>1037777</v>
      </c>
      <c r="H10" s="31">
        <f>'Assets and Liabili-s structure'!K29</f>
        <v>1074800</v>
      </c>
      <c r="I10" s="31">
        <f>'Assets and Liabili-s structure'!L29</f>
        <v>1012528</v>
      </c>
      <c r="J10" s="31">
        <f>'Assets and Liabili-s structure'!M29</f>
        <v>1057302</v>
      </c>
      <c r="K10" s="31">
        <f>'Assets and Liabili-s structure'!N29</f>
        <v>965981</v>
      </c>
      <c r="L10" s="31">
        <f>'Assets and Liabili-s structure'!O29</f>
        <v>861288</v>
      </c>
      <c r="M10" s="31">
        <f>'Assets and Liabili-s structure'!P29</f>
        <v>836670</v>
      </c>
      <c r="N10" s="31">
        <f>'Assets and Liabili-s structure'!Q29</f>
        <v>839329</v>
      </c>
      <c r="O10" s="401"/>
      <c r="P10" s="401"/>
      <c r="Q10" s="401"/>
      <c r="R10" s="31">
        <f>'Assets and Liabili-s structure'!U29</f>
        <v>796557</v>
      </c>
      <c r="S10" s="31">
        <f>'Assets and Liabili-s structure'!V29</f>
        <v>770884.478</v>
      </c>
      <c r="T10" s="31">
        <f>'Assets and Liabili-s structure'!W29</f>
        <v>737761.13600000006</v>
      </c>
      <c r="U10" s="31">
        <f>'Assets and Liabili-s structure'!X29</f>
        <v>731005.51740000013</v>
      </c>
      <c r="V10" s="31">
        <f>'Assets and Liabili-s structure'!Y29</f>
        <v>730227</v>
      </c>
      <c r="W10" s="31">
        <f>'Assets and Liabili-s structure'!Z29</f>
        <v>720766.84900000005</v>
      </c>
      <c r="X10" s="31">
        <f>'Assets and Liabili-s structure'!AA29</f>
        <v>671365.85800000001</v>
      </c>
      <c r="Y10" s="31">
        <f>'Assets and Liabili-s structure'!AB29</f>
        <v>668651.06799999997</v>
      </c>
      <c r="Z10" s="31">
        <f>'Assets and Liabili-s structure'!AC29</f>
        <v>673651.27899999998</v>
      </c>
      <c r="AA10" s="31">
        <f>'Assets and Liabili-s structure'!AD29</f>
        <v>655945.679</v>
      </c>
      <c r="AB10" s="31">
        <f>'Assets and Liabili-s structure'!AE29</f>
        <v>657547.55000000005</v>
      </c>
      <c r="AC10" s="31">
        <f>'Assets and Liabili-s structure'!AF29</f>
        <v>650846.60100000002</v>
      </c>
      <c r="AD10" s="31">
        <f>'Assets and Liabili-s structure'!AG29</f>
        <v>673403.48900000006</v>
      </c>
      <c r="AE10" s="31">
        <f>'Assets and Liabili-s structure'!AH29</f>
        <v>613049.67500000005</v>
      </c>
      <c r="AF10" s="31">
        <f>'Assets and Liabili-s structure'!AI29</f>
        <v>602133.397</v>
      </c>
      <c r="AG10" s="31">
        <f>'Assets and Liabili-s structure'!AJ29</f>
        <v>602696.70400000003</v>
      </c>
      <c r="AH10" s="31">
        <f>'Assets and Liabili-s structure'!AK29</f>
        <v>606859.37100000004</v>
      </c>
      <c r="AI10" s="31">
        <f>'Assets and Liabili-s structure'!AL29</f>
        <v>572773.25199999998</v>
      </c>
      <c r="AJ10" s="31">
        <f>'Assets and Liabili-s structure'!AM29</f>
        <v>559683.57099999988</v>
      </c>
      <c r="AK10" s="31">
        <f>'Assets and Liabili-s structure'!AN29</f>
        <v>552980.63899999997</v>
      </c>
      <c r="AL10" s="31">
        <f>'Assets and Liabili-s structure'!AO29</f>
        <v>580287.52</v>
      </c>
      <c r="AM10" s="31">
        <f>'Assets and Liabili-s structure'!AP29</f>
        <v>546706.45799999998</v>
      </c>
      <c r="AN10" s="31">
        <f>'Assets and Liabili-s structure'!AQ29</f>
        <v>574574.98600000003</v>
      </c>
      <c r="AO10" s="31">
        <f>'Assets and Liabili-s structure'!AR29</f>
        <v>561533.91800000006</v>
      </c>
      <c r="AP10" s="31">
        <f>'Assets and Liabili-s structure'!AS29</f>
        <v>562534.576</v>
      </c>
      <c r="AQ10" s="31">
        <f>'Assets and Liabili-s structure'!AT29</f>
        <v>527570.96000000008</v>
      </c>
      <c r="AR10" s="31">
        <f>'Assets and Liabili-s structure'!AU29</f>
        <v>520263.59100000007</v>
      </c>
      <c r="AS10" s="31">
        <f>'Assets and Liabili-s structure'!AV29</f>
        <v>521222.40100000001</v>
      </c>
      <c r="AT10" s="31">
        <f>'Assets and Liabili-s structure'!AW29</f>
        <v>521600.14999999997</v>
      </c>
      <c r="AU10" s="31">
        <f>'Assets and Liabili-s structure'!AX29</f>
        <v>448289.68799999997</v>
      </c>
      <c r="AV10" s="31">
        <f>'Assets and Liabili-s structure'!AY29</f>
        <v>439698.37300000002</v>
      </c>
      <c r="AW10" s="31">
        <f>'Assets and Liabili-s structure'!AZ29</f>
        <v>428854.10400000005</v>
      </c>
      <c r="AX10" s="31">
        <f>'Assets and Liabili-s structure'!BA29</f>
        <v>409422.31899999996</v>
      </c>
      <c r="AY10" s="31">
        <f>'Assets and Liabili-s structure'!BB29</f>
        <v>403356.91200000001</v>
      </c>
      <c r="AZ10" s="31">
        <f>'Assets and Liabili-s structure'!BC29</f>
        <v>374246.96799999994</v>
      </c>
      <c r="BA10" s="31">
        <f>'Assets and Liabili-s structure'!BD29</f>
        <v>348855.56900000002</v>
      </c>
      <c r="BB10" s="31">
        <f>'Assets and Liabili-s structure'!BE29</f>
        <v>351366.23300000001</v>
      </c>
      <c r="BC10" s="31">
        <f>'Assets and Liabili-s structure'!BF29</f>
        <v>317240.46300000005</v>
      </c>
      <c r="BD10" s="31">
        <f>'Assets and Liabili-s structure'!BG29</f>
        <v>340587.62</v>
      </c>
      <c r="BE10" s="31">
        <f>'Assets and Liabili-s structure'!BH29</f>
        <v>340696.03499999997</v>
      </c>
      <c r="BF10" s="31">
        <f>'Assets and Liabili-s structure'!BI29</f>
        <v>330033.45799999998</v>
      </c>
      <c r="BG10" s="31">
        <f>'Assets and Liabili-s structure'!BJ29</f>
        <v>305819.033</v>
      </c>
      <c r="BH10" s="31">
        <f>'Assets and Liabili-s structure'!BK29</f>
        <v>292056.04000000004</v>
      </c>
      <c r="BI10" s="31">
        <f>'Assets and Liabili-s structure'!BL29</f>
        <v>282434.43599999999</v>
      </c>
      <c r="BJ10" s="31">
        <v>272608.69899999996</v>
      </c>
      <c r="BK10" s="31">
        <v>247427.11699999997</v>
      </c>
      <c r="BL10" s="1">
        <v>239460.12499999997</v>
      </c>
      <c r="BM10" s="1">
        <v>232076.37600000002</v>
      </c>
      <c r="BN10" s="1">
        <v>235606.34000000003</v>
      </c>
      <c r="BO10" s="1" t="s">
        <v>121</v>
      </c>
      <c r="BP10" s="1" t="s">
        <v>121</v>
      </c>
      <c r="BQ10" s="1" t="s">
        <v>121</v>
      </c>
      <c r="BR10" s="1" t="s">
        <v>121</v>
      </c>
      <c r="BS10" s="1" t="s">
        <v>121</v>
      </c>
      <c r="BT10" s="1" t="s">
        <v>121</v>
      </c>
      <c r="BU10" s="1" t="s">
        <v>121</v>
      </c>
      <c r="BV10" s="1" t="s">
        <v>121</v>
      </c>
      <c r="BW10" s="1" t="s">
        <v>121</v>
      </c>
      <c r="BX10" s="1" t="s">
        <v>121</v>
      </c>
      <c r="BY10" s="1" t="s">
        <v>121</v>
      </c>
      <c r="BZ10" s="1" t="s">
        <v>121</v>
      </c>
      <c r="CA10" s="1" t="s">
        <v>121</v>
      </c>
      <c r="CB10" s="1" t="s">
        <v>121</v>
      </c>
      <c r="CC10" s="1" t="s">
        <v>121</v>
      </c>
      <c r="CD10" s="1" t="s">
        <v>121</v>
      </c>
      <c r="CE10" s="1" t="s">
        <v>121</v>
      </c>
      <c r="CF10" s="1" t="s">
        <v>121</v>
      </c>
      <c r="CG10" s="1" t="s">
        <v>121</v>
      </c>
      <c r="CH10" s="1" t="s">
        <v>121</v>
      </c>
      <c r="CI10" s="1" t="s">
        <v>121</v>
      </c>
      <c r="CJ10" s="1" t="s">
        <v>121</v>
      </c>
      <c r="CK10" s="1" t="s">
        <v>121</v>
      </c>
      <c r="CL10" s="1" t="s">
        <v>121</v>
      </c>
      <c r="CM10" s="1" t="s">
        <v>121</v>
      </c>
      <c r="CN10" s="1" t="s">
        <v>121</v>
      </c>
      <c r="CO10" s="1" t="s">
        <v>121</v>
      </c>
      <c r="CP10" s="1" t="s">
        <v>121</v>
      </c>
      <c r="CQ10" s="1" t="s">
        <v>121</v>
      </c>
      <c r="CR10" s="1" t="s">
        <v>121</v>
      </c>
      <c r="CS10" s="1" t="s">
        <v>121</v>
      </c>
      <c r="CT10" s="1" t="s">
        <v>121</v>
      </c>
      <c r="CU10" s="1" t="s">
        <v>121</v>
      </c>
      <c r="CV10" s="1" t="s">
        <v>121</v>
      </c>
      <c r="CW10" s="1" t="s">
        <v>121</v>
      </c>
      <c r="CX10" s="1" t="s">
        <v>121</v>
      </c>
      <c r="CY10" s="1" t="s">
        <v>121</v>
      </c>
      <c r="CZ10" s="1" t="s">
        <v>121</v>
      </c>
      <c r="DA10" s="1" t="s">
        <v>121</v>
      </c>
      <c r="DB10" s="1" t="s">
        <v>121</v>
      </c>
      <c r="DC10" s="1" t="s">
        <v>121</v>
      </c>
      <c r="DD10" s="1" t="s">
        <v>121</v>
      </c>
      <c r="DE10" s="1" t="s">
        <v>121</v>
      </c>
      <c r="DF10" s="1" t="s">
        <v>121</v>
      </c>
      <c r="DG10" s="1" t="s">
        <v>121</v>
      </c>
      <c r="DH10" s="1" t="s">
        <v>121</v>
      </c>
      <c r="DI10" s="1" t="s">
        <v>121</v>
      </c>
      <c r="DJ10" s="1" t="s">
        <v>121</v>
      </c>
      <c r="DK10" s="1" t="s">
        <v>121</v>
      </c>
      <c r="DL10" s="1" t="s">
        <v>121</v>
      </c>
      <c r="DM10" s="1" t="s">
        <v>121</v>
      </c>
      <c r="DN10" s="1" t="s">
        <v>121</v>
      </c>
      <c r="DO10" s="1" t="s">
        <v>121</v>
      </c>
      <c r="DP10" s="1" t="s">
        <v>121</v>
      </c>
      <c r="DQ10" s="1" t="s">
        <v>121</v>
      </c>
      <c r="DR10" s="1" t="s">
        <v>121</v>
      </c>
      <c r="DS10" s="1" t="s">
        <v>121</v>
      </c>
      <c r="DT10" s="1" t="s">
        <v>121</v>
      </c>
      <c r="DU10" s="1" t="s">
        <v>121</v>
      </c>
      <c r="DV10" s="1" t="s">
        <v>121</v>
      </c>
      <c r="DW10" s="1" t="s">
        <v>121</v>
      </c>
      <c r="DX10" s="1" t="s">
        <v>121</v>
      </c>
      <c r="DY10" s="1" t="s">
        <v>121</v>
      </c>
      <c r="DZ10" s="1" t="s">
        <v>121</v>
      </c>
      <c r="EA10" s="1" t="s">
        <v>121</v>
      </c>
      <c r="EB10" s="1" t="s">
        <v>121</v>
      </c>
      <c r="EC10" s="1" t="s">
        <v>121</v>
      </c>
      <c r="ED10" s="1" t="s">
        <v>121</v>
      </c>
      <c r="EE10" s="1" t="s">
        <v>121</v>
      </c>
      <c r="EF10" s="1" t="s">
        <v>121</v>
      </c>
      <c r="EG10" s="1" t="s">
        <v>121</v>
      </c>
      <c r="EH10" s="1" t="s">
        <v>121</v>
      </c>
      <c r="EI10" s="1" t="s">
        <v>121</v>
      </c>
      <c r="EJ10" s="1" t="s">
        <v>121</v>
      </c>
      <c r="EK10" s="1" t="s">
        <v>121</v>
      </c>
      <c r="EL10" s="1" t="s">
        <v>121</v>
      </c>
      <c r="EM10" s="1" t="s">
        <v>121</v>
      </c>
      <c r="EN10" s="1" t="s">
        <v>121</v>
      </c>
      <c r="EO10" s="1" t="s">
        <v>121</v>
      </c>
      <c r="EP10" s="1" t="s">
        <v>121</v>
      </c>
    </row>
    <row r="11" spans="1:153" x14ac:dyDescent="0.25">
      <c r="A11" s="72">
        <v>11</v>
      </c>
      <c r="B11" s="12" t="s">
        <v>123</v>
      </c>
      <c r="C11" s="11">
        <f>'Loan Portfolio IFRS 9'!F24</f>
        <v>918271</v>
      </c>
      <c r="D11" s="11">
        <f>'Loan Portfolio IFRS 9'!G24</f>
        <v>821835</v>
      </c>
      <c r="E11" s="11">
        <f>'Loan Portfolio IFRS 9'!H24</f>
        <v>729349</v>
      </c>
      <c r="F11" s="11">
        <f>'Loan Portfolio IFRS 9'!I24</f>
        <v>717762</v>
      </c>
      <c r="G11" s="11">
        <f>'Loan Portfolio IFRS 9'!J24</f>
        <v>708783</v>
      </c>
      <c r="H11" s="11">
        <f>'Loan Portfolio IFRS 9'!K24</f>
        <v>686952</v>
      </c>
      <c r="I11" s="11">
        <f>'Loan Portfolio IFRS 9'!L24</f>
        <v>675607</v>
      </c>
      <c r="J11" s="11">
        <f>'Loan Portfolio IFRS 9'!M24</f>
        <v>651757</v>
      </c>
      <c r="K11" s="11">
        <f>'Loan Portfolio IFRS 9'!N24</f>
        <v>623516</v>
      </c>
      <c r="L11" s="11">
        <f>'Loan Portfolio IFRS 9'!O24</f>
        <v>538589</v>
      </c>
      <c r="M11" s="11">
        <f>'Loan Portfolio IFRS 9'!P24</f>
        <v>561400</v>
      </c>
      <c r="N11" s="11">
        <f>'Loan Portfolio IFRS 9'!Q24</f>
        <v>515269</v>
      </c>
      <c r="O11" s="402"/>
      <c r="P11" s="402"/>
      <c r="Q11" s="402"/>
      <c r="R11" s="11">
        <f>'Loan Portfolio IFRS 9'!U24</f>
        <v>473799</v>
      </c>
      <c r="S11" s="11">
        <f>'Loan Portfolio IFRS 9'!V24</f>
        <v>472663.63099999999</v>
      </c>
      <c r="T11" s="11">
        <f>'Loan Portfolio IFRS 9'!W24</f>
        <v>464833.99600000004</v>
      </c>
      <c r="U11" s="11">
        <f>'Loan Portfolio IFRS 9'!X24</f>
        <v>440448.87799999997</v>
      </c>
      <c r="V11" s="11">
        <f>'Loan Portfolio IFRS 9'!Y24</f>
        <v>419464.58100000001</v>
      </c>
      <c r="W11" s="11">
        <f>'Loan Portfolio IFRS 9'!Z24</f>
        <v>427182.34500000003</v>
      </c>
      <c r="X11" s="11">
        <f>'Loan Portfolio IFRS 9'!AA24</f>
        <v>378472.17800000001</v>
      </c>
      <c r="Y11" s="11">
        <f>'Loan Portfolio IFRS 9'!AB24</f>
        <v>396604.96399999998</v>
      </c>
      <c r="Z11" s="11">
        <f>'Loan Portfolio IFRS 9'!AC24</f>
        <v>368069.65399999998</v>
      </c>
      <c r="AA11" s="11">
        <f>'Loan Portfolio IFRS 9'!AD24</f>
        <v>354946.16200000001</v>
      </c>
      <c r="AB11" s="11">
        <f>'Loan Portfolio IFRS 9'!AE24</f>
        <v>329403.24</v>
      </c>
      <c r="AC11" s="11">
        <f>'Loan Portfolio IAS 39'!E21</f>
        <v>318215.90999999997</v>
      </c>
      <c r="AD11" s="11">
        <f>'Loan Portfolio IAS 39'!F21</f>
        <v>305496.41499999998</v>
      </c>
      <c r="AE11" s="11">
        <f>'Loan Portfolio IAS 39'!G21</f>
        <v>311091.27799999993</v>
      </c>
      <c r="AF11" s="11">
        <f>'Loan Portfolio IAS 39'!H21</f>
        <v>305491.63299999997</v>
      </c>
      <c r="AG11" s="11">
        <f>'Loan Portfolio IAS 39'!I21</f>
        <v>314711.065</v>
      </c>
      <c r="AH11" s="11">
        <f>'Loan Portfolio IAS 39'!J21</f>
        <v>314482.96700000006</v>
      </c>
      <c r="AI11" s="11">
        <f>'Loan Portfolio IAS 39'!K21</f>
        <v>327948.17099999997</v>
      </c>
      <c r="AJ11" s="11">
        <f>'Loan Portfolio IAS 39'!L21</f>
        <v>329370.26199999999</v>
      </c>
      <c r="AK11" s="11">
        <f>'Loan Portfolio IAS 39'!M21</f>
        <v>335302.09999999998</v>
      </c>
      <c r="AL11" s="11">
        <f>'Loan Portfolio IAS 39'!N21</f>
        <v>321018.46799999994</v>
      </c>
      <c r="AM11" s="11">
        <f>'Loan Portfolio IAS 39'!O21</f>
        <v>305911.408</v>
      </c>
      <c r="AN11" s="11">
        <f>'Loan Portfolio IAS 39'!P21</f>
        <v>309699.09199999995</v>
      </c>
      <c r="AO11" s="11">
        <f>'Loan Portfolio IAS 39'!Q21</f>
        <v>315338.995</v>
      </c>
      <c r="AP11" s="11">
        <f>'Loan Portfolio IAS 39'!R21</f>
        <v>277011.31199999998</v>
      </c>
      <c r="AQ11" s="11">
        <f>'Loan Portfolio IAS 39'!S21</f>
        <v>261582.36500000005</v>
      </c>
      <c r="AR11" s="11">
        <f>'Loan Portfolio IAS 39'!T21</f>
        <v>264624.78200000001</v>
      </c>
      <c r="AS11" s="11">
        <f>'Loan Portfolio IAS 39'!U21</f>
        <v>250884.103</v>
      </c>
      <c r="AT11" s="11">
        <f>'Loan Portfolio IAS 39'!V21</f>
        <v>257483.16200000004</v>
      </c>
      <c r="AU11" s="11">
        <f>'Loan Portfolio IAS 39'!W21</f>
        <v>243726.72500000003</v>
      </c>
      <c r="AV11" s="11">
        <f>'Loan Portfolio IAS 39'!X21</f>
        <v>230969.25199999998</v>
      </c>
      <c r="AW11" s="11">
        <f>'Loan Portfolio IAS 39'!Y21</f>
        <v>222378.91999999998</v>
      </c>
      <c r="AX11" s="11">
        <f>'Loan Portfolio IAS 39'!Z21</f>
        <v>223011.924</v>
      </c>
      <c r="AY11" s="11">
        <f>'Loan Portfolio IAS 39'!AA21</f>
        <v>221735.77500000002</v>
      </c>
      <c r="AZ11" s="11">
        <f>'Loan Portfolio IAS 39'!AB21</f>
        <v>208992.378</v>
      </c>
      <c r="BA11" s="11">
        <f>'Loan Portfolio IAS 39'!AC21</f>
        <v>209907.068</v>
      </c>
      <c r="BB11" s="11">
        <f>'Loan Portfolio IAS 39'!AD21</f>
        <v>203365.94900000002</v>
      </c>
      <c r="BC11" s="11">
        <f>'Loan Portfolio IAS 39'!AE21</f>
        <v>198346.72900000002</v>
      </c>
      <c r="BD11" s="11">
        <f>'Loan Portfolio IAS 39'!AF21</f>
        <v>192575.16599999997</v>
      </c>
      <c r="BE11" s="11">
        <f>'Loan Portfolio IAS 39'!AG21</f>
        <v>182818.33899999998</v>
      </c>
      <c r="BF11" s="11">
        <f>'Loan Portfolio IAS 39'!AH21</f>
        <v>176249.37000000002</v>
      </c>
      <c r="BG11" s="11">
        <f>'Loan Portfolio IAS 39'!AI21</f>
        <v>157624.59100000004</v>
      </c>
      <c r="BH11" s="11">
        <f>'Loan Portfolio IAS 39'!AJ21</f>
        <v>159606.44399999999</v>
      </c>
      <c r="BI11" s="11">
        <f>'Loan Portfolio IAS 39'!AK21</f>
        <v>158200.48899999997</v>
      </c>
      <c r="BJ11" s="11">
        <v>182818.33899999998</v>
      </c>
      <c r="BK11" s="11">
        <v>176249.37000000002</v>
      </c>
      <c r="BL11" s="1">
        <v>157624.59100000004</v>
      </c>
      <c r="BM11" s="1">
        <v>159606.44399999999</v>
      </c>
      <c r="BN11" s="1">
        <v>158200.48899999997</v>
      </c>
      <c r="BO11" s="1" t="s">
        <v>121</v>
      </c>
      <c r="BP11" s="1" t="s">
        <v>121</v>
      </c>
      <c r="BQ11" s="1" t="s">
        <v>121</v>
      </c>
      <c r="BR11" s="1" t="s">
        <v>121</v>
      </c>
      <c r="BS11" s="1" t="s">
        <v>121</v>
      </c>
      <c r="BT11" s="1" t="s">
        <v>121</v>
      </c>
      <c r="BU11" s="1" t="s">
        <v>121</v>
      </c>
      <c r="BV11" s="1" t="s">
        <v>121</v>
      </c>
      <c r="BW11" s="1" t="s">
        <v>121</v>
      </c>
      <c r="BX11" s="1" t="s">
        <v>121</v>
      </c>
      <c r="BY11" s="1" t="s">
        <v>121</v>
      </c>
      <c r="BZ11" s="1" t="s">
        <v>121</v>
      </c>
      <c r="CA11" s="1" t="s">
        <v>121</v>
      </c>
      <c r="CB11" s="1" t="s">
        <v>121</v>
      </c>
      <c r="CC11" s="1" t="s">
        <v>121</v>
      </c>
      <c r="CD11" s="1" t="s">
        <v>121</v>
      </c>
      <c r="CE11" s="1" t="s">
        <v>121</v>
      </c>
      <c r="CF11" s="1" t="s">
        <v>121</v>
      </c>
      <c r="CG11" s="1" t="s">
        <v>121</v>
      </c>
      <c r="CH11" s="1" t="s">
        <v>121</v>
      </c>
      <c r="CI11" s="1" t="s">
        <v>121</v>
      </c>
      <c r="CJ11" s="1" t="s">
        <v>121</v>
      </c>
      <c r="CK11" s="1" t="s">
        <v>121</v>
      </c>
      <c r="CL11" s="1" t="s">
        <v>121</v>
      </c>
      <c r="CM11" s="1" t="s">
        <v>121</v>
      </c>
      <c r="CN11" s="1" t="s">
        <v>121</v>
      </c>
      <c r="CO11" s="1" t="s">
        <v>121</v>
      </c>
      <c r="CP11" s="1" t="s">
        <v>121</v>
      </c>
      <c r="CQ11" s="1" t="s">
        <v>121</v>
      </c>
      <c r="CR11" s="1" t="s">
        <v>121</v>
      </c>
      <c r="CS11" s="1" t="s">
        <v>121</v>
      </c>
      <c r="CT11" s="1" t="s">
        <v>121</v>
      </c>
      <c r="CU11" s="1" t="s">
        <v>121</v>
      </c>
      <c r="CV11" s="1" t="s">
        <v>121</v>
      </c>
      <c r="CW11" s="1" t="s">
        <v>121</v>
      </c>
      <c r="CX11" s="1" t="s">
        <v>121</v>
      </c>
      <c r="CY11" s="1" t="s">
        <v>121</v>
      </c>
      <c r="CZ11" s="1" t="s">
        <v>121</v>
      </c>
      <c r="DA11" s="1" t="s">
        <v>121</v>
      </c>
      <c r="DB11" s="1" t="s">
        <v>121</v>
      </c>
      <c r="DC11" s="1" t="s">
        <v>121</v>
      </c>
      <c r="DD11" s="1" t="s">
        <v>121</v>
      </c>
      <c r="DE11" s="1" t="s">
        <v>121</v>
      </c>
      <c r="DF11" s="1" t="s">
        <v>121</v>
      </c>
      <c r="DG11" s="1" t="s">
        <v>121</v>
      </c>
      <c r="DH11" s="1" t="s">
        <v>121</v>
      </c>
      <c r="DI11" s="1" t="s">
        <v>121</v>
      </c>
      <c r="DJ11" s="1" t="s">
        <v>121</v>
      </c>
      <c r="DK11" s="1" t="s">
        <v>121</v>
      </c>
      <c r="DL11" s="1" t="s">
        <v>121</v>
      </c>
      <c r="DM11" s="1" t="s">
        <v>121</v>
      </c>
      <c r="DN11" s="1" t="s">
        <v>121</v>
      </c>
      <c r="DO11" s="1" t="s">
        <v>121</v>
      </c>
      <c r="DP11" s="1" t="s">
        <v>121</v>
      </c>
      <c r="DQ11" s="1" t="s">
        <v>121</v>
      </c>
      <c r="DR11" s="1" t="s">
        <v>121</v>
      </c>
      <c r="DS11" s="1" t="s">
        <v>121</v>
      </c>
      <c r="DT11" s="1" t="s">
        <v>121</v>
      </c>
      <c r="DU11" s="1" t="s">
        <v>121</v>
      </c>
      <c r="DV11" s="1" t="s">
        <v>121</v>
      </c>
      <c r="DW11" s="1" t="s">
        <v>121</v>
      </c>
      <c r="DX11" s="1" t="s">
        <v>121</v>
      </c>
      <c r="DY11" s="1" t="s">
        <v>121</v>
      </c>
      <c r="DZ11" s="1" t="s">
        <v>121</v>
      </c>
      <c r="EA11" s="1" t="s">
        <v>121</v>
      </c>
      <c r="EB11" s="1" t="s">
        <v>121</v>
      </c>
      <c r="EC11" s="1" t="s">
        <v>121</v>
      </c>
      <c r="ED11" s="1" t="s">
        <v>121</v>
      </c>
      <c r="EE11" s="1" t="s">
        <v>121</v>
      </c>
      <c r="EF11" s="1" t="s">
        <v>121</v>
      </c>
      <c r="EG11" s="1" t="s">
        <v>121</v>
      </c>
      <c r="EH11" s="1" t="s">
        <v>121</v>
      </c>
      <c r="EI11" s="1" t="s">
        <v>121</v>
      </c>
      <c r="EJ11" s="1" t="s">
        <v>121</v>
      </c>
      <c r="EK11" s="1" t="s">
        <v>121</v>
      </c>
      <c r="EL11" s="1" t="s">
        <v>121</v>
      </c>
      <c r="EM11" s="1" t="s">
        <v>121</v>
      </c>
      <c r="EN11" s="1" t="s">
        <v>121</v>
      </c>
      <c r="EO11" s="1" t="s">
        <v>121</v>
      </c>
      <c r="EP11" s="1" t="s">
        <v>121</v>
      </c>
    </row>
    <row r="12" spans="1:153" x14ac:dyDescent="0.25">
      <c r="A12" s="72">
        <v>12</v>
      </c>
      <c r="B12" s="12" t="s">
        <v>1</v>
      </c>
      <c r="C12" s="11">
        <f>'Customer Deposits'!F22</f>
        <v>856388</v>
      </c>
      <c r="D12" s="11">
        <f>'Customer Deposits'!G22</f>
        <v>757181</v>
      </c>
      <c r="E12" s="11">
        <f>'Customer Deposits'!H22</f>
        <v>728333</v>
      </c>
      <c r="F12" s="11">
        <f>'Customer Deposits'!I22</f>
        <v>715716</v>
      </c>
      <c r="G12" s="11">
        <f>'Customer Deposits'!J22</f>
        <v>619424</v>
      </c>
      <c r="H12" s="11">
        <f>'Customer Deposits'!K22</f>
        <v>654431</v>
      </c>
      <c r="I12" s="11">
        <f>'Customer Deposits'!L22</f>
        <v>648426</v>
      </c>
      <c r="J12" s="11">
        <f>'Customer Deposits'!M22</f>
        <v>651098</v>
      </c>
      <c r="K12" s="11">
        <f>'Customer Deposits'!N22</f>
        <v>612275</v>
      </c>
      <c r="L12" s="11">
        <f>'Customer Deposits'!O22</f>
        <v>579458</v>
      </c>
      <c r="M12" s="11">
        <f>'Customer Deposits'!P22</f>
        <v>587860</v>
      </c>
      <c r="N12" s="11">
        <f>'Customer Deposits'!Q22</f>
        <v>646563</v>
      </c>
      <c r="O12" s="402"/>
      <c r="P12" s="402"/>
      <c r="Q12" s="402"/>
      <c r="R12" s="11">
        <f>'Customer Deposits'!U22</f>
        <v>505166</v>
      </c>
      <c r="S12" s="11">
        <f>'Customer Deposits'!V22</f>
        <v>492525.35400000005</v>
      </c>
      <c r="T12" s="11">
        <f>'Customer Deposits'!W22</f>
        <v>492633.016</v>
      </c>
      <c r="U12" s="11">
        <f>'Customer Deposits'!X22</f>
        <v>485409.02799999993</v>
      </c>
      <c r="V12" s="11">
        <f>'Customer Deposits'!Y22</f>
        <v>479071.75100000005</v>
      </c>
      <c r="W12" s="11">
        <f>'Customer Deposits'!Z22</f>
        <v>474837.91299999994</v>
      </c>
      <c r="X12" s="11">
        <f>'Customer Deposits'!AA22</f>
        <v>432247.48800000001</v>
      </c>
      <c r="Y12" s="11">
        <f>'Customer Deposits'!AB22</f>
        <v>434696.81700000004</v>
      </c>
      <c r="Z12" s="11">
        <f>'Customer Deposits'!AC22</f>
        <v>417574.58100000001</v>
      </c>
      <c r="AA12" s="11">
        <f>'Customer Deposits'!AD22</f>
        <v>416994.93600000005</v>
      </c>
      <c r="AB12" s="11">
        <f>'Customer Deposits'!AE22</f>
        <v>399812.24000000005</v>
      </c>
      <c r="AC12" s="11">
        <f>'Customer Deposits'!AF22</f>
        <v>405326.84299999999</v>
      </c>
      <c r="AD12" s="11">
        <f>'Customer Deposits'!AG22</f>
        <v>414765.89799999999</v>
      </c>
      <c r="AE12" s="11">
        <f>'Customer Deposits'!AH22</f>
        <v>380116.71799999999</v>
      </c>
      <c r="AF12" s="11">
        <f>'Customer Deposits'!AI22</f>
        <v>361926.61099999998</v>
      </c>
      <c r="AG12" s="11">
        <f>'Customer Deposits'!AJ22</f>
        <v>353415.58899999998</v>
      </c>
      <c r="AH12" s="11">
        <f>'Customer Deposits'!AK22</f>
        <v>360225.49300000002</v>
      </c>
      <c r="AI12" s="11">
        <f>'Customer Deposits'!AL22</f>
        <v>335686.58099999995</v>
      </c>
      <c r="AJ12" s="11">
        <f>'Customer Deposits'!AM22</f>
        <v>322756.85200000001</v>
      </c>
      <c r="AK12" s="11">
        <f>'Customer Deposits'!AN22</f>
        <v>328200.47099999996</v>
      </c>
      <c r="AL12" s="11">
        <f>'Customer Deposits'!AO22</f>
        <v>357827.152</v>
      </c>
      <c r="AM12" s="11">
        <f>'Customer Deposits'!AP22</f>
        <v>333727.28200000001</v>
      </c>
      <c r="AN12" s="11">
        <f>'Customer Deposits'!AQ22</f>
        <v>339231.31799999997</v>
      </c>
      <c r="AO12" s="11">
        <f>'Customer Deposits'!AR22</f>
        <v>330070.44999999995</v>
      </c>
      <c r="AP12" s="11">
        <f>'Customer Deposits'!AS22</f>
        <v>343025.09599999996</v>
      </c>
      <c r="AQ12" s="11">
        <f>'Customer Deposits'!AT22</f>
        <v>328392.8</v>
      </c>
      <c r="AR12" s="11">
        <f>'Customer Deposits'!AU22</f>
        <v>314274.913</v>
      </c>
      <c r="AS12" s="11">
        <f>'Customer Deposits'!AV22</f>
        <v>317360.49400000001</v>
      </c>
      <c r="AT12" s="11">
        <f>'Customer Deposits'!AW22</f>
        <v>324887.69500000001</v>
      </c>
      <c r="AU12" s="11">
        <f>'Customer Deposits'!AX22</f>
        <v>284443.67099999997</v>
      </c>
      <c r="AV12" s="11">
        <f>'Customer Deposits'!AY22</f>
        <v>267457.37599999999</v>
      </c>
      <c r="AW12" s="11">
        <f>'Customer Deposits'!AZ22</f>
        <v>273008.13400000002</v>
      </c>
      <c r="AX12" s="11">
        <f>'Customer Deposits'!BA22</f>
        <v>261634.63100000002</v>
      </c>
      <c r="AY12" s="11">
        <f>'Customer Deposits'!BB22</f>
        <v>262365.24</v>
      </c>
      <c r="AZ12" s="11">
        <f>'Customer Deposits'!BC22</f>
        <v>248605.22399999999</v>
      </c>
      <c r="BA12" s="11">
        <f>'Customer Deposits'!BD22</f>
        <v>236138.111</v>
      </c>
      <c r="BB12" s="11">
        <f>'Customer Deposits'!BE22</f>
        <v>228041.068</v>
      </c>
      <c r="BC12" s="11">
        <f>'Customer Deposits'!BF22</f>
        <v>224710.57200000001</v>
      </c>
      <c r="BD12" s="11">
        <f>'Customer Deposits'!BG22</f>
        <v>226861.413</v>
      </c>
      <c r="BE12" s="11">
        <f>'Customer Deposits'!BH22</f>
        <v>224469.33800000002</v>
      </c>
      <c r="BF12" s="11">
        <f>'Customer Deposits'!BI22</f>
        <v>236059.334</v>
      </c>
      <c r="BG12" s="11">
        <f>'Customer Deposits'!BJ22</f>
        <v>221952.261</v>
      </c>
      <c r="BH12" s="11">
        <f>'Customer Deposits'!BK22</f>
        <v>212228.799</v>
      </c>
      <c r="BI12" s="11">
        <f>'Customer Deposits'!BL22</f>
        <v>200009.201</v>
      </c>
      <c r="BJ12" s="11">
        <v>202172.90599999999</v>
      </c>
      <c r="BK12" s="11">
        <v>179043.09599999999</v>
      </c>
      <c r="BL12" s="1">
        <v>175228.11900000001</v>
      </c>
      <c r="BM12" s="1">
        <v>172946.693</v>
      </c>
      <c r="BN12" s="1">
        <v>181141.05799999999</v>
      </c>
      <c r="BO12" s="1" t="s">
        <v>121</v>
      </c>
      <c r="BP12" s="1" t="s">
        <v>121</v>
      </c>
      <c r="BQ12" s="1" t="s">
        <v>121</v>
      </c>
      <c r="BR12" s="1" t="s">
        <v>121</v>
      </c>
      <c r="BS12" s="1" t="s">
        <v>121</v>
      </c>
      <c r="BT12" s="1" t="s">
        <v>121</v>
      </c>
      <c r="BU12" s="1" t="s">
        <v>121</v>
      </c>
      <c r="BV12" s="1" t="s">
        <v>121</v>
      </c>
      <c r="BW12" s="1" t="s">
        <v>121</v>
      </c>
      <c r="BX12" s="1" t="s">
        <v>121</v>
      </c>
      <c r="BY12" s="1" t="s">
        <v>121</v>
      </c>
      <c r="BZ12" s="1" t="s">
        <v>121</v>
      </c>
      <c r="CA12" s="1" t="s">
        <v>121</v>
      </c>
      <c r="CB12" s="1" t="s">
        <v>121</v>
      </c>
      <c r="CC12" s="1" t="s">
        <v>121</v>
      </c>
      <c r="CD12" s="1" t="s">
        <v>121</v>
      </c>
      <c r="CE12" s="1" t="s">
        <v>121</v>
      </c>
      <c r="CF12" s="1" t="s">
        <v>121</v>
      </c>
      <c r="CG12" s="1" t="s">
        <v>121</v>
      </c>
      <c r="CH12" s="1" t="s">
        <v>121</v>
      </c>
      <c r="CI12" s="1" t="s">
        <v>121</v>
      </c>
      <c r="CJ12" s="1" t="s">
        <v>121</v>
      </c>
      <c r="CK12" s="1" t="s">
        <v>121</v>
      </c>
      <c r="CL12" s="1" t="s">
        <v>121</v>
      </c>
      <c r="CM12" s="1" t="s">
        <v>121</v>
      </c>
      <c r="CN12" s="1" t="s">
        <v>121</v>
      </c>
      <c r="CO12" s="1" t="s">
        <v>121</v>
      </c>
      <c r="CP12" s="1" t="s">
        <v>121</v>
      </c>
      <c r="CQ12" s="1" t="s">
        <v>121</v>
      </c>
      <c r="CR12" s="1" t="s">
        <v>121</v>
      </c>
      <c r="CS12" s="1" t="s">
        <v>121</v>
      </c>
      <c r="CT12" s="1" t="s">
        <v>121</v>
      </c>
      <c r="CU12" s="1" t="s">
        <v>121</v>
      </c>
      <c r="CV12" s="1" t="s">
        <v>121</v>
      </c>
      <c r="CW12" s="1" t="s">
        <v>121</v>
      </c>
      <c r="CX12" s="1" t="s">
        <v>121</v>
      </c>
      <c r="CY12" s="1" t="s">
        <v>121</v>
      </c>
      <c r="CZ12" s="1" t="s">
        <v>121</v>
      </c>
      <c r="DA12" s="1" t="s">
        <v>121</v>
      </c>
      <c r="DB12" s="1" t="s">
        <v>121</v>
      </c>
      <c r="DC12" s="1" t="s">
        <v>121</v>
      </c>
      <c r="DD12" s="1" t="s">
        <v>121</v>
      </c>
      <c r="DE12" s="1" t="s">
        <v>121</v>
      </c>
      <c r="DF12" s="1" t="s">
        <v>121</v>
      </c>
      <c r="DG12" s="1" t="s">
        <v>121</v>
      </c>
      <c r="DH12" s="1" t="s">
        <v>121</v>
      </c>
      <c r="DI12" s="1" t="s">
        <v>121</v>
      </c>
      <c r="DJ12" s="1" t="s">
        <v>121</v>
      </c>
      <c r="DK12" s="1" t="s">
        <v>121</v>
      </c>
      <c r="DL12" s="1" t="s">
        <v>121</v>
      </c>
      <c r="DM12" s="1" t="s">
        <v>121</v>
      </c>
      <c r="DN12" s="1" t="s">
        <v>121</v>
      </c>
      <c r="DO12" s="1" t="s">
        <v>121</v>
      </c>
      <c r="DP12" s="1" t="s">
        <v>121</v>
      </c>
      <c r="DQ12" s="1" t="s">
        <v>121</v>
      </c>
      <c r="DR12" s="1" t="s">
        <v>121</v>
      </c>
      <c r="DS12" s="1" t="s">
        <v>121</v>
      </c>
      <c r="DT12" s="1" t="s">
        <v>121</v>
      </c>
      <c r="DU12" s="1" t="s">
        <v>121</v>
      </c>
      <c r="DV12" s="1" t="s">
        <v>121</v>
      </c>
      <c r="DW12" s="1" t="s">
        <v>121</v>
      </c>
      <c r="DX12" s="1" t="s">
        <v>121</v>
      </c>
      <c r="DY12" s="1" t="s">
        <v>121</v>
      </c>
      <c r="DZ12" s="1" t="s">
        <v>121</v>
      </c>
      <c r="EA12" s="1" t="s">
        <v>121</v>
      </c>
      <c r="EB12" s="1" t="s">
        <v>121</v>
      </c>
      <c r="EC12" s="1" t="s">
        <v>121</v>
      </c>
      <c r="ED12" s="1" t="s">
        <v>121</v>
      </c>
      <c r="EE12" s="1" t="s">
        <v>121</v>
      </c>
      <c r="EF12" s="1" t="s">
        <v>121</v>
      </c>
      <c r="EG12" s="1" t="s">
        <v>121</v>
      </c>
      <c r="EH12" s="1" t="s">
        <v>121</v>
      </c>
      <c r="EI12" s="1" t="s">
        <v>121</v>
      </c>
      <c r="EJ12" s="1" t="s">
        <v>121</v>
      </c>
      <c r="EK12" s="1" t="s">
        <v>121</v>
      </c>
      <c r="EL12" s="1" t="s">
        <v>121</v>
      </c>
      <c r="EM12" s="1" t="s">
        <v>121</v>
      </c>
      <c r="EN12" s="1" t="s">
        <v>121</v>
      </c>
      <c r="EO12" s="1" t="s">
        <v>121</v>
      </c>
      <c r="EP12" s="1" t="s">
        <v>121</v>
      </c>
    </row>
    <row r="13" spans="1:153" ht="8.25" customHeight="1" x14ac:dyDescent="0.25">
      <c r="A13" s="307">
        <v>13</v>
      </c>
      <c r="B13" s="49" t="s">
        <v>124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27"/>
      <c r="BD13" s="27"/>
      <c r="BE13" s="27"/>
      <c r="BF13" s="27"/>
      <c r="BG13" s="27"/>
      <c r="BH13" s="27"/>
      <c r="BI13" s="5"/>
      <c r="BJ13" s="5" t="s">
        <v>121</v>
      </c>
      <c r="BK13" s="5" t="s">
        <v>121</v>
      </c>
      <c r="BL13" s="1" t="s">
        <v>121</v>
      </c>
      <c r="BM13" s="1" t="s">
        <v>121</v>
      </c>
      <c r="BN13" s="1" t="s">
        <v>121</v>
      </c>
      <c r="BO13" s="1" t="s">
        <v>121</v>
      </c>
      <c r="BP13" s="1" t="s">
        <v>121</v>
      </c>
      <c r="BQ13" s="1" t="s">
        <v>121</v>
      </c>
      <c r="BR13" s="1" t="s">
        <v>121</v>
      </c>
      <c r="BS13" s="1" t="s">
        <v>121</v>
      </c>
      <c r="BT13" s="1" t="s">
        <v>121</v>
      </c>
      <c r="BU13" s="1" t="s">
        <v>121</v>
      </c>
      <c r="BV13" s="1" t="s">
        <v>121</v>
      </c>
      <c r="BW13" s="1" t="s">
        <v>121</v>
      </c>
      <c r="BX13" s="1" t="s">
        <v>121</v>
      </c>
      <c r="BY13" s="1" t="s">
        <v>121</v>
      </c>
      <c r="BZ13" s="1" t="s">
        <v>121</v>
      </c>
      <c r="CA13" s="1" t="s">
        <v>121</v>
      </c>
      <c r="CB13" s="1" t="s">
        <v>121</v>
      </c>
      <c r="CC13" s="1" t="s">
        <v>121</v>
      </c>
      <c r="CD13" s="1" t="s">
        <v>121</v>
      </c>
      <c r="CE13" s="1" t="s">
        <v>121</v>
      </c>
      <c r="CF13" s="1" t="s">
        <v>121</v>
      </c>
      <c r="CG13" s="1" t="s">
        <v>121</v>
      </c>
      <c r="CH13" s="1" t="s">
        <v>121</v>
      </c>
      <c r="CI13" s="1" t="s">
        <v>121</v>
      </c>
      <c r="CJ13" s="1" t="s">
        <v>121</v>
      </c>
      <c r="CK13" s="1" t="s">
        <v>121</v>
      </c>
      <c r="CL13" s="1" t="s">
        <v>121</v>
      </c>
      <c r="CM13" s="1" t="s">
        <v>121</v>
      </c>
      <c r="CN13" s="1" t="s">
        <v>121</v>
      </c>
      <c r="CO13" s="1" t="s">
        <v>121</v>
      </c>
      <c r="CP13" s="1" t="s">
        <v>121</v>
      </c>
      <c r="CQ13" s="1" t="s">
        <v>121</v>
      </c>
      <c r="CR13" s="1" t="s">
        <v>121</v>
      </c>
      <c r="CS13" s="1" t="s">
        <v>121</v>
      </c>
      <c r="CT13" s="1" t="s">
        <v>121</v>
      </c>
      <c r="CU13" s="1" t="s">
        <v>121</v>
      </c>
      <c r="CV13" s="1" t="s">
        <v>121</v>
      </c>
      <c r="CW13" s="1" t="s">
        <v>121</v>
      </c>
      <c r="CX13" s="1" t="s">
        <v>121</v>
      </c>
      <c r="CY13" s="1" t="s">
        <v>121</v>
      </c>
      <c r="CZ13" s="1" t="s">
        <v>121</v>
      </c>
      <c r="DA13" s="1" t="s">
        <v>121</v>
      </c>
      <c r="DB13" s="1" t="s">
        <v>121</v>
      </c>
      <c r="DC13" s="1" t="s">
        <v>121</v>
      </c>
      <c r="DD13" s="1" t="s">
        <v>121</v>
      </c>
      <c r="DE13" s="1" t="s">
        <v>121</v>
      </c>
      <c r="DF13" s="1" t="s">
        <v>121</v>
      </c>
      <c r="DG13" s="1" t="s">
        <v>121</v>
      </c>
      <c r="DH13" s="1" t="s">
        <v>121</v>
      </c>
      <c r="DI13" s="1" t="s">
        <v>121</v>
      </c>
      <c r="DJ13" s="1" t="s">
        <v>121</v>
      </c>
      <c r="DK13" s="1" t="s">
        <v>121</v>
      </c>
      <c r="DL13" s="1" t="s">
        <v>121</v>
      </c>
      <c r="DM13" s="1" t="s">
        <v>121</v>
      </c>
      <c r="DN13" s="1" t="s">
        <v>121</v>
      </c>
      <c r="DO13" s="1" t="s">
        <v>121</v>
      </c>
      <c r="DP13" s="1" t="s">
        <v>121</v>
      </c>
      <c r="DQ13" s="1" t="s">
        <v>121</v>
      </c>
      <c r="DR13" s="1" t="s">
        <v>121</v>
      </c>
      <c r="DS13" s="1" t="s">
        <v>121</v>
      </c>
      <c r="DT13" s="1" t="s">
        <v>121</v>
      </c>
      <c r="DU13" s="1" t="s">
        <v>121</v>
      </c>
      <c r="DV13" s="1" t="s">
        <v>121</v>
      </c>
      <c r="DW13" s="1" t="s">
        <v>121</v>
      </c>
      <c r="DX13" s="1" t="s">
        <v>121</v>
      </c>
      <c r="DY13" s="1" t="s">
        <v>121</v>
      </c>
      <c r="DZ13" s="1" t="s">
        <v>121</v>
      </c>
      <c r="EA13" s="1" t="s">
        <v>121</v>
      </c>
      <c r="EB13" s="1" t="s">
        <v>121</v>
      </c>
      <c r="EC13" s="1" t="s">
        <v>121</v>
      </c>
      <c r="ED13" s="1" t="s">
        <v>121</v>
      </c>
      <c r="EE13" s="1" t="s">
        <v>121</v>
      </c>
      <c r="EF13" s="1" t="s">
        <v>121</v>
      </c>
      <c r="EG13" s="1" t="s">
        <v>121</v>
      </c>
      <c r="EH13" s="1" t="s">
        <v>121</v>
      </c>
      <c r="EI13" s="1" t="s">
        <v>121</v>
      </c>
      <c r="EJ13" s="1" t="s">
        <v>121</v>
      </c>
      <c r="EK13" s="1" t="s">
        <v>121</v>
      </c>
      <c r="EL13" s="1" t="s">
        <v>121</v>
      </c>
      <c r="EM13" s="1" t="s">
        <v>121</v>
      </c>
      <c r="EN13" s="1" t="s">
        <v>121</v>
      </c>
      <c r="EO13" s="1" t="s">
        <v>121</v>
      </c>
      <c r="EP13" s="1" t="s">
        <v>121</v>
      </c>
    </row>
    <row r="14" spans="1:153" x14ac:dyDescent="0.25">
      <c r="A14" s="72">
        <v>14</v>
      </c>
      <c r="B14" s="12" t="s">
        <v>125</v>
      </c>
      <c r="C14" s="13">
        <f>'Assets and Liabili-s structure'!F66</f>
        <v>1.0722617227958855</v>
      </c>
      <c r="D14" s="13">
        <f>'Assets and Liabili-s structure'!G66</f>
        <v>1.0853877738612037</v>
      </c>
      <c r="E14" s="13">
        <f>'Assets and Liabili-s structure'!H66</f>
        <v>1.0013949663134858</v>
      </c>
      <c r="F14" s="13">
        <f>'Assets and Liabili-s structure'!I66</f>
        <v>1.0028586757876028</v>
      </c>
      <c r="G14" s="13">
        <f>'Assets and Liabili-s structure'!J66</f>
        <v>1.1442614428888773</v>
      </c>
      <c r="H14" s="13">
        <f>'Assets and Liabili-s structure'!K66</f>
        <v>1.0496935505805807</v>
      </c>
      <c r="I14" s="13">
        <f>'Assets and Liabili-s structure'!L66</f>
        <v>1.0421627274886853</v>
      </c>
      <c r="J14" s="13">
        <f>'Assets and Liabili-s structure'!M66</f>
        <v>1.0010121364218596</v>
      </c>
      <c r="K14" s="13">
        <f>'Assets and Liabili-s structure'!N66</f>
        <v>1.0183577340937746</v>
      </c>
      <c r="L14" s="13">
        <f>'Assets and Liabili-s structure'!O66</f>
        <v>0.92947029810616133</v>
      </c>
      <c r="M14" s="13">
        <f>'Assets and Liabili-s structure'!P66</f>
        <v>0.95498928316265774</v>
      </c>
      <c r="N14" s="13">
        <f>'Assets and Liabili-s structure'!Q66</f>
        <v>0.79693548811175396</v>
      </c>
      <c r="O14" s="401"/>
      <c r="P14" s="401"/>
      <c r="Q14" s="401"/>
      <c r="R14" s="13">
        <f>'Assets and Liabili-s structure'!U66</f>
        <v>0.93790753930391202</v>
      </c>
      <c r="S14" s="13">
        <f>'Assets and Liabili-s structure'!V66</f>
        <v>0.95967370443227973</v>
      </c>
      <c r="T14" s="13">
        <f>'Assets and Liabili-s structure'!W66</f>
        <v>0.94357052999468471</v>
      </c>
      <c r="U14" s="13">
        <f>'Assets and Liabili-s structure'!X66</f>
        <v>0.90737677421195395</v>
      </c>
      <c r="V14" s="13">
        <f>'Assets and Liabili-s structure'!Y66</f>
        <v>0.87557820118896534</v>
      </c>
      <c r="W14" s="13">
        <f>'Assets and Liabili-s structure'!Z66</f>
        <v>0.89963824139712301</v>
      </c>
      <c r="X14" s="13">
        <f>'Assets and Liabili-s structure'!AA66</f>
        <v>0.87559138805220771</v>
      </c>
      <c r="Y14" s="13">
        <f>'Assets and Liabili-s structure'!AB66</f>
        <v>0.912371447155087</v>
      </c>
      <c r="Z14" s="13">
        <f>'Assets and Liabili-s structure'!AC66</f>
        <v>0.88144650260691992</v>
      </c>
      <c r="AA14" s="13">
        <f>'Assets and Liabili-s structure'!AD66</f>
        <v>0.85120017380738644</v>
      </c>
      <c r="AB14" s="13">
        <f>'Assets and Liabili-s structure'!AE66</f>
        <v>0.82389483623612914</v>
      </c>
      <c r="AC14" s="13">
        <f>'Assets and Liabili-s structure'!AF66</f>
        <v>0.82716602364280123</v>
      </c>
      <c r="AD14" s="13">
        <f>'Assets and Liabili-s structure'!AG66</f>
        <v>0.81680675203437292</v>
      </c>
      <c r="AE14" s="13">
        <f>'Assets and Liabili-s structure'!AH66</f>
        <v>0.89064326026302265</v>
      </c>
      <c r="AF14" s="13">
        <f>'Assets and Liabili-s structure'!AI66</f>
        <v>0.87907311684246392</v>
      </c>
      <c r="AG14" s="13">
        <f>'Assets and Liabili-s structure'!AJ66</f>
        <v>0.8771479460686723</v>
      </c>
      <c r="AH14" s="13">
        <f>'Assets and Liabili-s structure'!AK66</f>
        <v>0.88337976124305029</v>
      </c>
      <c r="AI14" s="13">
        <f>'Assets and Liabili-s structure'!AL66</f>
        <v>0.91006442405274468</v>
      </c>
      <c r="AJ14" s="13">
        <f>'Assets and Liabili-s structure'!AM66</f>
        <v>0.96385646368864686</v>
      </c>
      <c r="AK14" s="13">
        <f>'Assets and Liabili-s structure'!AN66</f>
        <v>0.9308080273900643</v>
      </c>
      <c r="AL14" s="13">
        <f>'Assets and Liabili-s structure'!AO66</f>
        <v>0.87950582632141916</v>
      </c>
      <c r="AM14" s="13">
        <f>'Assets and Liabili-s structure'!AP66</f>
        <v>0.94233520590624031</v>
      </c>
      <c r="AN14" s="13">
        <f>'Assets and Liabili-s structure'!AQ66</f>
        <v>0.96673907625474609</v>
      </c>
      <c r="AO14" s="13">
        <f>'Assets and Liabili-s structure'!AR66</f>
        <v>0.997878671053407</v>
      </c>
      <c r="AP14" s="13">
        <f>'Assets and Liabili-s structure'!AS66</f>
        <v>0.97748562396729122</v>
      </c>
      <c r="AQ14" s="13">
        <f>'Assets and Liabili-s structure'!AT66</f>
        <v>0.97754417271024219</v>
      </c>
      <c r="AR14" s="13">
        <f>'Assets and Liabili-s structure'!AU66</f>
        <v>0.97338793313101657</v>
      </c>
      <c r="AS14" s="13">
        <f>'Assets and Liabili-s structure'!AV66</f>
        <v>0.97585899270751697</v>
      </c>
      <c r="AT14" s="13">
        <f>'Assets and Liabili-s structure'!AW66</f>
        <v>0.97060922852125864</v>
      </c>
      <c r="AU14" s="13">
        <f>'Assets and Liabili-s structure'!AX66</f>
        <v>0.97387054184095379</v>
      </c>
      <c r="AV14" s="13">
        <f>'Assets and Liabili-s structure'!AY66</f>
        <v>0.9780338419232828</v>
      </c>
      <c r="AW14" s="13">
        <f>'Assets and Liabili-s structure'!AZ66</f>
        <v>0.96929266583683538</v>
      </c>
      <c r="AX14" s="13">
        <f>'Assets and Liabili-s structure'!BA66</f>
        <v>0.95891014901616756</v>
      </c>
      <c r="AY14" s="13">
        <f>'Assets and Liabili-s structure'!BB66</f>
        <v>0.98139205483165382</v>
      </c>
      <c r="AZ14" s="13">
        <f>'Assets and Liabili-s structure'!BC66</f>
        <v>0.98037652257862429</v>
      </c>
      <c r="BA14" s="13">
        <f>'Assets and Liabili-s structure'!BD66</f>
        <v>0.97811086495902377</v>
      </c>
      <c r="BB14" s="13">
        <f>'Assets and Liabili-s structure'!BE66</f>
        <v>0.97517048990491495</v>
      </c>
      <c r="BC14" s="13">
        <f>'Assets and Liabili-s structure'!BF66</f>
        <v>0.99244072949091144</v>
      </c>
      <c r="BD14" s="13">
        <f>'Assets and Liabili-s structure'!BG66</f>
        <v>0.97740630311599075</v>
      </c>
      <c r="BE14" s="13">
        <f>'Assets and Liabili-s structure'!BH66</f>
        <v>0.93105089479971637</v>
      </c>
      <c r="BF14" s="13">
        <f>'Assets and Liabili-s structure'!BI66</f>
        <v>0.88921316705909204</v>
      </c>
      <c r="BG14" s="13">
        <f>'Assets and Liabili-s structure'!BJ66</f>
        <v>0.9162598663502689</v>
      </c>
      <c r="BH14" s="13">
        <f>'Assets and Liabili-s structure'!BK66</f>
        <v>0.93458913179827219</v>
      </c>
      <c r="BI14" s="13">
        <f>'Assets and Liabili-s structure'!BL66</f>
        <v>0.96283153493523532</v>
      </c>
      <c r="BJ14" s="13">
        <v>0.90426725626627713</v>
      </c>
      <c r="BK14" s="13">
        <v>0.98439634891032046</v>
      </c>
      <c r="BL14" s="1">
        <v>0.89953936559691072</v>
      </c>
      <c r="BM14" s="1">
        <v>0.9228649662587074</v>
      </c>
      <c r="BN14" s="1">
        <v>0.87335522242560815</v>
      </c>
      <c r="BO14" s="1" t="s">
        <v>121</v>
      </c>
      <c r="BP14" s="1" t="s">
        <v>121</v>
      </c>
      <c r="BQ14" s="1" t="s">
        <v>121</v>
      </c>
      <c r="BR14" s="1" t="s">
        <v>121</v>
      </c>
      <c r="BS14" s="1" t="s">
        <v>121</v>
      </c>
      <c r="BT14" s="1" t="s">
        <v>121</v>
      </c>
      <c r="BU14" s="1" t="s">
        <v>121</v>
      </c>
      <c r="BV14" s="1" t="s">
        <v>121</v>
      </c>
      <c r="BW14" s="1" t="s">
        <v>121</v>
      </c>
      <c r="BX14" s="1" t="s">
        <v>121</v>
      </c>
      <c r="BY14" s="1" t="s">
        <v>121</v>
      </c>
      <c r="BZ14" s="1" t="s">
        <v>121</v>
      </c>
      <c r="CA14" s="1" t="s">
        <v>121</v>
      </c>
      <c r="CB14" s="1" t="s">
        <v>121</v>
      </c>
      <c r="CC14" s="1" t="s">
        <v>121</v>
      </c>
      <c r="CD14" s="1" t="s">
        <v>121</v>
      </c>
      <c r="CE14" s="1" t="s">
        <v>121</v>
      </c>
      <c r="CF14" s="1" t="s">
        <v>121</v>
      </c>
      <c r="CG14" s="1" t="s">
        <v>121</v>
      </c>
      <c r="CH14" s="1" t="s">
        <v>121</v>
      </c>
      <c r="CI14" s="1" t="s">
        <v>121</v>
      </c>
      <c r="CJ14" s="1" t="s">
        <v>121</v>
      </c>
      <c r="CK14" s="1" t="s">
        <v>121</v>
      </c>
      <c r="CL14" s="1" t="s">
        <v>121</v>
      </c>
      <c r="CM14" s="1" t="s">
        <v>121</v>
      </c>
      <c r="CN14" s="1" t="s">
        <v>121</v>
      </c>
      <c r="CO14" s="1" t="s">
        <v>121</v>
      </c>
      <c r="CP14" s="1" t="s">
        <v>121</v>
      </c>
      <c r="CQ14" s="1" t="s">
        <v>121</v>
      </c>
      <c r="CR14" s="1" t="s">
        <v>121</v>
      </c>
      <c r="CS14" s="1" t="s">
        <v>121</v>
      </c>
      <c r="CT14" s="1" t="s">
        <v>121</v>
      </c>
      <c r="CU14" s="1" t="s">
        <v>121</v>
      </c>
      <c r="CV14" s="1" t="s">
        <v>121</v>
      </c>
      <c r="CW14" s="1" t="s">
        <v>121</v>
      </c>
      <c r="CX14" s="1" t="s">
        <v>121</v>
      </c>
      <c r="CY14" s="1" t="s">
        <v>121</v>
      </c>
      <c r="CZ14" s="1" t="s">
        <v>121</v>
      </c>
      <c r="DA14" s="1" t="s">
        <v>121</v>
      </c>
      <c r="DB14" s="1" t="s">
        <v>121</v>
      </c>
      <c r="DC14" s="1" t="s">
        <v>121</v>
      </c>
      <c r="DD14" s="1" t="s">
        <v>121</v>
      </c>
      <c r="DE14" s="1" t="s">
        <v>121</v>
      </c>
      <c r="DF14" s="1" t="s">
        <v>121</v>
      </c>
      <c r="DG14" s="1" t="s">
        <v>121</v>
      </c>
      <c r="DH14" s="1" t="s">
        <v>121</v>
      </c>
      <c r="DI14" s="1" t="s">
        <v>121</v>
      </c>
      <c r="DJ14" s="1" t="s">
        <v>121</v>
      </c>
      <c r="DK14" s="1" t="s">
        <v>121</v>
      </c>
      <c r="DL14" s="1" t="s">
        <v>121</v>
      </c>
      <c r="DM14" s="1" t="s">
        <v>121</v>
      </c>
      <c r="DN14" s="1" t="s">
        <v>121</v>
      </c>
      <c r="DO14" s="1" t="s">
        <v>121</v>
      </c>
      <c r="DP14" s="1" t="s">
        <v>121</v>
      </c>
      <c r="DQ14" s="1" t="s">
        <v>121</v>
      </c>
      <c r="DR14" s="1" t="s">
        <v>121</v>
      </c>
      <c r="DS14" s="1" t="s">
        <v>121</v>
      </c>
      <c r="DT14" s="1" t="s">
        <v>121</v>
      </c>
      <c r="DU14" s="1" t="s">
        <v>121</v>
      </c>
      <c r="DV14" s="1" t="s">
        <v>121</v>
      </c>
      <c r="DW14" s="1" t="s">
        <v>121</v>
      </c>
      <c r="DX14" s="1" t="s">
        <v>121</v>
      </c>
      <c r="DY14" s="1" t="s">
        <v>121</v>
      </c>
      <c r="DZ14" s="1" t="s">
        <v>121</v>
      </c>
      <c r="EA14" s="1" t="s">
        <v>121</v>
      </c>
      <c r="EB14" s="1" t="s">
        <v>121</v>
      </c>
      <c r="EC14" s="1" t="s">
        <v>121</v>
      </c>
      <c r="ED14" s="1" t="s">
        <v>121</v>
      </c>
      <c r="EE14" s="1" t="s">
        <v>121</v>
      </c>
      <c r="EF14" s="1" t="s">
        <v>121</v>
      </c>
      <c r="EG14" s="1" t="s">
        <v>121</v>
      </c>
      <c r="EH14" s="1" t="s">
        <v>121</v>
      </c>
      <c r="EI14" s="1" t="s">
        <v>121</v>
      </c>
      <c r="EJ14" s="1" t="s">
        <v>121</v>
      </c>
      <c r="EK14" s="1" t="s">
        <v>121</v>
      </c>
      <c r="EL14" s="1" t="s">
        <v>121</v>
      </c>
      <c r="EM14" s="1" t="s">
        <v>121</v>
      </c>
      <c r="EN14" s="1" t="s">
        <v>121</v>
      </c>
      <c r="EO14" s="1" t="s">
        <v>121</v>
      </c>
      <c r="EP14" s="1" t="s">
        <v>121</v>
      </c>
    </row>
    <row r="15" spans="1:153" x14ac:dyDescent="0.25">
      <c r="A15" s="72">
        <v>15</v>
      </c>
      <c r="B15" s="12" t="s">
        <v>126</v>
      </c>
      <c r="C15" s="13">
        <f>'Assets and Liabili-s structure'!F77</f>
        <v>0.67852553658264447</v>
      </c>
      <c r="D15" s="13">
        <f>'Assets and Liabili-s structure'!G77</f>
        <v>0.65608183030892331</v>
      </c>
      <c r="E15" s="13">
        <f>'Assets and Liabili-s structure'!H77</f>
        <v>0.63792313249682064</v>
      </c>
      <c r="F15" s="13">
        <f>'Assets and Liabili-s structure'!I77</f>
        <v>0.63103728398708669</v>
      </c>
      <c r="G15" s="13">
        <f>'Assets and Liabili-s structure'!J77</f>
        <v>0.68298198938693</v>
      </c>
      <c r="H15" s="13">
        <f>'Assets and Liabili-s structure'!K77</f>
        <v>0.63914402679568294</v>
      </c>
      <c r="I15" s="13">
        <f>'Assets and Liabili-s structure'!L77</f>
        <v>0.66724772055686365</v>
      </c>
      <c r="J15" s="13">
        <f>'Assets and Liabili-s structure'!M77</f>
        <v>0.61643409357023826</v>
      </c>
      <c r="K15" s="13">
        <f>'Assets and Liabili-s structure'!N77</f>
        <v>0.64547439338868984</v>
      </c>
      <c r="L15" s="13">
        <f>'Assets and Liabili-s structure'!O77</f>
        <v>0.62532973871689845</v>
      </c>
      <c r="M15" s="13">
        <f>'Assets and Liabili-s structure'!P77</f>
        <v>0.67099334265600541</v>
      </c>
      <c r="N15" s="13">
        <f>'Assets and Liabili-s structure'!Q77</f>
        <v>0.61390587004619168</v>
      </c>
      <c r="O15" s="402"/>
      <c r="P15" s="402"/>
      <c r="Q15" s="402"/>
      <c r="R15" s="13">
        <f>'Assets and Liabili-s structure'!U77</f>
        <v>0.59480865776083824</v>
      </c>
      <c r="S15" s="13">
        <f>'Assets and Liabili-s structure'!V77</f>
        <v>0.61314456898430381</v>
      </c>
      <c r="T15" s="13">
        <f>'Assets and Liabili-s structure'!W77</f>
        <v>0.63006029095032179</v>
      </c>
      <c r="U15" s="13">
        <f>'Assets and Liabili-s structure'!X77</f>
        <v>0.60252469716858525</v>
      </c>
      <c r="V15" s="13">
        <f>'Assets and Liabili-s structure'!Y77</f>
        <v>0.5744309646178517</v>
      </c>
      <c r="W15" s="13">
        <f>'Assets and Liabili-s structure'!Z77</f>
        <v>0.59267757055236037</v>
      </c>
      <c r="X15" s="13">
        <f>'Assets and Liabili-s structure'!AA77</f>
        <v>0.56373462172692135</v>
      </c>
      <c r="Y15" s="13">
        <f>'Assets and Liabili-s structure'!AB77</f>
        <v>0.59314189863822975</v>
      </c>
      <c r="Z15" s="13">
        <f>'Assets and Liabili-s structure'!AC77</f>
        <v>0.54638010120960523</v>
      </c>
      <c r="AA15" s="13">
        <f>'Assets and Liabili-s structure'!AD77</f>
        <v>0.54112127476946148</v>
      </c>
      <c r="AB15" s="13">
        <f>'Assets and Liabili-s structure'!AE77</f>
        <v>0.50095729198595595</v>
      </c>
      <c r="AC15" s="13">
        <f>'Assets and Liabili-s structure'!AF77</f>
        <v>0.51513304745675392</v>
      </c>
      <c r="AD15" s="13">
        <f>'Assets and Liabili-s structure'!AG77</f>
        <v>0.50309152170133764</v>
      </c>
      <c r="AE15" s="13">
        <f>'Assets and Liabili-s structure'!AH77</f>
        <v>0.55223647741106785</v>
      </c>
      <c r="AF15" s="13">
        <f>'Assets and Liabili-s structure'!AI77</f>
        <v>0.52838782167732834</v>
      </c>
      <c r="AG15" s="13">
        <f>'Assets and Liabili-s structure'!AJ77</f>
        <v>0.51435117521399287</v>
      </c>
      <c r="AH15" s="13">
        <f>'Assets and Liabili-s structure'!AK77</f>
        <v>0.52436515806888651</v>
      </c>
      <c r="AI15" s="13">
        <f>'Assets and Liabili-s structure'!AL77</f>
        <v>0.53336361978020586</v>
      </c>
      <c r="AJ15" s="13">
        <f>'Assets and Liabili-s structure'!AM77</f>
        <v>0.55583421440112279</v>
      </c>
      <c r="AK15" s="13">
        <f>'Assets and Liabili-s structure'!AN77</f>
        <v>0.55244544104192406</v>
      </c>
      <c r="AL15" s="13">
        <f>'Assets and Liabili-s structure'!AO77</f>
        <v>0.54233643522094022</v>
      </c>
      <c r="AM15" s="13">
        <f>'Assets and Liabili-s structure'!AP77</f>
        <v>0.57523184955682372</v>
      </c>
      <c r="AN15" s="13">
        <f>'Assets and Liabili-s structure'!AQ77</f>
        <v>0.5707665300278143</v>
      </c>
      <c r="AO15" s="13">
        <f>'Assets and Liabili-s structure'!AR77</f>
        <v>0.58655452759311322</v>
      </c>
      <c r="AP15" s="13">
        <f>'Assets and Liabili-s structure'!AS77</f>
        <v>0.59605598358810918</v>
      </c>
      <c r="AQ15" s="13">
        <f>'Assets and Liabili-s structure'!AT77</f>
        <v>0.60848396204370303</v>
      </c>
      <c r="AR15" s="13">
        <f>'Assets and Liabili-s structure'!AU77</f>
        <v>0.58799311212996264</v>
      </c>
      <c r="AS15" s="13">
        <f>'Assets and Liabili-s structure'!AV77</f>
        <v>0.59417839948133766</v>
      </c>
      <c r="AT15" s="13">
        <f>'Assets and Liabili-s structure'!AW77</f>
        <v>0.60456078281419212</v>
      </c>
      <c r="AU15" s="13">
        <f>'Assets and Liabili-s structure'!AX77</f>
        <v>0.61792925292539858</v>
      </c>
      <c r="AV15" s="13">
        <f>'Assets and Liabili-s structure'!AY77</f>
        <v>0.59491319746138782</v>
      </c>
      <c r="AW15" s="13">
        <f>'Assets and Liabili-s structure'!AZ77</f>
        <v>0.61705083274660688</v>
      </c>
      <c r="AX15" s="13">
        <f>'Assets and Liabili-s structure'!BA77</f>
        <v>0.61277583404044966</v>
      </c>
      <c r="AY15" s="13">
        <f>'Assets and Liabili-s structure'!BB77</f>
        <v>0.63835068729403599</v>
      </c>
      <c r="AZ15" s="13">
        <f>'Assets and Liabili-s structure'!BC77</f>
        <v>0.65124569025232559</v>
      </c>
      <c r="BA15" s="13">
        <f>'Assets and Liabili-s structure'!BD77</f>
        <v>0.66207700986994988</v>
      </c>
      <c r="BB15" s="13">
        <f>'Assets and Liabili-s structure'!BE77</f>
        <v>0.63289781178261373</v>
      </c>
      <c r="BC15" s="13">
        <f>'Assets and Liabili-s structure'!BF77</f>
        <v>0.70297439958029551</v>
      </c>
      <c r="BD15" s="13">
        <f>'Assets and Liabili-s structure'!BG77</f>
        <v>0.65103885748988755</v>
      </c>
      <c r="BE15" s="13">
        <f>'Assets and Liabili-s structure'!BH77</f>
        <v>0.6134276790159886</v>
      </c>
      <c r="BF15" s="13">
        <f>'Assets and Liabili-s structure'!BI77</f>
        <v>0.63601753977319475</v>
      </c>
      <c r="BG15" s="13">
        <f>'Assets and Liabili-s structure'!BJ77</f>
        <v>0.66498787536222437</v>
      </c>
      <c r="BH15" s="13">
        <f>'Assets and Liabili-s structure'!BK77</f>
        <v>0.67913928094073994</v>
      </c>
      <c r="BI15" s="13">
        <f>'Assets and Liabili-s structure'!BL77</f>
        <v>0.68184024840370383</v>
      </c>
      <c r="BJ15" s="13">
        <v>0.67062547772916081</v>
      </c>
      <c r="BK15" s="13">
        <v>0.7123284308405049</v>
      </c>
      <c r="BL15" s="1">
        <v>0.65824984848730039</v>
      </c>
      <c r="BM15" s="1">
        <v>0.6877324040944176</v>
      </c>
      <c r="BN15" s="1">
        <v>0.67146108631881463</v>
      </c>
      <c r="BO15" s="1" t="s">
        <v>121</v>
      </c>
      <c r="BP15" s="1" t="s">
        <v>121</v>
      </c>
      <c r="BQ15" s="1" t="s">
        <v>121</v>
      </c>
      <c r="BR15" s="1" t="s">
        <v>121</v>
      </c>
      <c r="BS15" s="1" t="s">
        <v>121</v>
      </c>
      <c r="BT15" s="1" t="s">
        <v>121</v>
      </c>
      <c r="BU15" s="1" t="s">
        <v>121</v>
      </c>
      <c r="BV15" s="1" t="s">
        <v>121</v>
      </c>
      <c r="BW15" s="1" t="s">
        <v>121</v>
      </c>
      <c r="BX15" s="1" t="s">
        <v>121</v>
      </c>
      <c r="BY15" s="1" t="s">
        <v>121</v>
      </c>
      <c r="BZ15" s="1" t="s">
        <v>121</v>
      </c>
      <c r="CA15" s="1" t="s">
        <v>121</v>
      </c>
      <c r="CB15" s="1" t="s">
        <v>121</v>
      </c>
      <c r="CC15" s="1" t="s">
        <v>121</v>
      </c>
      <c r="CD15" s="1" t="s">
        <v>121</v>
      </c>
      <c r="CE15" s="1" t="s">
        <v>121</v>
      </c>
      <c r="CF15" s="1" t="s">
        <v>121</v>
      </c>
      <c r="CG15" s="1" t="s">
        <v>121</v>
      </c>
      <c r="CH15" s="1" t="s">
        <v>121</v>
      </c>
      <c r="CI15" s="1" t="s">
        <v>121</v>
      </c>
      <c r="CJ15" s="1" t="s">
        <v>121</v>
      </c>
      <c r="CK15" s="1" t="s">
        <v>121</v>
      </c>
      <c r="CL15" s="1" t="s">
        <v>121</v>
      </c>
      <c r="CM15" s="1" t="s">
        <v>121</v>
      </c>
      <c r="CN15" s="1" t="s">
        <v>121</v>
      </c>
      <c r="CO15" s="1" t="s">
        <v>121</v>
      </c>
      <c r="CP15" s="1" t="s">
        <v>121</v>
      </c>
      <c r="CQ15" s="1" t="s">
        <v>121</v>
      </c>
      <c r="CR15" s="1" t="s">
        <v>121</v>
      </c>
      <c r="CS15" s="1" t="s">
        <v>121</v>
      </c>
      <c r="CT15" s="1" t="s">
        <v>121</v>
      </c>
      <c r="CU15" s="1" t="s">
        <v>121</v>
      </c>
      <c r="CV15" s="1" t="s">
        <v>121</v>
      </c>
      <c r="CW15" s="1" t="s">
        <v>121</v>
      </c>
      <c r="CX15" s="1" t="s">
        <v>121</v>
      </c>
      <c r="CY15" s="1" t="s">
        <v>121</v>
      </c>
      <c r="CZ15" s="1" t="s">
        <v>121</v>
      </c>
      <c r="DA15" s="1" t="s">
        <v>121</v>
      </c>
      <c r="DB15" s="1" t="s">
        <v>121</v>
      </c>
      <c r="DC15" s="1" t="s">
        <v>121</v>
      </c>
      <c r="DD15" s="1" t="s">
        <v>121</v>
      </c>
      <c r="DE15" s="1" t="s">
        <v>121</v>
      </c>
      <c r="DF15" s="1" t="s">
        <v>121</v>
      </c>
      <c r="DG15" s="1" t="s">
        <v>121</v>
      </c>
      <c r="DH15" s="1" t="s">
        <v>121</v>
      </c>
      <c r="DI15" s="1" t="s">
        <v>121</v>
      </c>
      <c r="DJ15" s="1" t="s">
        <v>121</v>
      </c>
      <c r="DK15" s="1" t="s">
        <v>121</v>
      </c>
      <c r="DL15" s="1" t="s">
        <v>121</v>
      </c>
      <c r="DM15" s="1" t="s">
        <v>121</v>
      </c>
      <c r="DN15" s="1" t="s">
        <v>121</v>
      </c>
      <c r="DO15" s="1" t="s">
        <v>121</v>
      </c>
      <c r="DP15" s="1" t="s">
        <v>121</v>
      </c>
      <c r="DQ15" s="1" t="s">
        <v>121</v>
      </c>
      <c r="DR15" s="1" t="s">
        <v>121</v>
      </c>
      <c r="DS15" s="1" t="s">
        <v>121</v>
      </c>
      <c r="DT15" s="1" t="s">
        <v>121</v>
      </c>
      <c r="DU15" s="1" t="s">
        <v>121</v>
      </c>
      <c r="DV15" s="1" t="s">
        <v>121</v>
      </c>
      <c r="DW15" s="1" t="s">
        <v>121</v>
      </c>
      <c r="DX15" s="1" t="s">
        <v>121</v>
      </c>
      <c r="DY15" s="1" t="s">
        <v>121</v>
      </c>
      <c r="DZ15" s="1" t="s">
        <v>121</v>
      </c>
      <c r="EA15" s="1" t="s">
        <v>121</v>
      </c>
      <c r="EB15" s="1" t="s">
        <v>121</v>
      </c>
      <c r="EC15" s="1" t="s">
        <v>121</v>
      </c>
      <c r="ED15" s="1" t="s">
        <v>121</v>
      </c>
      <c r="EE15" s="1" t="s">
        <v>121</v>
      </c>
      <c r="EF15" s="1" t="s">
        <v>121</v>
      </c>
      <c r="EG15" s="1" t="s">
        <v>121</v>
      </c>
      <c r="EH15" s="1" t="s">
        <v>121</v>
      </c>
      <c r="EI15" s="1" t="s">
        <v>121</v>
      </c>
      <c r="EJ15" s="1" t="s">
        <v>121</v>
      </c>
      <c r="EK15" s="1" t="s">
        <v>121</v>
      </c>
      <c r="EL15" s="1" t="s">
        <v>121</v>
      </c>
      <c r="EM15" s="1" t="s">
        <v>121</v>
      </c>
      <c r="EN15" s="1" t="s">
        <v>121</v>
      </c>
      <c r="EO15" s="1" t="s">
        <v>121</v>
      </c>
      <c r="EP15" s="1" t="s">
        <v>121</v>
      </c>
    </row>
    <row r="16" spans="1:153" x14ac:dyDescent="0.25">
      <c r="A16" s="307">
        <v>16</v>
      </c>
      <c r="B16" s="12" t="s">
        <v>127</v>
      </c>
      <c r="C16" s="13">
        <f>'Assets and Liabili-s structure'!F89</f>
        <v>0.63279843172375161</v>
      </c>
      <c r="D16" s="13">
        <f>'Assets and Liabili-s structure'!G89</f>
        <v>0.60446768068425027</v>
      </c>
      <c r="E16" s="13">
        <f>'Assets and Liabili-s structure'!H89</f>
        <v>0.63703449084156816</v>
      </c>
      <c r="F16" s="13">
        <f>'Assets and Liabili-s structure'!I89</f>
        <v>0.6292384951364125</v>
      </c>
      <c r="G16" s="13">
        <f>'Assets and Liabili-s structure'!J89</f>
        <v>0.59687582206967393</v>
      </c>
      <c r="H16" s="13">
        <f>'Assets and Liabili-s structure'!K89</f>
        <v>0.60888630442873093</v>
      </c>
      <c r="I16" s="13">
        <f>'Assets and Liabili-s structure'!L89</f>
        <v>0.64025291152442199</v>
      </c>
      <c r="J16" s="13">
        <f>'Assets and Liabili-s structure'!M89</f>
        <v>0.61581080902145269</v>
      </c>
      <c r="K16" s="13">
        <f>'Assets and Liabili-s structure'!N89</f>
        <v>0.63383855376037412</v>
      </c>
      <c r="L16" s="13">
        <f>'Assets and Liabili-s structure'!O89</f>
        <v>0.67278076555112809</v>
      </c>
      <c r="M16" s="13">
        <f>'Assets and Liabili-s structure'!P89</f>
        <v>0.70261871466647541</v>
      </c>
      <c r="N16" s="13">
        <f>'Assets and Liabili-s structure'!Q89</f>
        <v>0.77033320664483174</v>
      </c>
      <c r="O16" s="402"/>
      <c r="P16" s="402"/>
      <c r="Q16" s="402"/>
      <c r="R16" s="13">
        <f>'Assets and Liabili-s structure'!U89</f>
        <v>0.63418688179251459</v>
      </c>
      <c r="S16" s="13">
        <f>'Assets and Liabili-s structure'!V89</f>
        <v>0.63890941905824705</v>
      </c>
      <c r="T16" s="13">
        <f>'Assets and Liabili-s structure'!W89</f>
        <v>0.66774053546783751</v>
      </c>
      <c r="U16" s="13">
        <f>'Assets and Liabili-s structure'!X89</f>
        <v>0.66402922647162455</v>
      </c>
      <c r="V16" s="13">
        <f>'Assets and Liabili-s structure'!Y89</f>
        <v>0.65605900630899705</v>
      </c>
      <c r="W16" s="13">
        <f>'Assets and Liabili-s structure'!Z89</f>
        <v>0.65879543941122642</v>
      </c>
      <c r="X16" s="13">
        <f>'Assets and Liabili-s structure'!AA89</f>
        <v>0.64383299038718766</v>
      </c>
      <c r="Y16" s="13">
        <f>'Assets and Liabili-s structure'!AB89</f>
        <v>0.65011010645690026</v>
      </c>
      <c r="Z16" s="13">
        <f>'Assets and Liabili-s structure'!AC89</f>
        <v>0.61986756949362221</v>
      </c>
      <c r="AA16" s="13">
        <f>'Assets and Liabili-s structure'!AD89</f>
        <v>0.63571565352136428</v>
      </c>
      <c r="AB16" s="13">
        <f>'Assets and Liabili-s structure'!AE89</f>
        <v>0.60803547971549754</v>
      </c>
      <c r="AC16" s="13">
        <f>'Assets and Liabili-s structure'!AF89</f>
        <v>0.62276862532159094</v>
      </c>
      <c r="AD16" s="13">
        <f>'Assets and Liabili-s structure'!AG89</f>
        <v>0.61592478324685362</v>
      </c>
      <c r="AE16" s="13">
        <f>'Assets and Liabili-s structure'!AH89</f>
        <v>0.62004227960809222</v>
      </c>
      <c r="AF16" s="13">
        <f>'Assets and Liabili-s structure'!AI89</f>
        <v>0.60107380325227167</v>
      </c>
      <c r="AG16" s="13">
        <f>'Assets and Liabili-s structure'!AJ89</f>
        <v>0.58639044589830702</v>
      </c>
      <c r="AH16" s="13">
        <f>'Assets and Liabili-s structure'!AK89</f>
        <v>0.59358973464710663</v>
      </c>
      <c r="AI16" s="13">
        <f>'Assets and Liabili-s structure'!AL89</f>
        <v>0.58607237650825206</v>
      </c>
      <c r="AJ16" s="13">
        <f>'Assets and Liabili-s structure'!AM89</f>
        <v>0.57667737400853591</v>
      </c>
      <c r="AK16" s="13">
        <f>'Assets and Liabili-s structure'!AN89</f>
        <v>0.59351168531598442</v>
      </c>
      <c r="AL16" s="13">
        <f>'Assets and Liabili-s structure'!AO89</f>
        <v>0.6166376833332553</v>
      </c>
      <c r="AM16" s="13">
        <f>'Assets and Liabili-s structure'!AP89</f>
        <v>0.61043230259409142</v>
      </c>
      <c r="AN16" s="13">
        <f>'Assets and Liabili-s structure'!AQ89</f>
        <v>0.5904039094385497</v>
      </c>
      <c r="AO16" s="13">
        <f>'Assets and Liabili-s structure'!AR89</f>
        <v>0.5878014478192215</v>
      </c>
      <c r="AP16" s="13">
        <f>'Assets and Liabili-s structure'!AS89</f>
        <v>0.60978491035900328</v>
      </c>
      <c r="AQ16" s="13">
        <f>'Assets and Liabili-s structure'!AT89</f>
        <v>0.62246185802190479</v>
      </c>
      <c r="AR16" s="13">
        <f>'Assets and Liabili-s structure'!AU89</f>
        <v>0.60406862682036111</v>
      </c>
      <c r="AS16" s="13">
        <f>'Assets and Liabili-s structure'!AV89</f>
        <v>0.60887731108855392</v>
      </c>
      <c r="AT16" s="13">
        <f>'Assets and Liabili-s structure'!AW89</f>
        <v>0.62286733429812091</v>
      </c>
      <c r="AU16" s="13">
        <f>'Assets and Liabili-s structure'!AX89</f>
        <v>0.6345086193461581</v>
      </c>
      <c r="AV16" s="13">
        <f>'Assets and Liabili-s structure'!AY89</f>
        <v>0.60827465468015274</v>
      </c>
      <c r="AW16" s="13">
        <f>'Assets and Liabili-s structure'!AZ89</f>
        <v>0.6365990938494086</v>
      </c>
      <c r="AX16" s="13">
        <f>'Assets and Liabili-s structure'!BA89</f>
        <v>0.63903363069955155</v>
      </c>
      <c r="AY16" s="13">
        <f>'Assets and Liabili-s structure'!BB89</f>
        <v>0.65045430534236137</v>
      </c>
      <c r="AZ16" s="13">
        <f>'Assets and Liabili-s structure'!BC89</f>
        <v>0.6642811973295667</v>
      </c>
      <c r="BA16" s="13">
        <f>'Assets and Liabili-s structure'!BD89</f>
        <v>0.67689362585465862</v>
      </c>
      <c r="BB16" s="13">
        <f>'Assets and Liabili-s structure'!BE89</f>
        <v>0.64901247354636948</v>
      </c>
      <c r="BC16" s="13">
        <f>'Assets and Liabili-s structure'!BF89</f>
        <v>0.70832884895896753</v>
      </c>
      <c r="BD16" s="13">
        <f>'Assets and Liabili-s structure'!BG89</f>
        <v>0.66608825358948764</v>
      </c>
      <c r="BE16" s="13">
        <f>'Assets and Liabili-s structure'!BH89</f>
        <v>0.6588551522180176</v>
      </c>
      <c r="BF16" s="13">
        <f>'Assets and Liabili-s structure'!BI89</f>
        <v>0.71525879657934555</v>
      </c>
      <c r="BG16" s="13">
        <f>'Assets and Liabili-s structure'!BJ89</f>
        <v>0.72576339942844548</v>
      </c>
      <c r="BH16" s="13">
        <f>'Assets and Liabili-s structure'!BK89</f>
        <v>0.72667149427897459</v>
      </c>
      <c r="BI16" s="13">
        <f>'Assets and Liabili-s structure'!BL89</f>
        <v>0.70816152531768473</v>
      </c>
      <c r="BJ16" s="13">
        <v>0.74162309105183766</v>
      </c>
      <c r="BK16" s="13">
        <v>0.72361953762731679</v>
      </c>
      <c r="BL16" s="1">
        <v>0.73176324868284426</v>
      </c>
      <c r="BM16" s="1">
        <v>0.74521455385015145</v>
      </c>
      <c r="BN16" s="1">
        <v>0.76882930230145763</v>
      </c>
      <c r="BO16" s="1" t="s">
        <v>121</v>
      </c>
      <c r="BP16" s="1" t="s">
        <v>121</v>
      </c>
      <c r="BQ16" s="1" t="s">
        <v>121</v>
      </c>
      <c r="BR16" s="1" t="s">
        <v>121</v>
      </c>
      <c r="BS16" s="1" t="s">
        <v>121</v>
      </c>
      <c r="BT16" s="1" t="s">
        <v>121</v>
      </c>
      <c r="BU16" s="1" t="s">
        <v>121</v>
      </c>
      <c r="BV16" s="1" t="s">
        <v>121</v>
      </c>
      <c r="BW16" s="1" t="s">
        <v>121</v>
      </c>
      <c r="BX16" s="1" t="s">
        <v>121</v>
      </c>
      <c r="BY16" s="1" t="s">
        <v>121</v>
      </c>
      <c r="BZ16" s="1" t="s">
        <v>121</v>
      </c>
      <c r="CA16" s="1" t="s">
        <v>121</v>
      </c>
      <c r="CB16" s="1" t="s">
        <v>121</v>
      </c>
      <c r="CC16" s="1" t="s">
        <v>121</v>
      </c>
      <c r="CD16" s="1" t="s">
        <v>121</v>
      </c>
      <c r="CE16" s="1" t="s">
        <v>121</v>
      </c>
      <c r="CF16" s="1" t="s">
        <v>121</v>
      </c>
      <c r="CG16" s="1" t="s">
        <v>121</v>
      </c>
      <c r="CH16" s="1" t="s">
        <v>121</v>
      </c>
      <c r="CI16" s="1" t="s">
        <v>121</v>
      </c>
      <c r="CJ16" s="1" t="s">
        <v>121</v>
      </c>
      <c r="CK16" s="1" t="s">
        <v>121</v>
      </c>
      <c r="CL16" s="1" t="s">
        <v>121</v>
      </c>
      <c r="CM16" s="1" t="s">
        <v>121</v>
      </c>
      <c r="CN16" s="1" t="s">
        <v>121</v>
      </c>
      <c r="CO16" s="1" t="s">
        <v>121</v>
      </c>
      <c r="CP16" s="1" t="s">
        <v>121</v>
      </c>
      <c r="CQ16" s="1" t="s">
        <v>121</v>
      </c>
      <c r="CR16" s="1" t="s">
        <v>121</v>
      </c>
      <c r="CS16" s="1" t="s">
        <v>121</v>
      </c>
      <c r="CT16" s="1" t="s">
        <v>121</v>
      </c>
      <c r="CU16" s="1" t="s">
        <v>121</v>
      </c>
      <c r="CV16" s="1" t="s">
        <v>121</v>
      </c>
      <c r="CW16" s="1" t="s">
        <v>121</v>
      </c>
      <c r="CX16" s="1" t="s">
        <v>121</v>
      </c>
      <c r="CY16" s="1" t="s">
        <v>121</v>
      </c>
      <c r="CZ16" s="1" t="s">
        <v>121</v>
      </c>
      <c r="DA16" s="1" t="s">
        <v>121</v>
      </c>
      <c r="DB16" s="1" t="s">
        <v>121</v>
      </c>
      <c r="DC16" s="1" t="s">
        <v>121</v>
      </c>
      <c r="DD16" s="1" t="s">
        <v>121</v>
      </c>
      <c r="DE16" s="1" t="s">
        <v>121</v>
      </c>
      <c r="DF16" s="1" t="s">
        <v>121</v>
      </c>
      <c r="DG16" s="1" t="s">
        <v>121</v>
      </c>
      <c r="DH16" s="1" t="s">
        <v>121</v>
      </c>
      <c r="DI16" s="1" t="s">
        <v>121</v>
      </c>
      <c r="DJ16" s="1" t="s">
        <v>121</v>
      </c>
      <c r="DK16" s="1" t="s">
        <v>121</v>
      </c>
      <c r="DL16" s="1" t="s">
        <v>121</v>
      </c>
      <c r="DM16" s="1" t="s">
        <v>121</v>
      </c>
      <c r="DN16" s="1" t="s">
        <v>121</v>
      </c>
      <c r="DO16" s="1" t="s">
        <v>121</v>
      </c>
      <c r="DP16" s="1" t="s">
        <v>121</v>
      </c>
      <c r="DQ16" s="1" t="s">
        <v>121</v>
      </c>
      <c r="DR16" s="1" t="s">
        <v>121</v>
      </c>
      <c r="DS16" s="1" t="s">
        <v>121</v>
      </c>
      <c r="DT16" s="1" t="s">
        <v>121</v>
      </c>
      <c r="DU16" s="1" t="s">
        <v>121</v>
      </c>
      <c r="DV16" s="1" t="s">
        <v>121</v>
      </c>
      <c r="DW16" s="1" t="s">
        <v>121</v>
      </c>
      <c r="DX16" s="1" t="s">
        <v>121</v>
      </c>
      <c r="DY16" s="1" t="s">
        <v>121</v>
      </c>
      <c r="DZ16" s="1" t="s">
        <v>121</v>
      </c>
      <c r="EA16" s="1" t="s">
        <v>121</v>
      </c>
      <c r="EB16" s="1" t="s">
        <v>121</v>
      </c>
      <c r="EC16" s="1" t="s">
        <v>121</v>
      </c>
      <c r="ED16" s="1" t="s">
        <v>121</v>
      </c>
      <c r="EE16" s="1" t="s">
        <v>121</v>
      </c>
      <c r="EF16" s="1" t="s">
        <v>121</v>
      </c>
      <c r="EG16" s="1" t="s">
        <v>121</v>
      </c>
      <c r="EH16" s="1" t="s">
        <v>121</v>
      </c>
      <c r="EI16" s="1" t="s">
        <v>121</v>
      </c>
      <c r="EJ16" s="1" t="s">
        <v>121</v>
      </c>
      <c r="EK16" s="1" t="s">
        <v>121</v>
      </c>
      <c r="EL16" s="1" t="s">
        <v>121</v>
      </c>
      <c r="EM16" s="1" t="s">
        <v>121</v>
      </c>
      <c r="EN16" s="1" t="s">
        <v>121</v>
      </c>
      <c r="EO16" s="1" t="s">
        <v>121</v>
      </c>
      <c r="EP16" s="1" t="s">
        <v>121</v>
      </c>
    </row>
    <row r="17" spans="1:146" x14ac:dyDescent="0.25">
      <c r="A17" s="72">
        <v>17</v>
      </c>
      <c r="B17" s="12" t="s">
        <v>121</v>
      </c>
      <c r="C17" s="12" t="s">
        <v>121</v>
      </c>
      <c r="D17" s="1" t="s">
        <v>121</v>
      </c>
      <c r="E17" s="1" t="s">
        <v>121</v>
      </c>
      <c r="F17" s="1" t="s">
        <v>121</v>
      </c>
      <c r="G17" s="1" t="s">
        <v>121</v>
      </c>
      <c r="H17" s="1" t="s">
        <v>121</v>
      </c>
      <c r="I17" s="1" t="s">
        <v>121</v>
      </c>
      <c r="J17" s="12" t="s">
        <v>121</v>
      </c>
      <c r="K17" s="1" t="s">
        <v>121</v>
      </c>
      <c r="L17" s="1" t="s">
        <v>121</v>
      </c>
      <c r="M17" s="1" t="s">
        <v>121</v>
      </c>
      <c r="N17" s="1" t="s">
        <v>121</v>
      </c>
      <c r="O17" s="1" t="s">
        <v>121</v>
      </c>
      <c r="P17" s="1" t="s">
        <v>121</v>
      </c>
      <c r="Q17" s="1" t="s">
        <v>121</v>
      </c>
      <c r="R17" s="1" t="s">
        <v>121</v>
      </c>
      <c r="S17" s="1" t="s">
        <v>121</v>
      </c>
      <c r="T17" s="1" t="s">
        <v>121</v>
      </c>
      <c r="U17" s="1" t="s">
        <v>121</v>
      </c>
      <c r="V17" s="1" t="s">
        <v>121</v>
      </c>
      <c r="W17" s="12" t="s">
        <v>121</v>
      </c>
      <c r="X17" s="12" t="s">
        <v>121</v>
      </c>
      <c r="Y17" s="12" t="s">
        <v>121</v>
      </c>
      <c r="Z17" s="12" t="s">
        <v>121</v>
      </c>
      <c r="AA17" s="12" t="s">
        <v>121</v>
      </c>
      <c r="AB17" s="12" t="s">
        <v>121</v>
      </c>
      <c r="AC17" s="12" t="s">
        <v>121</v>
      </c>
      <c r="AD17" s="12" t="s">
        <v>121</v>
      </c>
      <c r="AE17" s="12" t="s">
        <v>121</v>
      </c>
      <c r="AF17" s="12" t="s">
        <v>121</v>
      </c>
      <c r="AG17" s="12" t="s">
        <v>121</v>
      </c>
      <c r="AH17" s="12" t="s">
        <v>121</v>
      </c>
      <c r="AI17" s="12" t="s">
        <v>121</v>
      </c>
      <c r="AJ17" s="12" t="s">
        <v>121</v>
      </c>
      <c r="AK17" s="12" t="s">
        <v>121</v>
      </c>
      <c r="AL17" s="12" t="s">
        <v>121</v>
      </c>
      <c r="AM17" s="12" t="s">
        <v>121</v>
      </c>
      <c r="AN17" s="12" t="s">
        <v>121</v>
      </c>
      <c r="AO17" s="12" t="s">
        <v>121</v>
      </c>
      <c r="AP17" s="12" t="s">
        <v>121</v>
      </c>
      <c r="AQ17" s="12" t="s">
        <v>121</v>
      </c>
      <c r="AR17" s="12" t="s">
        <v>121</v>
      </c>
      <c r="AS17" s="12" t="s">
        <v>121</v>
      </c>
      <c r="AT17" s="12" t="s">
        <v>121</v>
      </c>
      <c r="AU17" s="12" t="s">
        <v>121</v>
      </c>
      <c r="AV17" s="12" t="s">
        <v>121</v>
      </c>
      <c r="AW17" s="11" t="s">
        <v>121</v>
      </c>
      <c r="AX17" s="11" t="s">
        <v>121</v>
      </c>
      <c r="AY17" s="11" t="s">
        <v>121</v>
      </c>
      <c r="AZ17" s="11" t="s">
        <v>121</v>
      </c>
      <c r="BA17" s="11" t="s">
        <v>121</v>
      </c>
      <c r="BB17" s="27" t="s">
        <v>121</v>
      </c>
      <c r="BC17" s="27" t="s">
        <v>121</v>
      </c>
      <c r="BD17" s="27" t="s">
        <v>121</v>
      </c>
      <c r="BE17" s="27" t="s">
        <v>121</v>
      </c>
      <c r="BF17" s="27" t="s">
        <v>121</v>
      </c>
      <c r="BG17" s="27" t="s">
        <v>121</v>
      </c>
      <c r="BH17" s="5" t="s">
        <v>121</v>
      </c>
      <c r="BI17" s="1" t="s">
        <v>121</v>
      </c>
      <c r="BJ17" s="1" t="s">
        <v>121</v>
      </c>
      <c r="BK17" s="1" t="s">
        <v>121</v>
      </c>
      <c r="BL17" s="1" t="s">
        <v>121</v>
      </c>
      <c r="BM17" s="1" t="s">
        <v>121</v>
      </c>
      <c r="BN17" s="1" t="s">
        <v>121</v>
      </c>
      <c r="BO17" s="1" t="s">
        <v>121</v>
      </c>
      <c r="BP17" s="1" t="s">
        <v>121</v>
      </c>
      <c r="BQ17" s="1" t="s">
        <v>121</v>
      </c>
      <c r="BR17" s="1" t="s">
        <v>121</v>
      </c>
      <c r="BS17" s="1" t="s">
        <v>121</v>
      </c>
      <c r="BT17" s="1" t="s">
        <v>121</v>
      </c>
      <c r="BU17" s="1" t="s">
        <v>121</v>
      </c>
      <c r="BV17" s="1" t="s">
        <v>121</v>
      </c>
      <c r="BW17" s="1" t="s">
        <v>121</v>
      </c>
      <c r="BX17" s="1" t="s">
        <v>121</v>
      </c>
      <c r="BY17" s="1" t="s">
        <v>121</v>
      </c>
      <c r="BZ17" s="1" t="s">
        <v>121</v>
      </c>
      <c r="CA17" s="1" t="s">
        <v>121</v>
      </c>
      <c r="CB17" s="1" t="s">
        <v>121</v>
      </c>
      <c r="CC17" s="1" t="s">
        <v>121</v>
      </c>
      <c r="CD17" s="1" t="s">
        <v>121</v>
      </c>
      <c r="CE17" s="1" t="s">
        <v>121</v>
      </c>
      <c r="CF17" s="1" t="s">
        <v>121</v>
      </c>
      <c r="CG17" s="1" t="s">
        <v>121</v>
      </c>
      <c r="CH17" s="1" t="s">
        <v>121</v>
      </c>
      <c r="CI17" s="1" t="s">
        <v>121</v>
      </c>
      <c r="CJ17" s="1" t="s">
        <v>121</v>
      </c>
      <c r="CK17" s="1" t="s">
        <v>121</v>
      </c>
      <c r="CL17" s="1" t="s">
        <v>121</v>
      </c>
      <c r="CM17" s="1" t="s">
        <v>121</v>
      </c>
      <c r="CN17" s="1" t="s">
        <v>121</v>
      </c>
      <c r="CO17" s="1" t="s">
        <v>121</v>
      </c>
      <c r="CP17" s="1" t="s">
        <v>121</v>
      </c>
      <c r="CQ17" s="1" t="s">
        <v>121</v>
      </c>
      <c r="CR17" s="1" t="s">
        <v>121</v>
      </c>
      <c r="CS17" s="1" t="s">
        <v>121</v>
      </c>
      <c r="CT17" s="1" t="s">
        <v>121</v>
      </c>
      <c r="CU17" s="1" t="s">
        <v>121</v>
      </c>
      <c r="CV17" s="1" t="s">
        <v>121</v>
      </c>
      <c r="CW17" s="1" t="s">
        <v>121</v>
      </c>
      <c r="CX17" s="1" t="s">
        <v>121</v>
      </c>
      <c r="CY17" s="1" t="s">
        <v>121</v>
      </c>
      <c r="CZ17" s="1" t="s">
        <v>121</v>
      </c>
      <c r="DA17" s="1" t="s">
        <v>121</v>
      </c>
      <c r="DB17" s="1" t="s">
        <v>121</v>
      </c>
      <c r="DC17" s="1" t="s">
        <v>121</v>
      </c>
      <c r="DD17" s="1" t="s">
        <v>121</v>
      </c>
      <c r="DE17" s="1" t="s">
        <v>121</v>
      </c>
      <c r="DF17" s="1" t="s">
        <v>121</v>
      </c>
      <c r="DG17" s="1" t="s">
        <v>121</v>
      </c>
      <c r="DH17" s="1" t="s">
        <v>121</v>
      </c>
      <c r="DI17" s="1" t="s">
        <v>121</v>
      </c>
      <c r="DJ17" s="1" t="s">
        <v>121</v>
      </c>
      <c r="DK17" s="1" t="s">
        <v>121</v>
      </c>
      <c r="DL17" s="1" t="s">
        <v>121</v>
      </c>
      <c r="DM17" s="1" t="s">
        <v>121</v>
      </c>
      <c r="DN17" s="1" t="s">
        <v>121</v>
      </c>
      <c r="DO17" s="1" t="s">
        <v>121</v>
      </c>
      <c r="DP17" s="1" t="s">
        <v>121</v>
      </c>
      <c r="DQ17" s="1" t="s">
        <v>121</v>
      </c>
      <c r="DR17" s="1" t="s">
        <v>121</v>
      </c>
      <c r="DS17" s="1" t="s">
        <v>121</v>
      </c>
      <c r="DT17" s="1" t="s">
        <v>121</v>
      </c>
      <c r="DU17" s="1" t="s">
        <v>121</v>
      </c>
      <c r="DV17" s="1" t="s">
        <v>121</v>
      </c>
      <c r="DW17" s="1" t="s">
        <v>121</v>
      </c>
      <c r="DX17" s="1" t="s">
        <v>121</v>
      </c>
      <c r="DY17" s="1" t="s">
        <v>121</v>
      </c>
      <c r="DZ17" s="1" t="s">
        <v>121</v>
      </c>
      <c r="EA17" s="1" t="s">
        <v>121</v>
      </c>
      <c r="EB17" s="1" t="s">
        <v>121</v>
      </c>
      <c r="EC17" s="1" t="s">
        <v>121</v>
      </c>
      <c r="ED17" s="1" t="s">
        <v>121</v>
      </c>
      <c r="EE17" s="1" t="s">
        <v>121</v>
      </c>
      <c r="EF17" s="1" t="s">
        <v>121</v>
      </c>
      <c r="EG17" s="1" t="s">
        <v>121</v>
      </c>
      <c r="EH17" s="1" t="s">
        <v>121</v>
      </c>
      <c r="EI17" s="1" t="s">
        <v>121</v>
      </c>
      <c r="EJ17" s="1" t="s">
        <v>121</v>
      </c>
      <c r="EK17" s="1" t="s">
        <v>121</v>
      </c>
      <c r="EL17" s="1" t="s">
        <v>121</v>
      </c>
      <c r="EM17" s="1" t="s">
        <v>121</v>
      </c>
      <c r="EN17" s="1" t="s">
        <v>121</v>
      </c>
      <c r="EO17" s="1" t="s">
        <v>121</v>
      </c>
      <c r="EP17" s="1" t="s">
        <v>121</v>
      </c>
    </row>
    <row r="18" spans="1:146" x14ac:dyDescent="0.25">
      <c r="A18" s="72">
        <v>18</v>
      </c>
      <c r="B18" s="12" t="s">
        <v>121</v>
      </c>
      <c r="C18" s="12" t="s">
        <v>121</v>
      </c>
      <c r="D18" s="1" t="s">
        <v>121</v>
      </c>
      <c r="E18" s="1" t="s">
        <v>121</v>
      </c>
      <c r="F18" s="1" t="s">
        <v>121</v>
      </c>
      <c r="G18" s="1" t="s">
        <v>121</v>
      </c>
      <c r="H18" s="1" t="s">
        <v>121</v>
      </c>
      <c r="I18" s="1" t="s">
        <v>121</v>
      </c>
      <c r="J18" s="12" t="s">
        <v>121</v>
      </c>
      <c r="K18" s="1" t="s">
        <v>121</v>
      </c>
      <c r="L18" s="1" t="s">
        <v>121</v>
      </c>
      <c r="M18" s="1" t="s">
        <v>121</v>
      </c>
      <c r="N18" s="1" t="s">
        <v>121</v>
      </c>
      <c r="O18" s="1" t="s">
        <v>121</v>
      </c>
      <c r="P18" s="1" t="s">
        <v>121</v>
      </c>
      <c r="Q18" s="1" t="s">
        <v>121</v>
      </c>
      <c r="R18" s="1" t="s">
        <v>121</v>
      </c>
      <c r="S18" s="1" t="s">
        <v>121</v>
      </c>
      <c r="T18" s="1" t="s">
        <v>121</v>
      </c>
      <c r="U18" s="1" t="s">
        <v>121</v>
      </c>
      <c r="V18" s="1" t="s">
        <v>121</v>
      </c>
      <c r="W18" s="12" t="s">
        <v>121</v>
      </c>
      <c r="X18" s="12" t="s">
        <v>121</v>
      </c>
      <c r="Y18" s="12" t="s">
        <v>121</v>
      </c>
      <c r="Z18" s="12" t="s">
        <v>121</v>
      </c>
      <c r="AA18" s="12" t="s">
        <v>121</v>
      </c>
      <c r="AB18" s="12" t="s">
        <v>121</v>
      </c>
      <c r="AC18" s="12" t="s">
        <v>121</v>
      </c>
      <c r="AD18" s="12" t="s">
        <v>121</v>
      </c>
      <c r="AE18" s="12" t="s">
        <v>121</v>
      </c>
      <c r="AF18" s="12" t="s">
        <v>121</v>
      </c>
      <c r="AG18" s="12" t="s">
        <v>121</v>
      </c>
      <c r="AH18" s="12" t="s">
        <v>121</v>
      </c>
      <c r="AI18" s="12" t="s">
        <v>121</v>
      </c>
      <c r="AJ18" s="12" t="s">
        <v>121</v>
      </c>
      <c r="AK18" s="12" t="s">
        <v>121</v>
      </c>
      <c r="AL18" s="12" t="s">
        <v>121</v>
      </c>
      <c r="AM18" s="12" t="s">
        <v>121</v>
      </c>
      <c r="AN18" s="12" t="s">
        <v>121</v>
      </c>
      <c r="AO18" s="12" t="s">
        <v>121</v>
      </c>
      <c r="AP18" s="12" t="s">
        <v>121</v>
      </c>
      <c r="AQ18" s="12" t="s">
        <v>121</v>
      </c>
      <c r="AR18" s="12" t="s">
        <v>121</v>
      </c>
      <c r="AS18" s="12" t="s">
        <v>121</v>
      </c>
      <c r="AT18" s="12" t="s">
        <v>121</v>
      </c>
      <c r="AU18" s="12" t="s">
        <v>121</v>
      </c>
      <c r="AV18" s="12" t="s">
        <v>121</v>
      </c>
      <c r="AW18" s="11" t="s">
        <v>121</v>
      </c>
      <c r="AX18" s="11" t="s">
        <v>121</v>
      </c>
      <c r="AY18" s="11" t="s">
        <v>121</v>
      </c>
      <c r="AZ18" s="11" t="s">
        <v>121</v>
      </c>
      <c r="BA18" s="11" t="s">
        <v>121</v>
      </c>
      <c r="BB18" s="27" t="s">
        <v>121</v>
      </c>
      <c r="BC18" s="27" t="s">
        <v>121</v>
      </c>
      <c r="BD18" s="27" t="s">
        <v>121</v>
      </c>
      <c r="BE18" s="27" t="s">
        <v>121</v>
      </c>
      <c r="BF18" s="27" t="s">
        <v>121</v>
      </c>
      <c r="BG18" s="27" t="s">
        <v>121</v>
      </c>
      <c r="BH18" s="5" t="s">
        <v>121</v>
      </c>
      <c r="BI18" s="1" t="s">
        <v>121</v>
      </c>
      <c r="BJ18" s="1" t="s">
        <v>121</v>
      </c>
      <c r="BK18" s="1" t="s">
        <v>121</v>
      </c>
      <c r="BL18" s="1" t="s">
        <v>121</v>
      </c>
      <c r="BM18" s="1" t="s">
        <v>121</v>
      </c>
      <c r="BN18" s="1" t="s">
        <v>121</v>
      </c>
      <c r="BO18" s="1" t="s">
        <v>121</v>
      </c>
      <c r="BP18" s="1" t="s">
        <v>121</v>
      </c>
      <c r="BQ18" s="1" t="s">
        <v>121</v>
      </c>
      <c r="BR18" s="1" t="s">
        <v>121</v>
      </c>
      <c r="BS18" s="1" t="s">
        <v>121</v>
      </c>
      <c r="BT18" s="1" t="s">
        <v>121</v>
      </c>
      <c r="BU18" s="1" t="s">
        <v>121</v>
      </c>
      <c r="BV18" s="1" t="s">
        <v>121</v>
      </c>
      <c r="BW18" s="1" t="s">
        <v>121</v>
      </c>
      <c r="BX18" s="1" t="s">
        <v>121</v>
      </c>
      <c r="BY18" s="1" t="s">
        <v>121</v>
      </c>
      <c r="BZ18" s="1" t="s">
        <v>121</v>
      </c>
      <c r="CA18" s="1" t="s">
        <v>121</v>
      </c>
      <c r="CB18" s="1" t="s">
        <v>121</v>
      </c>
      <c r="CC18" s="1" t="s">
        <v>121</v>
      </c>
      <c r="CD18" s="1" t="s">
        <v>121</v>
      </c>
      <c r="CE18" s="1" t="s">
        <v>121</v>
      </c>
      <c r="CF18" s="1" t="s">
        <v>121</v>
      </c>
      <c r="CG18" s="1" t="s">
        <v>121</v>
      </c>
      <c r="CH18" s="1" t="s">
        <v>121</v>
      </c>
      <c r="CI18" s="1" t="s">
        <v>121</v>
      </c>
      <c r="CJ18" s="1" t="s">
        <v>121</v>
      </c>
      <c r="CK18" s="1" t="s">
        <v>121</v>
      </c>
      <c r="CL18" s="1" t="s">
        <v>121</v>
      </c>
      <c r="CM18" s="1" t="s">
        <v>121</v>
      </c>
      <c r="CN18" s="1" t="s">
        <v>121</v>
      </c>
      <c r="CO18" s="1" t="s">
        <v>121</v>
      </c>
      <c r="CP18" s="1" t="s">
        <v>121</v>
      </c>
      <c r="CQ18" s="1" t="s">
        <v>121</v>
      </c>
      <c r="CR18" s="1" t="s">
        <v>121</v>
      </c>
      <c r="CS18" s="1" t="s">
        <v>121</v>
      </c>
      <c r="CT18" s="1" t="s">
        <v>121</v>
      </c>
      <c r="CU18" s="1" t="s">
        <v>121</v>
      </c>
      <c r="CV18" s="1" t="s">
        <v>121</v>
      </c>
      <c r="CW18" s="1" t="s">
        <v>121</v>
      </c>
      <c r="CX18" s="1" t="s">
        <v>121</v>
      </c>
      <c r="CY18" s="1" t="s">
        <v>121</v>
      </c>
      <c r="CZ18" s="1" t="s">
        <v>121</v>
      </c>
      <c r="DA18" s="1" t="s">
        <v>121</v>
      </c>
      <c r="DB18" s="1" t="s">
        <v>121</v>
      </c>
      <c r="DC18" s="1" t="s">
        <v>121</v>
      </c>
      <c r="DD18" s="1" t="s">
        <v>121</v>
      </c>
      <c r="DE18" s="1" t="s">
        <v>121</v>
      </c>
      <c r="DF18" s="1" t="s">
        <v>121</v>
      </c>
      <c r="DG18" s="1" t="s">
        <v>121</v>
      </c>
      <c r="DH18" s="1" t="s">
        <v>121</v>
      </c>
      <c r="DI18" s="1" t="s">
        <v>121</v>
      </c>
      <c r="DJ18" s="1" t="s">
        <v>121</v>
      </c>
      <c r="DK18" s="1" t="s">
        <v>121</v>
      </c>
      <c r="DL18" s="1" t="s">
        <v>121</v>
      </c>
      <c r="DM18" s="1" t="s">
        <v>121</v>
      </c>
      <c r="DN18" s="1" t="s">
        <v>121</v>
      </c>
      <c r="DO18" s="1" t="s">
        <v>121</v>
      </c>
      <c r="DP18" s="1" t="s">
        <v>121</v>
      </c>
      <c r="DQ18" s="1" t="s">
        <v>121</v>
      </c>
      <c r="DR18" s="1" t="s">
        <v>121</v>
      </c>
      <c r="DS18" s="1" t="s">
        <v>121</v>
      </c>
      <c r="DT18" s="1" t="s">
        <v>121</v>
      </c>
      <c r="DU18" s="1" t="s">
        <v>121</v>
      </c>
      <c r="DV18" s="1" t="s">
        <v>121</v>
      </c>
      <c r="DW18" s="1" t="s">
        <v>121</v>
      </c>
      <c r="DX18" s="1" t="s">
        <v>121</v>
      </c>
      <c r="DY18" s="1" t="s">
        <v>121</v>
      </c>
      <c r="DZ18" s="1" t="s">
        <v>121</v>
      </c>
      <c r="EA18" s="1" t="s">
        <v>121</v>
      </c>
      <c r="EB18" s="1" t="s">
        <v>121</v>
      </c>
      <c r="EC18" s="1" t="s">
        <v>121</v>
      </c>
      <c r="ED18" s="1" t="s">
        <v>121</v>
      </c>
      <c r="EE18" s="1" t="s">
        <v>121</v>
      </c>
      <c r="EF18" s="1" t="s">
        <v>121</v>
      </c>
      <c r="EG18" s="1" t="s">
        <v>121</v>
      </c>
      <c r="EH18" s="1" t="s">
        <v>121</v>
      </c>
      <c r="EI18" s="1" t="s">
        <v>121</v>
      </c>
      <c r="EJ18" s="1" t="s">
        <v>121</v>
      </c>
      <c r="EK18" s="1" t="s">
        <v>121</v>
      </c>
      <c r="EL18" s="1" t="s">
        <v>121</v>
      </c>
      <c r="EM18" s="1" t="s">
        <v>121</v>
      </c>
      <c r="EN18" s="1" t="s">
        <v>121</v>
      </c>
      <c r="EO18" s="1" t="s">
        <v>121</v>
      </c>
      <c r="EP18" s="1" t="s">
        <v>121</v>
      </c>
    </row>
    <row r="19" spans="1:146" x14ac:dyDescent="0.25">
      <c r="A19" s="307">
        <v>19</v>
      </c>
      <c r="B19" s="12" t="s">
        <v>121</v>
      </c>
      <c r="C19" s="12" t="s">
        <v>121</v>
      </c>
      <c r="D19" s="1" t="s">
        <v>121</v>
      </c>
      <c r="E19" s="1" t="s">
        <v>121</v>
      </c>
      <c r="F19" s="1" t="s">
        <v>121</v>
      </c>
      <c r="G19" s="1" t="s">
        <v>121</v>
      </c>
      <c r="H19" s="1" t="s">
        <v>121</v>
      </c>
      <c r="I19" s="1" t="s">
        <v>121</v>
      </c>
      <c r="J19" s="12" t="s">
        <v>121</v>
      </c>
      <c r="K19" s="1" t="s">
        <v>121</v>
      </c>
      <c r="L19" s="1" t="s">
        <v>121</v>
      </c>
      <c r="M19" s="1" t="s">
        <v>121</v>
      </c>
      <c r="N19" s="1" t="s">
        <v>121</v>
      </c>
      <c r="O19" s="1" t="s">
        <v>121</v>
      </c>
      <c r="P19" s="1" t="s">
        <v>121</v>
      </c>
      <c r="Q19" s="1" t="s">
        <v>121</v>
      </c>
      <c r="R19" s="1" t="s">
        <v>121</v>
      </c>
      <c r="S19" s="1" t="s">
        <v>121</v>
      </c>
      <c r="T19" s="1" t="s">
        <v>121</v>
      </c>
      <c r="U19" s="1" t="s">
        <v>121</v>
      </c>
      <c r="V19" s="1" t="s">
        <v>121</v>
      </c>
      <c r="W19" s="12" t="s">
        <v>121</v>
      </c>
      <c r="X19" s="12" t="s">
        <v>121</v>
      </c>
      <c r="Y19" s="12" t="s">
        <v>121</v>
      </c>
      <c r="Z19" s="12" t="s">
        <v>121</v>
      </c>
      <c r="AA19" s="12" t="s">
        <v>121</v>
      </c>
      <c r="AB19" s="12" t="s">
        <v>121</v>
      </c>
      <c r="AC19" s="12" t="s">
        <v>121</v>
      </c>
      <c r="AD19" s="12" t="s">
        <v>121</v>
      </c>
      <c r="AE19" s="12" t="s">
        <v>121</v>
      </c>
      <c r="AF19" s="12" t="s">
        <v>121</v>
      </c>
      <c r="AG19" s="12" t="s">
        <v>121</v>
      </c>
      <c r="AH19" s="12" t="s">
        <v>121</v>
      </c>
      <c r="AI19" s="12" t="s">
        <v>121</v>
      </c>
      <c r="AJ19" s="12" t="s">
        <v>121</v>
      </c>
      <c r="AK19" s="12" t="s">
        <v>121</v>
      </c>
      <c r="AL19" s="12" t="s">
        <v>121</v>
      </c>
      <c r="AM19" s="12" t="s">
        <v>121</v>
      </c>
      <c r="AN19" s="12" t="s">
        <v>121</v>
      </c>
      <c r="AO19" s="12" t="s">
        <v>121</v>
      </c>
      <c r="AP19" s="12" t="s">
        <v>121</v>
      </c>
      <c r="AQ19" s="12" t="s">
        <v>121</v>
      </c>
      <c r="AR19" s="12" t="s">
        <v>121</v>
      </c>
      <c r="AS19" s="12" t="s">
        <v>121</v>
      </c>
      <c r="AT19" s="12" t="s">
        <v>121</v>
      </c>
      <c r="AU19" s="12" t="s">
        <v>121</v>
      </c>
      <c r="AV19" s="12" t="s">
        <v>121</v>
      </c>
      <c r="AW19" s="11" t="s">
        <v>121</v>
      </c>
      <c r="AX19" s="11" t="s">
        <v>121</v>
      </c>
      <c r="AY19" s="11" t="s">
        <v>121</v>
      </c>
      <c r="AZ19" s="11" t="s">
        <v>121</v>
      </c>
      <c r="BA19" s="11" t="s">
        <v>121</v>
      </c>
      <c r="BB19" s="27" t="s">
        <v>121</v>
      </c>
      <c r="BC19" s="27" t="s">
        <v>121</v>
      </c>
      <c r="BD19" s="27" t="s">
        <v>121</v>
      </c>
      <c r="BE19" s="27" t="s">
        <v>121</v>
      </c>
      <c r="BF19" s="27" t="s">
        <v>121</v>
      </c>
      <c r="BG19" s="27" t="s">
        <v>121</v>
      </c>
      <c r="BH19" s="5" t="s">
        <v>121</v>
      </c>
      <c r="BI19" s="1" t="s">
        <v>121</v>
      </c>
      <c r="BJ19" s="1" t="s">
        <v>121</v>
      </c>
      <c r="BK19" s="1" t="s">
        <v>121</v>
      </c>
      <c r="BL19" s="1" t="s">
        <v>121</v>
      </c>
      <c r="BM19" s="1" t="s">
        <v>121</v>
      </c>
      <c r="BN19" s="1" t="s">
        <v>121</v>
      </c>
      <c r="BO19" s="1" t="s">
        <v>121</v>
      </c>
      <c r="BP19" s="1" t="s">
        <v>121</v>
      </c>
      <c r="BQ19" s="1" t="s">
        <v>121</v>
      </c>
      <c r="BR19" s="1" t="s">
        <v>121</v>
      </c>
      <c r="BS19" s="1" t="s">
        <v>121</v>
      </c>
      <c r="BT19" s="1" t="s">
        <v>121</v>
      </c>
      <c r="BU19" s="1" t="s">
        <v>121</v>
      </c>
      <c r="BV19" s="1" t="s">
        <v>121</v>
      </c>
      <c r="BW19" s="1" t="s">
        <v>121</v>
      </c>
      <c r="BX19" s="1" t="s">
        <v>121</v>
      </c>
      <c r="BY19" s="1" t="s">
        <v>121</v>
      </c>
      <c r="BZ19" s="1" t="s">
        <v>121</v>
      </c>
      <c r="CA19" s="1" t="s">
        <v>121</v>
      </c>
      <c r="CB19" s="1" t="s">
        <v>121</v>
      </c>
      <c r="CC19" s="1" t="s">
        <v>121</v>
      </c>
      <c r="CD19" s="1" t="s">
        <v>121</v>
      </c>
      <c r="CE19" s="1" t="s">
        <v>121</v>
      </c>
      <c r="CF19" s="1" t="s">
        <v>121</v>
      </c>
      <c r="CG19" s="1" t="s">
        <v>121</v>
      </c>
      <c r="CH19" s="1" t="s">
        <v>121</v>
      </c>
      <c r="CI19" s="1" t="s">
        <v>121</v>
      </c>
      <c r="CJ19" s="1" t="s">
        <v>121</v>
      </c>
      <c r="CK19" s="1" t="s">
        <v>121</v>
      </c>
      <c r="CL19" s="1" t="s">
        <v>121</v>
      </c>
      <c r="CM19" s="1" t="s">
        <v>121</v>
      </c>
      <c r="CN19" s="1" t="s">
        <v>121</v>
      </c>
      <c r="CO19" s="1" t="s">
        <v>121</v>
      </c>
      <c r="CP19" s="1" t="s">
        <v>121</v>
      </c>
      <c r="CQ19" s="1" t="s">
        <v>121</v>
      </c>
      <c r="CR19" s="1" t="s">
        <v>121</v>
      </c>
      <c r="CS19" s="1" t="s">
        <v>121</v>
      </c>
      <c r="CT19" s="1" t="s">
        <v>121</v>
      </c>
      <c r="CU19" s="1" t="s">
        <v>121</v>
      </c>
      <c r="CV19" s="1" t="s">
        <v>121</v>
      </c>
      <c r="CW19" s="1" t="s">
        <v>121</v>
      </c>
      <c r="CX19" s="1" t="s">
        <v>121</v>
      </c>
      <c r="CY19" s="1" t="s">
        <v>121</v>
      </c>
      <c r="CZ19" s="1" t="s">
        <v>121</v>
      </c>
      <c r="DA19" s="1" t="s">
        <v>121</v>
      </c>
      <c r="DB19" s="1" t="s">
        <v>121</v>
      </c>
      <c r="DC19" s="1" t="s">
        <v>121</v>
      </c>
      <c r="DD19" s="1" t="s">
        <v>121</v>
      </c>
      <c r="DE19" s="1" t="s">
        <v>121</v>
      </c>
      <c r="DF19" s="1" t="s">
        <v>121</v>
      </c>
      <c r="DG19" s="1" t="s">
        <v>121</v>
      </c>
      <c r="DH19" s="1" t="s">
        <v>121</v>
      </c>
      <c r="DI19" s="1" t="s">
        <v>121</v>
      </c>
      <c r="DJ19" s="1" t="s">
        <v>121</v>
      </c>
      <c r="DK19" s="1" t="s">
        <v>121</v>
      </c>
      <c r="DL19" s="1" t="s">
        <v>121</v>
      </c>
      <c r="DM19" s="1" t="s">
        <v>121</v>
      </c>
      <c r="DN19" s="1" t="s">
        <v>121</v>
      </c>
      <c r="DO19" s="1" t="s">
        <v>121</v>
      </c>
      <c r="DP19" s="1" t="s">
        <v>121</v>
      </c>
      <c r="DQ19" s="1" t="s">
        <v>121</v>
      </c>
      <c r="DR19" s="1" t="s">
        <v>121</v>
      </c>
      <c r="DS19" s="1" t="s">
        <v>121</v>
      </c>
      <c r="DT19" s="1" t="s">
        <v>121</v>
      </c>
      <c r="DU19" s="1" t="s">
        <v>121</v>
      </c>
      <c r="DV19" s="1" t="s">
        <v>121</v>
      </c>
      <c r="DW19" s="1" t="s">
        <v>121</v>
      </c>
      <c r="DX19" s="1" t="s">
        <v>121</v>
      </c>
      <c r="DY19" s="1" t="s">
        <v>121</v>
      </c>
      <c r="DZ19" s="1" t="s">
        <v>121</v>
      </c>
      <c r="EA19" s="1" t="s">
        <v>121</v>
      </c>
      <c r="EB19" s="1" t="s">
        <v>121</v>
      </c>
      <c r="EC19" s="1" t="s">
        <v>121</v>
      </c>
      <c r="ED19" s="1" t="s">
        <v>121</v>
      </c>
      <c r="EE19" s="1" t="s">
        <v>121</v>
      </c>
      <c r="EF19" s="1" t="s">
        <v>121</v>
      </c>
      <c r="EG19" s="1" t="s">
        <v>121</v>
      </c>
      <c r="EH19" s="1" t="s">
        <v>121</v>
      </c>
      <c r="EI19" s="1" t="s">
        <v>121</v>
      </c>
      <c r="EJ19" s="1" t="s">
        <v>121</v>
      </c>
      <c r="EK19" s="1" t="s">
        <v>121</v>
      </c>
      <c r="EL19" s="1" t="s">
        <v>121</v>
      </c>
      <c r="EM19" s="1" t="s">
        <v>121</v>
      </c>
      <c r="EN19" s="1" t="s">
        <v>121</v>
      </c>
      <c r="EO19" s="1" t="s">
        <v>121</v>
      </c>
      <c r="EP19" s="1" t="s">
        <v>121</v>
      </c>
    </row>
    <row r="20" spans="1:146" x14ac:dyDescent="0.25">
      <c r="A20" s="72">
        <v>20</v>
      </c>
      <c r="B20" s="426" t="s">
        <v>128</v>
      </c>
      <c r="C20" s="416" t="s">
        <v>129</v>
      </c>
      <c r="D20" s="416" t="s">
        <v>130</v>
      </c>
      <c r="E20" s="416" t="s">
        <v>131</v>
      </c>
      <c r="F20" s="416" t="s">
        <v>132</v>
      </c>
      <c r="G20" s="416" t="s">
        <v>133</v>
      </c>
      <c r="H20" s="416" t="s">
        <v>134</v>
      </c>
      <c r="I20" s="416" t="s">
        <v>135</v>
      </c>
      <c r="J20" s="416" t="s">
        <v>136</v>
      </c>
      <c r="K20" s="416" t="s">
        <v>137</v>
      </c>
      <c r="L20" s="416" t="s">
        <v>138</v>
      </c>
      <c r="M20" s="416" t="s">
        <v>139</v>
      </c>
      <c r="N20" s="416" t="s">
        <v>140</v>
      </c>
      <c r="O20" s="416" t="s">
        <v>141</v>
      </c>
      <c r="P20" s="416" t="s">
        <v>142</v>
      </c>
      <c r="Q20" s="416" t="s">
        <v>143</v>
      </c>
      <c r="R20" s="416" t="s">
        <v>144</v>
      </c>
      <c r="S20" s="416" t="s">
        <v>145</v>
      </c>
      <c r="T20" s="416" t="s">
        <v>146</v>
      </c>
      <c r="U20" s="416" t="s">
        <v>147</v>
      </c>
      <c r="V20" s="416" t="s">
        <v>148</v>
      </c>
      <c r="W20" s="416" t="s">
        <v>149</v>
      </c>
      <c r="X20" s="416" t="s">
        <v>150</v>
      </c>
      <c r="Y20" s="416" t="s">
        <v>151</v>
      </c>
      <c r="Z20" s="416" t="s">
        <v>152</v>
      </c>
      <c r="AA20" s="416" t="s">
        <v>153</v>
      </c>
      <c r="AB20" s="416" t="s">
        <v>154</v>
      </c>
      <c r="AC20" s="416" t="s">
        <v>155</v>
      </c>
      <c r="AD20" s="416" t="s">
        <v>156</v>
      </c>
      <c r="AE20" s="416" t="s">
        <v>157</v>
      </c>
      <c r="AF20" s="416" t="s">
        <v>158</v>
      </c>
      <c r="AG20" s="416" t="s">
        <v>159</v>
      </c>
      <c r="AH20" s="416" t="s">
        <v>160</v>
      </c>
      <c r="AI20" s="416" t="s">
        <v>161</v>
      </c>
      <c r="AJ20" s="416" t="s">
        <v>162</v>
      </c>
      <c r="AK20" s="416" t="s">
        <v>163</v>
      </c>
      <c r="AL20" s="416" t="s">
        <v>164</v>
      </c>
      <c r="AM20" s="416" t="s">
        <v>165</v>
      </c>
      <c r="AN20" s="416" t="s">
        <v>166</v>
      </c>
      <c r="AO20" s="416" t="s">
        <v>167</v>
      </c>
      <c r="AP20" s="416" t="s">
        <v>168</v>
      </c>
      <c r="AQ20" s="416" t="s">
        <v>169</v>
      </c>
      <c r="AR20" s="416" t="s">
        <v>170</v>
      </c>
      <c r="AS20" s="416" t="s">
        <v>171</v>
      </c>
      <c r="AT20" s="416" t="s">
        <v>172</v>
      </c>
      <c r="AU20" s="416" t="s">
        <v>173</v>
      </c>
      <c r="AV20" s="416" t="s">
        <v>174</v>
      </c>
      <c r="AW20" s="416" t="s">
        <v>175</v>
      </c>
      <c r="AX20" s="416" t="s">
        <v>176</v>
      </c>
      <c r="AY20" s="416" t="s">
        <v>177</v>
      </c>
      <c r="AZ20" s="416" t="s">
        <v>178</v>
      </c>
      <c r="BA20" s="416" t="s">
        <v>179</v>
      </c>
      <c r="BB20" s="416" t="s">
        <v>180</v>
      </c>
      <c r="BC20" s="416" t="s">
        <v>181</v>
      </c>
      <c r="BD20" s="416" t="s">
        <v>182</v>
      </c>
      <c r="BE20" s="416" t="s">
        <v>183</v>
      </c>
      <c r="BF20" s="416" t="s">
        <v>184</v>
      </c>
      <c r="BG20" s="416" t="s">
        <v>185</v>
      </c>
      <c r="BH20" s="416" t="s">
        <v>186</v>
      </c>
      <c r="BI20" s="268" t="s">
        <v>187</v>
      </c>
      <c r="BJ20" s="369" t="s">
        <v>188</v>
      </c>
      <c r="BK20" s="370" t="s">
        <v>189</v>
      </c>
      <c r="BL20" s="1" t="s">
        <v>190</v>
      </c>
      <c r="BM20" s="1" t="s">
        <v>191</v>
      </c>
      <c r="BN20" s="1" t="s">
        <v>121</v>
      </c>
      <c r="BO20" s="1" t="s">
        <v>121</v>
      </c>
      <c r="BP20" s="1" t="s">
        <v>121</v>
      </c>
      <c r="BQ20" s="1" t="s">
        <v>121</v>
      </c>
      <c r="BR20" s="1" t="s">
        <v>121</v>
      </c>
      <c r="BS20" s="1" t="s">
        <v>121</v>
      </c>
      <c r="BT20" s="1" t="s">
        <v>121</v>
      </c>
      <c r="BU20" s="1" t="s">
        <v>121</v>
      </c>
      <c r="BV20" s="1" t="s">
        <v>121</v>
      </c>
      <c r="BW20" s="1" t="s">
        <v>121</v>
      </c>
      <c r="BX20" s="1" t="s">
        <v>121</v>
      </c>
      <c r="BY20" s="1" t="s">
        <v>121</v>
      </c>
      <c r="BZ20" s="1" t="s">
        <v>121</v>
      </c>
      <c r="CA20" s="1" t="s">
        <v>121</v>
      </c>
      <c r="CB20" s="1" t="s">
        <v>121</v>
      </c>
      <c r="CC20" s="1" t="s">
        <v>121</v>
      </c>
      <c r="CD20" s="1" t="s">
        <v>121</v>
      </c>
      <c r="CE20" s="1" t="s">
        <v>121</v>
      </c>
      <c r="CF20" s="1" t="s">
        <v>121</v>
      </c>
      <c r="CG20" s="1" t="s">
        <v>121</v>
      </c>
      <c r="CH20" s="1" t="s">
        <v>121</v>
      </c>
      <c r="CI20" s="1" t="s">
        <v>121</v>
      </c>
      <c r="CJ20" s="1" t="s">
        <v>121</v>
      </c>
      <c r="CK20" s="1" t="s">
        <v>121</v>
      </c>
      <c r="CL20" s="1" t="s">
        <v>121</v>
      </c>
      <c r="CM20" s="1" t="s">
        <v>121</v>
      </c>
      <c r="CN20" s="1" t="s">
        <v>121</v>
      </c>
      <c r="CO20" s="1" t="s">
        <v>121</v>
      </c>
      <c r="CP20" s="1" t="s">
        <v>121</v>
      </c>
      <c r="CQ20" s="1" t="s">
        <v>121</v>
      </c>
      <c r="CR20" s="1" t="s">
        <v>121</v>
      </c>
      <c r="CS20" s="1" t="s">
        <v>121</v>
      </c>
      <c r="CT20" s="1" t="s">
        <v>121</v>
      </c>
      <c r="CU20" s="1" t="s">
        <v>121</v>
      </c>
      <c r="CV20" s="1" t="s">
        <v>121</v>
      </c>
      <c r="CW20" s="1" t="s">
        <v>121</v>
      </c>
      <c r="CX20" s="1" t="s">
        <v>121</v>
      </c>
      <c r="CY20" s="1" t="s">
        <v>121</v>
      </c>
      <c r="CZ20" s="1" t="s">
        <v>121</v>
      </c>
      <c r="DA20" s="1" t="s">
        <v>121</v>
      </c>
      <c r="DB20" s="1" t="s">
        <v>121</v>
      </c>
      <c r="DC20" s="1" t="s">
        <v>121</v>
      </c>
      <c r="DD20" s="1" t="s">
        <v>121</v>
      </c>
      <c r="DE20" s="1" t="s">
        <v>121</v>
      </c>
      <c r="DF20" s="1" t="s">
        <v>121</v>
      </c>
      <c r="DG20" s="1" t="s">
        <v>121</v>
      </c>
      <c r="DH20" s="1" t="s">
        <v>121</v>
      </c>
      <c r="DI20" s="1" t="s">
        <v>121</v>
      </c>
      <c r="DJ20" s="1" t="s">
        <v>121</v>
      </c>
      <c r="DK20" s="1" t="s">
        <v>121</v>
      </c>
      <c r="DL20" s="1" t="s">
        <v>121</v>
      </c>
      <c r="DM20" s="1" t="s">
        <v>121</v>
      </c>
      <c r="DN20" s="1" t="s">
        <v>121</v>
      </c>
      <c r="DO20" s="1" t="s">
        <v>121</v>
      </c>
      <c r="DP20" s="1" t="s">
        <v>121</v>
      </c>
      <c r="DQ20" s="1" t="s">
        <v>121</v>
      </c>
      <c r="DR20" s="1" t="s">
        <v>121</v>
      </c>
      <c r="DS20" s="1" t="s">
        <v>121</v>
      </c>
      <c r="DT20" s="1" t="s">
        <v>121</v>
      </c>
      <c r="DU20" s="1" t="s">
        <v>121</v>
      </c>
      <c r="DV20" s="1" t="s">
        <v>121</v>
      </c>
      <c r="DW20" s="1" t="s">
        <v>121</v>
      </c>
      <c r="DX20" s="1" t="s">
        <v>121</v>
      </c>
      <c r="DY20" s="1" t="s">
        <v>121</v>
      </c>
      <c r="DZ20" s="1" t="s">
        <v>121</v>
      </c>
      <c r="EA20" s="1" t="s">
        <v>121</v>
      </c>
      <c r="EB20" s="1" t="s">
        <v>121</v>
      </c>
      <c r="EC20" s="1" t="s">
        <v>121</v>
      </c>
      <c r="ED20" s="1" t="s">
        <v>121</v>
      </c>
      <c r="EE20" s="1" t="s">
        <v>121</v>
      </c>
      <c r="EF20" s="1" t="s">
        <v>121</v>
      </c>
      <c r="EG20" s="1" t="s">
        <v>121</v>
      </c>
      <c r="EH20" s="1" t="s">
        <v>121</v>
      </c>
      <c r="EI20" s="1" t="s">
        <v>121</v>
      </c>
      <c r="EJ20" s="1" t="s">
        <v>121</v>
      </c>
      <c r="EK20" s="1" t="s">
        <v>121</v>
      </c>
      <c r="EL20" s="1" t="s">
        <v>121</v>
      </c>
      <c r="EM20" s="1" t="s">
        <v>121</v>
      </c>
      <c r="EN20" s="1" t="s">
        <v>121</v>
      </c>
      <c r="EO20" s="1" t="s">
        <v>121</v>
      </c>
      <c r="EP20" s="1" t="s">
        <v>121</v>
      </c>
    </row>
    <row r="21" spans="1:146" x14ac:dyDescent="0.25">
      <c r="A21" s="72">
        <v>21</v>
      </c>
      <c r="B21" s="427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7"/>
      <c r="R21" s="418"/>
      <c r="S21" s="418"/>
      <c r="T21" s="418"/>
      <c r="U21" s="417"/>
      <c r="V21" s="418"/>
      <c r="W21" s="418"/>
      <c r="X21" s="417"/>
      <c r="Y21" s="417"/>
      <c r="Z21" s="417"/>
      <c r="AA21" s="417"/>
      <c r="AB21" s="417"/>
      <c r="AC21" s="418"/>
      <c r="AD21" s="417"/>
      <c r="AE21" s="417"/>
      <c r="AF21" s="417"/>
      <c r="AG21" s="418"/>
      <c r="AH21" s="417"/>
      <c r="AI21" s="417"/>
      <c r="AJ21" s="417"/>
      <c r="AK21" s="418"/>
      <c r="AL21" s="418"/>
      <c r="AM21" s="417"/>
      <c r="AN21" s="417"/>
      <c r="AO21" s="417"/>
      <c r="AP21" s="417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7"/>
      <c r="BD21" s="417"/>
      <c r="BE21" s="417"/>
      <c r="BF21" s="417"/>
      <c r="BG21" s="417"/>
      <c r="BH21" s="417"/>
      <c r="BI21" s="268"/>
      <c r="BJ21" s="369"/>
      <c r="BK21" s="370"/>
    </row>
    <row r="22" spans="1:146" ht="10.5" customHeight="1" x14ac:dyDescent="0.25">
      <c r="A22" s="307">
        <v>22</v>
      </c>
      <c r="B22" s="8" t="s">
        <v>4</v>
      </c>
      <c r="C22" s="8" t="s">
        <v>121</v>
      </c>
      <c r="D22" s="1" t="s">
        <v>121</v>
      </c>
      <c r="E22" s="1" t="s">
        <v>121</v>
      </c>
      <c r="F22" s="1" t="s">
        <v>121</v>
      </c>
      <c r="G22" s="1" t="s">
        <v>121</v>
      </c>
      <c r="H22" s="1" t="s">
        <v>121</v>
      </c>
      <c r="I22" s="1" t="s">
        <v>121</v>
      </c>
      <c r="J22" s="1" t="s">
        <v>121</v>
      </c>
      <c r="K22" s="1" t="s">
        <v>121</v>
      </c>
      <c r="L22" s="1" t="s">
        <v>121</v>
      </c>
      <c r="M22" s="1" t="s">
        <v>121</v>
      </c>
      <c r="N22" s="1" t="s">
        <v>121</v>
      </c>
      <c r="O22" s="1" t="s">
        <v>121</v>
      </c>
      <c r="P22" s="1" t="s">
        <v>121</v>
      </c>
      <c r="Q22" s="1" t="s">
        <v>121</v>
      </c>
      <c r="R22" s="1" t="s">
        <v>121</v>
      </c>
      <c r="S22" s="1" t="s">
        <v>121</v>
      </c>
      <c r="T22" s="1" t="s">
        <v>121</v>
      </c>
      <c r="U22" s="1" t="s">
        <v>121</v>
      </c>
      <c r="V22" s="1" t="s">
        <v>121</v>
      </c>
      <c r="W22" s="8" t="s">
        <v>121</v>
      </c>
      <c r="X22" s="8" t="s">
        <v>121</v>
      </c>
      <c r="Y22" s="8" t="s">
        <v>121</v>
      </c>
      <c r="Z22" s="8" t="s">
        <v>121</v>
      </c>
      <c r="AA22" s="8" t="s">
        <v>121</v>
      </c>
      <c r="AB22" s="8" t="s">
        <v>121</v>
      </c>
      <c r="AC22" s="8" t="s">
        <v>121</v>
      </c>
      <c r="AD22" s="8" t="s">
        <v>121</v>
      </c>
      <c r="AE22" s="8" t="s">
        <v>121</v>
      </c>
      <c r="AF22" s="8" t="s">
        <v>121</v>
      </c>
      <c r="AG22" s="8" t="s">
        <v>121</v>
      </c>
      <c r="AH22" s="8" t="s">
        <v>121</v>
      </c>
      <c r="AI22" s="8" t="s">
        <v>121</v>
      </c>
      <c r="AJ22" s="8" t="s">
        <v>121</v>
      </c>
      <c r="AK22" s="8" t="s">
        <v>121</v>
      </c>
      <c r="AL22" s="8" t="s">
        <v>121</v>
      </c>
      <c r="AM22" s="8" t="s">
        <v>121</v>
      </c>
      <c r="AN22" s="8" t="s">
        <v>121</v>
      </c>
      <c r="AO22" s="8" t="s">
        <v>121</v>
      </c>
      <c r="AP22" s="8" t="s">
        <v>121</v>
      </c>
      <c r="AQ22" s="8" t="s">
        <v>121</v>
      </c>
      <c r="AR22" s="8" t="s">
        <v>121</v>
      </c>
      <c r="AS22" s="8" t="s">
        <v>121</v>
      </c>
      <c r="AT22" s="8" t="s">
        <v>121</v>
      </c>
      <c r="AU22" s="8" t="s">
        <v>121</v>
      </c>
      <c r="AV22" s="8" t="s">
        <v>121</v>
      </c>
      <c r="AW22" s="8" t="s">
        <v>121</v>
      </c>
      <c r="AX22" s="11" t="s">
        <v>121</v>
      </c>
      <c r="AY22" s="11" t="s">
        <v>121</v>
      </c>
      <c r="AZ22" s="11" t="s">
        <v>121</v>
      </c>
      <c r="BA22" s="11" t="s">
        <v>121</v>
      </c>
      <c r="BB22" s="11" t="s">
        <v>121</v>
      </c>
      <c r="BC22" s="27" t="s">
        <v>121</v>
      </c>
      <c r="BD22" s="27" t="s">
        <v>121</v>
      </c>
      <c r="BE22" s="27" t="s">
        <v>121</v>
      </c>
      <c r="BF22" s="27" t="s">
        <v>121</v>
      </c>
      <c r="BG22" s="27" t="s">
        <v>121</v>
      </c>
      <c r="BH22" s="27" t="s">
        <v>121</v>
      </c>
      <c r="BI22" s="5" t="s">
        <v>121</v>
      </c>
      <c r="BJ22" s="5" t="s">
        <v>121</v>
      </c>
      <c r="BK22" s="5" t="s">
        <v>121</v>
      </c>
      <c r="BL22" s="1" t="s">
        <v>121</v>
      </c>
      <c r="BM22" s="1" t="s">
        <v>121</v>
      </c>
      <c r="BN22" s="1" t="s">
        <v>121</v>
      </c>
      <c r="BO22" s="1" t="s">
        <v>121</v>
      </c>
      <c r="BP22" s="1" t="s">
        <v>121</v>
      </c>
      <c r="BQ22" s="1" t="s">
        <v>121</v>
      </c>
      <c r="BR22" s="1" t="s">
        <v>121</v>
      </c>
      <c r="BS22" s="1" t="s">
        <v>121</v>
      </c>
      <c r="BT22" s="1" t="s">
        <v>121</v>
      </c>
      <c r="BU22" s="1" t="s">
        <v>121</v>
      </c>
      <c r="BV22" s="1" t="s">
        <v>121</v>
      </c>
      <c r="BW22" s="1" t="s">
        <v>121</v>
      </c>
      <c r="BX22" s="1" t="s">
        <v>121</v>
      </c>
      <c r="BY22" s="1" t="s">
        <v>121</v>
      </c>
      <c r="BZ22" s="1" t="s">
        <v>121</v>
      </c>
      <c r="CA22" s="1" t="s">
        <v>121</v>
      </c>
      <c r="CB22" s="1" t="s">
        <v>121</v>
      </c>
      <c r="CC22" s="1" t="s">
        <v>121</v>
      </c>
      <c r="CD22" s="1" t="s">
        <v>121</v>
      </c>
      <c r="CE22" s="1" t="s">
        <v>121</v>
      </c>
      <c r="CF22" s="1" t="s">
        <v>121</v>
      </c>
      <c r="CG22" s="1" t="s">
        <v>121</v>
      </c>
      <c r="CH22" s="1" t="s">
        <v>121</v>
      </c>
      <c r="CI22" s="1" t="s">
        <v>121</v>
      </c>
      <c r="CJ22" s="1" t="s">
        <v>121</v>
      </c>
      <c r="CK22" s="1" t="s">
        <v>121</v>
      </c>
      <c r="CL22" s="1" t="s">
        <v>121</v>
      </c>
      <c r="CM22" s="1" t="s">
        <v>121</v>
      </c>
      <c r="CN22" s="1" t="s">
        <v>121</v>
      </c>
      <c r="CO22" s="1" t="s">
        <v>121</v>
      </c>
      <c r="CP22" s="1" t="s">
        <v>121</v>
      </c>
      <c r="CQ22" s="1" t="s">
        <v>121</v>
      </c>
      <c r="CR22" s="1" t="s">
        <v>121</v>
      </c>
      <c r="CS22" s="1" t="s">
        <v>121</v>
      </c>
      <c r="CT22" s="1" t="s">
        <v>121</v>
      </c>
      <c r="CU22" s="1" t="s">
        <v>121</v>
      </c>
      <c r="CV22" s="1" t="s">
        <v>121</v>
      </c>
      <c r="CW22" s="1" t="s">
        <v>121</v>
      </c>
      <c r="CX22" s="1" t="s">
        <v>121</v>
      </c>
      <c r="CY22" s="1" t="s">
        <v>121</v>
      </c>
      <c r="CZ22" s="1" t="s">
        <v>121</v>
      </c>
      <c r="DA22" s="1" t="s">
        <v>121</v>
      </c>
      <c r="DB22" s="1" t="s">
        <v>121</v>
      </c>
      <c r="DC22" s="1" t="s">
        <v>121</v>
      </c>
      <c r="DD22" s="1" t="s">
        <v>121</v>
      </c>
      <c r="DE22" s="1" t="s">
        <v>121</v>
      </c>
      <c r="DF22" s="1" t="s">
        <v>121</v>
      </c>
      <c r="DG22" s="1" t="s">
        <v>121</v>
      </c>
      <c r="DH22" s="1" t="s">
        <v>121</v>
      </c>
      <c r="DI22" s="1" t="s">
        <v>121</v>
      </c>
      <c r="DJ22" s="1" t="s">
        <v>121</v>
      </c>
      <c r="DK22" s="1" t="s">
        <v>121</v>
      </c>
      <c r="DL22" s="1" t="s">
        <v>121</v>
      </c>
      <c r="DM22" s="1" t="s">
        <v>121</v>
      </c>
      <c r="DN22" s="1" t="s">
        <v>121</v>
      </c>
      <c r="DO22" s="1" t="s">
        <v>121</v>
      </c>
      <c r="DP22" s="1" t="s">
        <v>121</v>
      </c>
      <c r="DQ22" s="1" t="s">
        <v>121</v>
      </c>
      <c r="DR22" s="1" t="s">
        <v>121</v>
      </c>
      <c r="DS22" s="1" t="s">
        <v>121</v>
      </c>
      <c r="DT22" s="1" t="s">
        <v>121</v>
      </c>
      <c r="DU22" s="1" t="s">
        <v>121</v>
      </c>
      <c r="DV22" s="1" t="s">
        <v>121</v>
      </c>
      <c r="DW22" s="1" t="s">
        <v>121</v>
      </c>
      <c r="DX22" s="1" t="s">
        <v>121</v>
      </c>
      <c r="DY22" s="1" t="s">
        <v>121</v>
      </c>
      <c r="DZ22" s="1" t="s">
        <v>121</v>
      </c>
      <c r="EA22" s="1" t="s">
        <v>121</v>
      </c>
      <c r="EB22" s="1" t="s">
        <v>121</v>
      </c>
      <c r="EC22" s="1" t="s">
        <v>121</v>
      </c>
      <c r="ED22" s="1" t="s">
        <v>121</v>
      </c>
      <c r="EE22" s="1" t="s">
        <v>121</v>
      </c>
      <c r="EF22" s="1" t="s">
        <v>121</v>
      </c>
      <c r="EG22" s="1" t="s">
        <v>121</v>
      </c>
      <c r="EH22" s="1" t="s">
        <v>121</v>
      </c>
      <c r="EI22" s="1" t="s">
        <v>121</v>
      </c>
      <c r="EJ22" s="1" t="s">
        <v>121</v>
      </c>
      <c r="EK22" s="1" t="s">
        <v>121</v>
      </c>
      <c r="EL22" s="1" t="s">
        <v>121</v>
      </c>
      <c r="EM22" s="1" t="s">
        <v>121</v>
      </c>
      <c r="EN22" s="1" t="s">
        <v>121</v>
      </c>
      <c r="EO22" s="1" t="s">
        <v>121</v>
      </c>
      <c r="EP22" s="1" t="s">
        <v>121</v>
      </c>
    </row>
    <row r="23" spans="1:146" ht="8.25" customHeight="1" x14ac:dyDescent="0.25">
      <c r="A23" s="72">
        <v>23</v>
      </c>
      <c r="B23" s="8" t="s">
        <v>192</v>
      </c>
      <c r="C23" s="8" t="s">
        <v>121</v>
      </c>
      <c r="D23" s="1" t="s">
        <v>121</v>
      </c>
      <c r="E23" s="1" t="s">
        <v>121</v>
      </c>
      <c r="F23" s="1" t="s">
        <v>121</v>
      </c>
      <c r="G23" s="1" t="s">
        <v>121</v>
      </c>
      <c r="H23" s="1" t="s">
        <v>121</v>
      </c>
      <c r="I23" s="1" t="s">
        <v>121</v>
      </c>
      <c r="J23" s="1" t="s">
        <v>121</v>
      </c>
      <c r="K23" s="1" t="s">
        <v>121</v>
      </c>
      <c r="L23" s="1" t="s">
        <v>121</v>
      </c>
      <c r="M23" s="1" t="s">
        <v>121</v>
      </c>
      <c r="N23" s="1" t="s">
        <v>121</v>
      </c>
      <c r="O23" s="1" t="s">
        <v>121</v>
      </c>
      <c r="P23" s="1" t="s">
        <v>121</v>
      </c>
      <c r="Q23" s="1" t="s">
        <v>121</v>
      </c>
      <c r="R23" s="1" t="s">
        <v>121</v>
      </c>
      <c r="S23" s="1" t="s">
        <v>121</v>
      </c>
      <c r="T23" s="1" t="s">
        <v>121</v>
      </c>
      <c r="U23" s="1" t="s">
        <v>121</v>
      </c>
      <c r="V23" s="1" t="s">
        <v>121</v>
      </c>
      <c r="W23" s="8" t="s">
        <v>121</v>
      </c>
      <c r="X23" s="8" t="s">
        <v>121</v>
      </c>
      <c r="Y23" s="8" t="s">
        <v>121</v>
      </c>
      <c r="Z23" s="8" t="s">
        <v>121</v>
      </c>
      <c r="AA23" s="8" t="s">
        <v>121</v>
      </c>
      <c r="AB23" s="8" t="s">
        <v>121</v>
      </c>
      <c r="AC23" s="8" t="s">
        <v>121</v>
      </c>
      <c r="AD23" s="8" t="s">
        <v>121</v>
      </c>
      <c r="AE23" s="8" t="s">
        <v>121</v>
      </c>
      <c r="AF23" s="8" t="s">
        <v>121</v>
      </c>
      <c r="AG23" s="8" t="s">
        <v>121</v>
      </c>
      <c r="AH23" s="8" t="s">
        <v>121</v>
      </c>
      <c r="AI23" s="8" t="s">
        <v>121</v>
      </c>
      <c r="AJ23" s="8" t="s">
        <v>121</v>
      </c>
      <c r="AK23" s="8" t="s">
        <v>121</v>
      </c>
      <c r="AL23" s="8" t="s">
        <v>121</v>
      </c>
      <c r="AM23" s="8" t="s">
        <v>121</v>
      </c>
      <c r="AN23" s="8" t="s">
        <v>121</v>
      </c>
      <c r="AO23" s="8" t="s">
        <v>121</v>
      </c>
      <c r="AP23" s="8" t="s">
        <v>121</v>
      </c>
      <c r="AQ23" s="8" t="s">
        <v>121</v>
      </c>
      <c r="AR23" s="8" t="s">
        <v>121</v>
      </c>
      <c r="AS23" s="8" t="s">
        <v>121</v>
      </c>
      <c r="AT23" s="8" t="s">
        <v>121</v>
      </c>
      <c r="AU23" s="8" t="s">
        <v>121</v>
      </c>
      <c r="AV23" s="8" t="s">
        <v>121</v>
      </c>
      <c r="AW23" s="8" t="s">
        <v>121</v>
      </c>
      <c r="AX23" s="11" t="s">
        <v>121</v>
      </c>
      <c r="AY23" s="11" t="s">
        <v>121</v>
      </c>
      <c r="AZ23" s="11" t="s">
        <v>121</v>
      </c>
      <c r="BA23" s="11" t="s">
        <v>121</v>
      </c>
      <c r="BB23" s="11" t="s">
        <v>121</v>
      </c>
      <c r="BC23" s="27" t="s">
        <v>121</v>
      </c>
      <c r="BD23" s="27" t="s">
        <v>121</v>
      </c>
      <c r="BE23" s="27" t="s">
        <v>121</v>
      </c>
      <c r="BF23" s="27" t="s">
        <v>121</v>
      </c>
      <c r="BG23" s="27" t="s">
        <v>121</v>
      </c>
      <c r="BH23" s="27" t="s">
        <v>121</v>
      </c>
      <c r="BI23" s="5" t="s">
        <v>121</v>
      </c>
      <c r="BJ23" s="5" t="s">
        <v>121</v>
      </c>
      <c r="BK23" s="5" t="s">
        <v>121</v>
      </c>
      <c r="BL23" s="1" t="s">
        <v>121</v>
      </c>
      <c r="BM23" s="1" t="s">
        <v>121</v>
      </c>
      <c r="BN23" s="1" t="s">
        <v>121</v>
      </c>
      <c r="BO23" s="1" t="s">
        <v>121</v>
      </c>
      <c r="BP23" s="1" t="s">
        <v>121</v>
      </c>
      <c r="BQ23" s="1" t="s">
        <v>121</v>
      </c>
      <c r="BR23" s="1" t="s">
        <v>121</v>
      </c>
      <c r="BS23" s="1" t="s">
        <v>121</v>
      </c>
      <c r="BT23" s="1" t="s">
        <v>121</v>
      </c>
      <c r="BU23" s="1" t="s">
        <v>121</v>
      </c>
      <c r="BV23" s="1" t="s">
        <v>121</v>
      </c>
      <c r="BW23" s="1" t="s">
        <v>121</v>
      </c>
      <c r="BX23" s="1" t="s">
        <v>121</v>
      </c>
      <c r="BY23" s="1" t="s">
        <v>121</v>
      </c>
      <c r="BZ23" s="1" t="s">
        <v>121</v>
      </c>
      <c r="CA23" s="1" t="s">
        <v>121</v>
      </c>
      <c r="CB23" s="1" t="s">
        <v>121</v>
      </c>
      <c r="CC23" s="1" t="s">
        <v>121</v>
      </c>
      <c r="CD23" s="1" t="s">
        <v>121</v>
      </c>
      <c r="CE23" s="1" t="s">
        <v>121</v>
      </c>
      <c r="CF23" s="1" t="s">
        <v>121</v>
      </c>
      <c r="CG23" s="1" t="s">
        <v>121</v>
      </c>
      <c r="CH23" s="1" t="s">
        <v>121</v>
      </c>
      <c r="CI23" s="1" t="s">
        <v>121</v>
      </c>
      <c r="CJ23" s="1" t="s">
        <v>121</v>
      </c>
      <c r="CK23" s="1" t="s">
        <v>121</v>
      </c>
      <c r="CL23" s="1" t="s">
        <v>121</v>
      </c>
      <c r="CM23" s="1" t="s">
        <v>121</v>
      </c>
      <c r="CN23" s="1" t="s">
        <v>121</v>
      </c>
      <c r="CO23" s="1" t="s">
        <v>121</v>
      </c>
      <c r="CP23" s="1" t="s">
        <v>121</v>
      </c>
      <c r="CQ23" s="1" t="s">
        <v>121</v>
      </c>
      <c r="CR23" s="1" t="s">
        <v>121</v>
      </c>
      <c r="CS23" s="1" t="s">
        <v>121</v>
      </c>
      <c r="CT23" s="1" t="s">
        <v>121</v>
      </c>
      <c r="CU23" s="1" t="s">
        <v>121</v>
      </c>
      <c r="CV23" s="1" t="s">
        <v>121</v>
      </c>
      <c r="CW23" s="1" t="s">
        <v>121</v>
      </c>
      <c r="CX23" s="1" t="s">
        <v>121</v>
      </c>
      <c r="CY23" s="1" t="s">
        <v>121</v>
      </c>
      <c r="CZ23" s="1" t="s">
        <v>121</v>
      </c>
      <c r="DA23" s="1" t="s">
        <v>121</v>
      </c>
      <c r="DB23" s="1" t="s">
        <v>121</v>
      </c>
      <c r="DC23" s="1" t="s">
        <v>121</v>
      </c>
      <c r="DD23" s="1" t="s">
        <v>121</v>
      </c>
      <c r="DE23" s="1" t="s">
        <v>121</v>
      </c>
      <c r="DF23" s="1" t="s">
        <v>121</v>
      </c>
      <c r="DG23" s="1" t="s">
        <v>121</v>
      </c>
      <c r="DH23" s="1" t="s">
        <v>121</v>
      </c>
      <c r="DI23" s="1" t="s">
        <v>121</v>
      </c>
      <c r="DJ23" s="1" t="s">
        <v>121</v>
      </c>
      <c r="DK23" s="1" t="s">
        <v>121</v>
      </c>
      <c r="DL23" s="1" t="s">
        <v>121</v>
      </c>
      <c r="DM23" s="1" t="s">
        <v>121</v>
      </c>
      <c r="DN23" s="1" t="s">
        <v>121</v>
      </c>
      <c r="DO23" s="1" t="s">
        <v>121</v>
      </c>
      <c r="DP23" s="1" t="s">
        <v>121</v>
      </c>
      <c r="DQ23" s="1" t="s">
        <v>121</v>
      </c>
      <c r="DR23" s="1" t="s">
        <v>121</v>
      </c>
      <c r="DS23" s="1" t="s">
        <v>121</v>
      </c>
      <c r="DT23" s="1" t="s">
        <v>121</v>
      </c>
      <c r="DU23" s="1" t="s">
        <v>121</v>
      </c>
      <c r="DV23" s="1" t="s">
        <v>121</v>
      </c>
      <c r="DW23" s="1" t="s">
        <v>121</v>
      </c>
      <c r="DX23" s="1" t="s">
        <v>121</v>
      </c>
      <c r="DY23" s="1" t="s">
        <v>121</v>
      </c>
      <c r="DZ23" s="1" t="s">
        <v>121</v>
      </c>
      <c r="EA23" s="1" t="s">
        <v>121</v>
      </c>
      <c r="EB23" s="1" t="s">
        <v>121</v>
      </c>
      <c r="EC23" s="1" t="s">
        <v>121</v>
      </c>
      <c r="ED23" s="1" t="s">
        <v>121</v>
      </c>
      <c r="EE23" s="1" t="s">
        <v>121</v>
      </c>
      <c r="EF23" s="1" t="s">
        <v>121</v>
      </c>
      <c r="EG23" s="1" t="s">
        <v>121</v>
      </c>
      <c r="EH23" s="1" t="s">
        <v>121</v>
      </c>
      <c r="EI23" s="1" t="s">
        <v>121</v>
      </c>
      <c r="EJ23" s="1" t="s">
        <v>121</v>
      </c>
      <c r="EK23" s="1" t="s">
        <v>121</v>
      </c>
      <c r="EL23" s="1" t="s">
        <v>121</v>
      </c>
      <c r="EM23" s="1" t="s">
        <v>121</v>
      </c>
      <c r="EN23" s="1" t="s">
        <v>121</v>
      </c>
      <c r="EO23" s="1" t="s">
        <v>121</v>
      </c>
      <c r="EP23" s="1" t="s">
        <v>121</v>
      </c>
    </row>
    <row r="24" spans="1:146" x14ac:dyDescent="0.25">
      <c r="A24" s="72">
        <v>24</v>
      </c>
      <c r="B24" s="12" t="s">
        <v>193</v>
      </c>
      <c r="C24" s="11">
        <f>'Income and Expenses structure'!F135</f>
        <v>74917</v>
      </c>
      <c r="D24" s="11">
        <f>'Income and Expenses structure'!G135</f>
        <v>50762</v>
      </c>
      <c r="E24" s="11">
        <f>'Income and Expenses structure'!H135</f>
        <v>25386</v>
      </c>
      <c r="F24" s="11">
        <f>'Income and Expenses structure'!I135</f>
        <v>94359</v>
      </c>
      <c r="G24" s="11">
        <f>'Income and Expenses structure'!J135</f>
        <v>68233</v>
      </c>
      <c r="H24" s="11">
        <f>'Income and Expenses structure'!K135</f>
        <v>44578</v>
      </c>
      <c r="I24" s="11">
        <f>'Income and Expenses structure'!L135</f>
        <v>22314</v>
      </c>
      <c r="J24" s="11">
        <f>'Income and Expenses structure'!M135</f>
        <v>74586</v>
      </c>
      <c r="K24" s="11">
        <f>'Income and Expenses structure'!N135</f>
        <v>54022</v>
      </c>
      <c r="L24" s="11">
        <f>'Income and Expenses structure'!O135</f>
        <v>36618</v>
      </c>
      <c r="M24" s="11">
        <f>'Income and Expenses structure'!P135</f>
        <v>20814</v>
      </c>
      <c r="N24" s="402"/>
      <c r="O24" s="402"/>
      <c r="P24" s="402"/>
      <c r="Q24" s="402"/>
      <c r="R24" s="11">
        <f>'Income and Expenses structure'!U135</f>
        <v>44546.682999999997</v>
      </c>
      <c r="S24" s="11">
        <f>'Income and Expenses structure'!V135</f>
        <v>30904.683000000001</v>
      </c>
      <c r="T24" s="11">
        <f>'Income and Expenses structure'!W135</f>
        <v>20105.683000000001</v>
      </c>
      <c r="U24" s="11">
        <f>'Income and Expenses structure'!X135</f>
        <v>9239</v>
      </c>
      <c r="V24" s="11">
        <f>'Income and Expenses structure'!Y135</f>
        <v>37070</v>
      </c>
      <c r="W24" s="11">
        <f>'Income and Expenses structure'!Z135</f>
        <v>25769.616999999998</v>
      </c>
      <c r="X24" s="11">
        <f>'Income and Expenses structure'!AA135</f>
        <v>16590.691999999999</v>
      </c>
      <c r="Y24" s="11">
        <f>'Income and Expenses structure'!AB135</f>
        <v>8226.92</v>
      </c>
      <c r="Z24" s="11">
        <f>'Income and Expenses structure'!AC135</f>
        <v>31856.852000000006</v>
      </c>
      <c r="AA24" s="11">
        <f>'Income and Expenses structure'!AD135</f>
        <v>22922.161000000004</v>
      </c>
      <c r="AB24" s="11">
        <f>'Income and Expenses structure'!AE135</f>
        <v>15395.686999999998</v>
      </c>
      <c r="AC24" s="11">
        <f>'Income and Expenses structure'!AF135</f>
        <v>7402.7790000000005</v>
      </c>
      <c r="AD24" s="11">
        <f>'Income and Expenses structure'!AG135</f>
        <v>32796.879999999997</v>
      </c>
      <c r="AE24" s="11">
        <f>'Income and Expenses structure'!AH135</f>
        <v>23169.042999999994</v>
      </c>
      <c r="AF24" s="11">
        <f>'Income and Expenses structure'!AI135</f>
        <v>15473.766</v>
      </c>
      <c r="AG24" s="11">
        <f>'Income and Expenses structure'!AJ135</f>
        <v>7200.5569999999998</v>
      </c>
      <c r="AH24" s="11">
        <f>'Income and Expenses structure'!AK135</f>
        <v>32093.572999999989</v>
      </c>
      <c r="AI24" s="11">
        <f>'Income and Expenses structure'!AL135</f>
        <v>23989.803</v>
      </c>
      <c r="AJ24" s="11">
        <f>'Income and Expenses structure'!AM135</f>
        <v>15749.166999999999</v>
      </c>
      <c r="AK24" s="11">
        <f>'Income and Expenses structure'!AN135</f>
        <v>7322.8210000000008</v>
      </c>
      <c r="AL24" s="11">
        <f>'Income and Expenses structure'!AO135</f>
        <v>30300.364999999998</v>
      </c>
      <c r="AM24" s="11">
        <f>'Income and Expenses structure'!AP135</f>
        <v>22675.613999999998</v>
      </c>
      <c r="AN24" s="11">
        <f>'Income and Expenses structure'!AQ135</f>
        <v>14986.125999999998</v>
      </c>
      <c r="AO24" s="11">
        <f>'Income and Expenses structure'!AR135</f>
        <v>7364.264000000001</v>
      </c>
      <c r="AP24" s="11">
        <f>'Income and Expenses structure'!AS135</f>
        <v>27408.803999999996</v>
      </c>
      <c r="AQ24" s="11">
        <f>'Income and Expenses structure'!AT135</f>
        <v>19365.642999999996</v>
      </c>
      <c r="AR24" s="11">
        <f>'Income and Expenses structure'!AU135</f>
        <v>12291.070000000003</v>
      </c>
      <c r="AS24" s="11">
        <f>'Income and Expenses structure'!AV135</f>
        <v>5394.5159999999996</v>
      </c>
      <c r="AT24" s="11">
        <f>'Income and Expenses structure'!AW135</f>
        <v>22038.270000000004</v>
      </c>
      <c r="AU24" s="11">
        <f>'Income and Expenses structure'!AX135</f>
        <v>15427.098000000002</v>
      </c>
      <c r="AV24" s="11">
        <f>'Income and Expenses structure'!AY135</f>
        <v>10142.876</v>
      </c>
      <c r="AW24" s="11">
        <f>'Income and Expenses structure'!AZ135</f>
        <v>4572.9259999999995</v>
      </c>
      <c r="AX24" s="11">
        <f>'Income and Expenses structure'!BA135</f>
        <v>20075.062000000002</v>
      </c>
      <c r="AY24" s="11">
        <f>'Income and Expenses structure'!BB135</f>
        <v>12992.039999999999</v>
      </c>
      <c r="AZ24" s="11">
        <f>'Income and Expenses structure'!BC135</f>
        <v>8013.0659999999998</v>
      </c>
      <c r="BA24" s="11">
        <f>'Income and Expenses structure'!BD135</f>
        <v>4037.5659999999998</v>
      </c>
      <c r="BB24" s="11">
        <f>'Income and Expenses structure'!BE135</f>
        <v>14783.519999999999</v>
      </c>
      <c r="BC24" s="11">
        <f>'Income and Expenses structure'!BF135</f>
        <v>10846.494999999999</v>
      </c>
      <c r="BD24" s="11">
        <f>'Income and Expenses structure'!BG135</f>
        <v>6905.4789999999975</v>
      </c>
      <c r="BE24" s="11">
        <f>'Income and Expenses structure'!BH135</f>
        <v>3548.4580000000005</v>
      </c>
      <c r="BF24" s="11">
        <f>'Income and Expenses structure'!BI135</f>
        <v>16665.962</v>
      </c>
      <c r="BG24" s="11">
        <f>'Income and Expenses structure'!BJ135</f>
        <v>12913.270999999997</v>
      </c>
      <c r="BH24" s="11">
        <f>'Income and Expenses structure'!BK135</f>
        <v>9184.1010000000006</v>
      </c>
      <c r="BI24" s="5">
        <v>4267.4639999999999</v>
      </c>
      <c r="BJ24" s="5">
        <v>14494.93</v>
      </c>
      <c r="BK24" s="5">
        <v>10992.956</v>
      </c>
      <c r="BL24" s="1">
        <v>7410.39</v>
      </c>
      <c r="BM24" s="1">
        <v>4259.732</v>
      </c>
      <c r="BN24" s="1" t="s">
        <v>121</v>
      </c>
      <c r="BO24" s="1" t="s">
        <v>121</v>
      </c>
      <c r="BP24" s="1" t="s">
        <v>121</v>
      </c>
      <c r="BQ24" s="1" t="s">
        <v>121</v>
      </c>
      <c r="BR24" s="1" t="s">
        <v>121</v>
      </c>
      <c r="BS24" s="1" t="s">
        <v>121</v>
      </c>
      <c r="BT24" s="1" t="s">
        <v>121</v>
      </c>
      <c r="BU24" s="1" t="s">
        <v>121</v>
      </c>
      <c r="BV24" s="1" t="s">
        <v>121</v>
      </c>
      <c r="BW24" s="1" t="s">
        <v>121</v>
      </c>
      <c r="BX24" s="1" t="s">
        <v>121</v>
      </c>
      <c r="BY24" s="1" t="s">
        <v>121</v>
      </c>
      <c r="BZ24" s="1" t="s">
        <v>121</v>
      </c>
      <c r="CA24" s="1" t="s">
        <v>121</v>
      </c>
      <c r="CB24" s="1" t="s">
        <v>121</v>
      </c>
      <c r="CC24" s="1" t="s">
        <v>121</v>
      </c>
      <c r="CD24" s="1" t="s">
        <v>121</v>
      </c>
      <c r="CE24" s="1" t="s">
        <v>121</v>
      </c>
      <c r="CF24" s="1" t="s">
        <v>121</v>
      </c>
      <c r="CG24" s="1" t="s">
        <v>121</v>
      </c>
      <c r="CH24" s="1" t="s">
        <v>121</v>
      </c>
      <c r="CI24" s="1" t="s">
        <v>121</v>
      </c>
      <c r="CJ24" s="1" t="s">
        <v>121</v>
      </c>
      <c r="CK24" s="1" t="s">
        <v>121</v>
      </c>
      <c r="CL24" s="1" t="s">
        <v>121</v>
      </c>
      <c r="CM24" s="1" t="s">
        <v>121</v>
      </c>
      <c r="CN24" s="1" t="s">
        <v>121</v>
      </c>
      <c r="CO24" s="1" t="s">
        <v>121</v>
      </c>
      <c r="CP24" s="1" t="s">
        <v>121</v>
      </c>
      <c r="CQ24" s="1" t="s">
        <v>121</v>
      </c>
      <c r="CR24" s="1" t="s">
        <v>121</v>
      </c>
      <c r="CS24" s="1" t="s">
        <v>121</v>
      </c>
      <c r="CT24" s="1" t="s">
        <v>121</v>
      </c>
      <c r="CU24" s="1" t="s">
        <v>121</v>
      </c>
      <c r="CV24" s="1" t="s">
        <v>121</v>
      </c>
      <c r="CW24" s="1" t="s">
        <v>121</v>
      </c>
      <c r="CX24" s="1" t="s">
        <v>121</v>
      </c>
      <c r="CY24" s="1" t="s">
        <v>121</v>
      </c>
      <c r="CZ24" s="1" t="s">
        <v>121</v>
      </c>
      <c r="DA24" s="1" t="s">
        <v>121</v>
      </c>
      <c r="DB24" s="1" t="s">
        <v>121</v>
      </c>
      <c r="DC24" s="1" t="s">
        <v>121</v>
      </c>
      <c r="DD24" s="1" t="s">
        <v>121</v>
      </c>
      <c r="DE24" s="1" t="s">
        <v>121</v>
      </c>
      <c r="DF24" s="1" t="s">
        <v>121</v>
      </c>
      <c r="DG24" s="1" t="s">
        <v>121</v>
      </c>
      <c r="DH24" s="1" t="s">
        <v>121</v>
      </c>
      <c r="DI24" s="1" t="s">
        <v>121</v>
      </c>
      <c r="DJ24" s="1" t="s">
        <v>121</v>
      </c>
      <c r="DK24" s="1" t="s">
        <v>121</v>
      </c>
      <c r="DL24" s="1" t="s">
        <v>121</v>
      </c>
      <c r="DM24" s="1" t="s">
        <v>121</v>
      </c>
      <c r="DN24" s="1" t="s">
        <v>121</v>
      </c>
      <c r="DO24" s="1" t="s">
        <v>121</v>
      </c>
      <c r="DP24" s="1" t="s">
        <v>121</v>
      </c>
      <c r="DQ24" s="1" t="s">
        <v>121</v>
      </c>
      <c r="DR24" s="1" t="s">
        <v>121</v>
      </c>
      <c r="DS24" s="1" t="s">
        <v>121</v>
      </c>
      <c r="DT24" s="1" t="s">
        <v>121</v>
      </c>
      <c r="DU24" s="1" t="s">
        <v>121</v>
      </c>
      <c r="DV24" s="1" t="s">
        <v>121</v>
      </c>
      <c r="DW24" s="1" t="s">
        <v>121</v>
      </c>
      <c r="DX24" s="1" t="s">
        <v>121</v>
      </c>
      <c r="DY24" s="1" t="s">
        <v>121</v>
      </c>
      <c r="DZ24" s="1" t="s">
        <v>121</v>
      </c>
      <c r="EA24" s="1" t="s">
        <v>121</v>
      </c>
      <c r="EB24" s="1" t="s">
        <v>121</v>
      </c>
      <c r="EC24" s="1" t="s">
        <v>121</v>
      </c>
      <c r="ED24" s="1" t="s">
        <v>121</v>
      </c>
      <c r="EE24" s="1" t="s">
        <v>121</v>
      </c>
      <c r="EF24" s="1" t="s">
        <v>121</v>
      </c>
      <c r="EG24" s="1" t="s">
        <v>121</v>
      </c>
      <c r="EH24" s="1" t="s">
        <v>121</v>
      </c>
      <c r="EI24" s="1" t="s">
        <v>121</v>
      </c>
      <c r="EJ24" s="1" t="s">
        <v>121</v>
      </c>
      <c r="EK24" s="1" t="s">
        <v>121</v>
      </c>
      <c r="EL24" s="1" t="s">
        <v>121</v>
      </c>
      <c r="EM24" s="1" t="s">
        <v>121</v>
      </c>
      <c r="EN24" s="1" t="s">
        <v>121</v>
      </c>
      <c r="EO24" s="1" t="s">
        <v>121</v>
      </c>
      <c r="EP24" s="1" t="s">
        <v>121</v>
      </c>
    </row>
    <row r="25" spans="1:146" x14ac:dyDescent="0.25">
      <c r="A25" s="307">
        <v>25</v>
      </c>
      <c r="B25" s="12" t="s">
        <v>194</v>
      </c>
      <c r="C25" s="11">
        <f>'Income and Expenses structure'!F131</f>
        <v>59072</v>
      </c>
      <c r="D25" s="11">
        <f>'Income and Expenses structure'!G131</f>
        <v>39430</v>
      </c>
      <c r="E25" s="11">
        <f>'Income and Expenses structure'!H131</f>
        <v>19928</v>
      </c>
      <c r="F25" s="11">
        <f>'Income and Expenses structure'!I131</f>
        <v>70557</v>
      </c>
      <c r="G25" s="11">
        <f>'Income and Expenses structure'!J131</f>
        <v>51210</v>
      </c>
      <c r="H25" s="11">
        <f>'Income and Expenses structure'!K131</f>
        <v>33866</v>
      </c>
      <c r="I25" s="11">
        <f>'Income and Expenses structure'!L131</f>
        <v>17202</v>
      </c>
      <c r="J25" s="11">
        <f>'Income and Expenses structure'!M131</f>
        <v>50832</v>
      </c>
      <c r="K25" s="11">
        <f>'Income and Expenses structure'!N131</f>
        <v>34755</v>
      </c>
      <c r="L25" s="11">
        <f>'Income and Expenses structure'!O131</f>
        <v>22095</v>
      </c>
      <c r="M25" s="11">
        <f>'Income and Expenses structure'!P131</f>
        <v>11209</v>
      </c>
      <c r="N25" s="402"/>
      <c r="O25" s="402"/>
      <c r="P25" s="402"/>
      <c r="Q25" s="402"/>
      <c r="R25" s="11">
        <f>'Income and Expenses structure'!U131</f>
        <v>28107.683000000001</v>
      </c>
      <c r="S25" s="11">
        <f>'Income and Expenses structure'!V131</f>
        <v>20153.683000000001</v>
      </c>
      <c r="T25" s="11">
        <f>'Income and Expenses structure'!W131</f>
        <v>13096.683000000001</v>
      </c>
      <c r="U25" s="11">
        <f>'Income and Expenses structure'!X131</f>
        <v>6466</v>
      </c>
      <c r="V25" s="11">
        <f>'Income and Expenses structure'!Y131</f>
        <v>25524</v>
      </c>
      <c r="W25" s="11">
        <f>'Income and Expenses structure'!Z131</f>
        <v>18333.587</v>
      </c>
      <c r="X25" s="11">
        <f>'Income and Expenses structure'!AA131</f>
        <v>12293.163</v>
      </c>
      <c r="Y25" s="11">
        <f>'Income and Expenses structure'!AB131</f>
        <v>6235.6049999999996</v>
      </c>
      <c r="Z25" s="11">
        <f>'Income and Expenses structure'!AC131</f>
        <v>23281.469000000005</v>
      </c>
      <c r="AA25" s="11">
        <f>'Income and Expenses structure'!AD131</f>
        <v>16914.134000000002</v>
      </c>
      <c r="AB25" s="11">
        <f>'Income and Expenses structure'!AE131</f>
        <v>11057.760999999999</v>
      </c>
      <c r="AC25" s="11">
        <f>'Income and Expenses structure'!AF131</f>
        <v>5736.3910000000005</v>
      </c>
      <c r="AD25" s="11">
        <f>'Income and Expenses structure'!AG131</f>
        <v>21895.264999999999</v>
      </c>
      <c r="AE25" s="11">
        <f>'Income and Expenses structure'!AH131</f>
        <v>15829.462999999996</v>
      </c>
      <c r="AF25" s="11">
        <f>'Income and Expenses structure'!AI131</f>
        <v>10310.013999999999</v>
      </c>
      <c r="AG25" s="11">
        <f>'Income and Expenses structure'!AJ131</f>
        <v>5053.8419999999996</v>
      </c>
      <c r="AH25" s="11">
        <f>'Income and Expenses structure'!AK131</f>
        <v>19657.520999999997</v>
      </c>
      <c r="AI25" s="11">
        <f>'Income and Expenses structure'!AL131</f>
        <v>13941.552000000001</v>
      </c>
      <c r="AJ25" s="11">
        <f>'Income and Expenses structure'!AM131</f>
        <v>8793.2519999999986</v>
      </c>
      <c r="AK25" s="11">
        <f>'Income and Expenses structure'!AN131</f>
        <v>4453.5990000000011</v>
      </c>
      <c r="AL25" s="11">
        <f>'Income and Expenses structure'!AO131</f>
        <v>21357.581999999999</v>
      </c>
      <c r="AM25" s="11">
        <f>'Income and Expenses structure'!AP131</f>
        <v>15506.97</v>
      </c>
      <c r="AN25" s="11">
        <f>'Income and Expenses structure'!AQ131</f>
        <v>10026.615999999998</v>
      </c>
      <c r="AO25" s="11">
        <f>'Income and Expenses structure'!AR131</f>
        <v>4889.6530000000012</v>
      </c>
      <c r="AP25" s="11">
        <f>'Income and Expenses structure'!AS131</f>
        <v>16869.748999999996</v>
      </c>
      <c r="AQ25" s="11">
        <f>'Income and Expenses structure'!AT131</f>
        <v>11878.002999999999</v>
      </c>
      <c r="AR25" s="11">
        <f>'Income and Expenses structure'!AU131</f>
        <v>7952.9910000000018</v>
      </c>
      <c r="AS25" s="11">
        <f>'Income and Expenses structure'!AV131</f>
        <v>3977.694</v>
      </c>
      <c r="AT25" s="11">
        <f>'Income and Expenses structure'!AW131</f>
        <v>17999.700000000004</v>
      </c>
      <c r="AU25" s="11">
        <f>'Income and Expenses structure'!AX131</f>
        <v>12602.809000000001</v>
      </c>
      <c r="AV25" s="11">
        <f>'Income and Expenses structure'!AY131</f>
        <v>8259.6350000000002</v>
      </c>
      <c r="AW25" s="11">
        <f>'Income and Expenses structure'!AZ131</f>
        <v>3967.893</v>
      </c>
      <c r="AX25" s="11">
        <f>'Income and Expenses structure'!BA131</f>
        <v>12943.022000000003</v>
      </c>
      <c r="AY25" s="11">
        <f>'Income and Expenses structure'!BB131</f>
        <v>9238.4009999999998</v>
      </c>
      <c r="AZ25" s="11">
        <f>'Income and Expenses structure'!BC131</f>
        <v>5945.3370000000004</v>
      </c>
      <c r="BA25" s="11">
        <f>'Income and Expenses structure'!BD131</f>
        <v>2890.64</v>
      </c>
      <c r="BB25" s="11">
        <f>'Income and Expenses structure'!BE131</f>
        <v>11624.099999999999</v>
      </c>
      <c r="BC25" s="11">
        <f>'Income and Expenses structure'!BF131</f>
        <v>8610.232</v>
      </c>
      <c r="BD25" s="11">
        <f>'Income and Expenses structure'!BG131</f>
        <v>5788.7879999999986</v>
      </c>
      <c r="BE25" s="11">
        <f>'Income and Expenses structure'!BH131</f>
        <v>2839.6120000000001</v>
      </c>
      <c r="BF25" s="11">
        <f>'Income and Expenses structure'!BI131</f>
        <v>13322.564</v>
      </c>
      <c r="BG25" s="11">
        <f>'Income and Expenses structure'!BJ131</f>
        <v>10117.833999999997</v>
      </c>
      <c r="BH25" s="11">
        <f>'Income and Expenses structure'!BK131</f>
        <v>6645.8789999999999</v>
      </c>
      <c r="BI25" s="5">
        <v>3267.7710000000002</v>
      </c>
      <c r="BJ25" s="5">
        <v>11769.359999999999</v>
      </c>
      <c r="BK25" s="5">
        <v>8858.9659999999985</v>
      </c>
      <c r="BL25" s="1">
        <v>5820.3750000000009</v>
      </c>
      <c r="BM25" s="1">
        <v>3024.3710000000001</v>
      </c>
      <c r="BN25" s="1" t="s">
        <v>121</v>
      </c>
      <c r="BO25" s="1" t="s">
        <v>121</v>
      </c>
      <c r="BP25" s="1" t="s">
        <v>121</v>
      </c>
      <c r="BQ25" s="1" t="s">
        <v>121</v>
      </c>
      <c r="BR25" s="1" t="s">
        <v>121</v>
      </c>
      <c r="BS25" s="1" t="s">
        <v>121</v>
      </c>
      <c r="BT25" s="1" t="s">
        <v>121</v>
      </c>
      <c r="BU25" s="1" t="s">
        <v>121</v>
      </c>
      <c r="BV25" s="1" t="s">
        <v>121</v>
      </c>
      <c r="BW25" s="1" t="s">
        <v>121</v>
      </c>
      <c r="BX25" s="1" t="s">
        <v>121</v>
      </c>
      <c r="BY25" s="1" t="s">
        <v>121</v>
      </c>
      <c r="BZ25" s="1" t="s">
        <v>121</v>
      </c>
      <c r="CA25" s="1" t="s">
        <v>121</v>
      </c>
      <c r="CB25" s="1" t="s">
        <v>121</v>
      </c>
      <c r="CC25" s="1" t="s">
        <v>121</v>
      </c>
      <c r="CD25" s="1" t="s">
        <v>121</v>
      </c>
      <c r="CE25" s="1" t="s">
        <v>121</v>
      </c>
      <c r="CF25" s="1" t="s">
        <v>121</v>
      </c>
      <c r="CG25" s="1" t="s">
        <v>121</v>
      </c>
      <c r="CH25" s="1" t="s">
        <v>121</v>
      </c>
      <c r="CI25" s="1" t="s">
        <v>121</v>
      </c>
      <c r="CJ25" s="1" t="s">
        <v>121</v>
      </c>
      <c r="CK25" s="1" t="s">
        <v>121</v>
      </c>
      <c r="CL25" s="1" t="s">
        <v>121</v>
      </c>
      <c r="CM25" s="1" t="s">
        <v>121</v>
      </c>
      <c r="CN25" s="1" t="s">
        <v>121</v>
      </c>
      <c r="CO25" s="1" t="s">
        <v>121</v>
      </c>
      <c r="CP25" s="1" t="s">
        <v>121</v>
      </c>
      <c r="CQ25" s="1" t="s">
        <v>121</v>
      </c>
      <c r="CR25" s="1" t="s">
        <v>121</v>
      </c>
      <c r="CS25" s="1" t="s">
        <v>121</v>
      </c>
      <c r="CT25" s="1" t="s">
        <v>121</v>
      </c>
      <c r="CU25" s="1" t="s">
        <v>121</v>
      </c>
      <c r="CV25" s="1" t="s">
        <v>121</v>
      </c>
      <c r="CW25" s="1" t="s">
        <v>121</v>
      </c>
      <c r="CX25" s="1" t="s">
        <v>121</v>
      </c>
      <c r="CY25" s="1" t="s">
        <v>121</v>
      </c>
      <c r="CZ25" s="1" t="s">
        <v>121</v>
      </c>
      <c r="DA25" s="1" t="s">
        <v>121</v>
      </c>
      <c r="DB25" s="1" t="s">
        <v>121</v>
      </c>
      <c r="DC25" s="1" t="s">
        <v>121</v>
      </c>
      <c r="DD25" s="1" t="s">
        <v>121</v>
      </c>
      <c r="DE25" s="1" t="s">
        <v>121</v>
      </c>
      <c r="DF25" s="1" t="s">
        <v>121</v>
      </c>
      <c r="DG25" s="1" t="s">
        <v>121</v>
      </c>
      <c r="DH25" s="1" t="s">
        <v>121</v>
      </c>
      <c r="DI25" s="1" t="s">
        <v>121</v>
      </c>
      <c r="DJ25" s="1" t="s">
        <v>121</v>
      </c>
      <c r="DK25" s="1" t="s">
        <v>121</v>
      </c>
      <c r="DL25" s="1" t="s">
        <v>121</v>
      </c>
      <c r="DM25" s="1" t="s">
        <v>121</v>
      </c>
      <c r="DN25" s="1" t="s">
        <v>121</v>
      </c>
      <c r="DO25" s="1" t="s">
        <v>121</v>
      </c>
      <c r="DP25" s="1" t="s">
        <v>121</v>
      </c>
      <c r="DQ25" s="1" t="s">
        <v>121</v>
      </c>
      <c r="DR25" s="1" t="s">
        <v>121</v>
      </c>
      <c r="DS25" s="1" t="s">
        <v>121</v>
      </c>
      <c r="DT25" s="1" t="s">
        <v>121</v>
      </c>
      <c r="DU25" s="1" t="s">
        <v>121</v>
      </c>
      <c r="DV25" s="1" t="s">
        <v>121</v>
      </c>
      <c r="DW25" s="1" t="s">
        <v>121</v>
      </c>
      <c r="DX25" s="1" t="s">
        <v>121</v>
      </c>
      <c r="DY25" s="1" t="s">
        <v>121</v>
      </c>
      <c r="DZ25" s="1" t="s">
        <v>121</v>
      </c>
      <c r="EA25" s="1" t="s">
        <v>121</v>
      </c>
      <c r="EB25" s="1" t="s">
        <v>121</v>
      </c>
      <c r="EC25" s="1" t="s">
        <v>121</v>
      </c>
      <c r="ED25" s="1" t="s">
        <v>121</v>
      </c>
      <c r="EE25" s="1" t="s">
        <v>121</v>
      </c>
      <c r="EF25" s="1" t="s">
        <v>121</v>
      </c>
      <c r="EG25" s="1" t="s">
        <v>121</v>
      </c>
      <c r="EH25" s="1" t="s">
        <v>121</v>
      </c>
      <c r="EI25" s="1" t="s">
        <v>121</v>
      </c>
      <c r="EJ25" s="1" t="s">
        <v>121</v>
      </c>
      <c r="EK25" s="1" t="s">
        <v>121</v>
      </c>
      <c r="EL25" s="1" t="s">
        <v>121</v>
      </c>
      <c r="EM25" s="1" t="s">
        <v>121</v>
      </c>
      <c r="EN25" s="1" t="s">
        <v>121</v>
      </c>
      <c r="EO25" s="1" t="s">
        <v>121</v>
      </c>
      <c r="EP25" s="1" t="s">
        <v>121</v>
      </c>
    </row>
    <row r="26" spans="1:146" x14ac:dyDescent="0.25">
      <c r="A26" s="72">
        <v>26</v>
      </c>
      <c r="B26" s="12" t="s">
        <v>195</v>
      </c>
      <c r="C26" s="11">
        <f>'Income and Expenses structure'!F132</f>
        <v>8475</v>
      </c>
      <c r="D26" s="11">
        <f>'Income and Expenses structure'!G132</f>
        <v>5602</v>
      </c>
      <c r="E26" s="11">
        <f>'Income and Expenses structure'!H132</f>
        <v>2761</v>
      </c>
      <c r="F26" s="11">
        <f>'Income and Expenses structure'!I132</f>
        <v>11599</v>
      </c>
      <c r="G26" s="11">
        <f>'Income and Expenses structure'!J132</f>
        <v>8524</v>
      </c>
      <c r="H26" s="11">
        <f>'Income and Expenses structure'!K132</f>
        <v>5368</v>
      </c>
      <c r="I26" s="11">
        <f>'Income and Expenses structure'!L132</f>
        <v>2659</v>
      </c>
      <c r="J26" s="11">
        <f>'Income and Expenses structure'!M132</f>
        <v>12487</v>
      </c>
      <c r="K26" s="11">
        <f>'Income and Expenses structure'!N132</f>
        <v>9430</v>
      </c>
      <c r="L26" s="11">
        <f>'Income and Expenses structure'!O132</f>
        <v>6458</v>
      </c>
      <c r="M26" s="11">
        <f>'Income and Expenses structure'!P132</f>
        <v>3566</v>
      </c>
      <c r="N26" s="402"/>
      <c r="O26" s="402"/>
      <c r="P26" s="402"/>
      <c r="Q26" s="402"/>
      <c r="R26" s="11">
        <f>'Income and Expenses structure'!U132</f>
        <v>9009</v>
      </c>
      <c r="S26" s="11">
        <f>'Income and Expenses structure'!V132</f>
        <v>6409</v>
      </c>
      <c r="T26" s="11">
        <f>'Income and Expenses structure'!W132</f>
        <v>4213</v>
      </c>
      <c r="U26" s="11">
        <f>'Income and Expenses structure'!X132</f>
        <v>1905</v>
      </c>
      <c r="V26" s="11">
        <f>'Income and Expenses structure'!Y132</f>
        <v>7540</v>
      </c>
      <c r="W26" s="11">
        <f>'Income and Expenses structure'!Z132</f>
        <v>5225.1329999999998</v>
      </c>
      <c r="X26" s="11">
        <f>'Income and Expenses structure'!AA132</f>
        <v>3325.1319999999996</v>
      </c>
      <c r="Y26" s="11">
        <f>'Income and Expenses structure'!AB132</f>
        <v>1682.1690000000001</v>
      </c>
      <c r="Z26" s="11">
        <f>'Income and Expenses structure'!AC132</f>
        <v>6818.9260000000013</v>
      </c>
      <c r="AA26" s="11">
        <f>'Income and Expenses structure'!AD132</f>
        <v>4825.646999999999</v>
      </c>
      <c r="AB26" s="11">
        <f>'Income and Expenses structure'!AE132</f>
        <v>3042.1179999999995</v>
      </c>
      <c r="AC26" s="11">
        <f>'Income and Expenses structure'!AF132</f>
        <v>1278.4550000000004</v>
      </c>
      <c r="AD26" s="11">
        <f>'Income and Expenses structure'!AG132</f>
        <v>5243.0819999999985</v>
      </c>
      <c r="AE26" s="11">
        <f>'Income and Expenses structure'!AH132</f>
        <v>3746.9524999999999</v>
      </c>
      <c r="AF26" s="11">
        <f>'Income and Expenses structure'!AI132</f>
        <v>2421.3310000000001</v>
      </c>
      <c r="AG26" s="11">
        <f>'Income and Expenses structure'!AJ132</f>
        <v>1235.2635000000002</v>
      </c>
      <c r="AH26" s="11">
        <f>'Income and Expenses structure'!AK132</f>
        <v>5211.0729999999994</v>
      </c>
      <c r="AI26" s="11">
        <f>'Income and Expenses structure'!AL132</f>
        <v>3745.7579999999998</v>
      </c>
      <c r="AJ26" s="11">
        <f>'Income and Expenses structure'!AM132</f>
        <v>2433.7350000000001</v>
      </c>
      <c r="AK26" s="11">
        <f>'Income and Expenses structure'!AN132</f>
        <v>1171.204</v>
      </c>
      <c r="AL26" s="11">
        <f>'Income and Expenses structure'!AO132</f>
        <v>4699.5190000000002</v>
      </c>
      <c r="AM26" s="11">
        <f>'Income and Expenses structure'!AP132</f>
        <v>3474.2979999999998</v>
      </c>
      <c r="AN26" s="11">
        <f>'Income and Expenses structure'!AQ132</f>
        <v>2295.7780000000002</v>
      </c>
      <c r="AO26" s="11">
        <f>'Income and Expenses structure'!AR132</f>
        <v>1127.9749999999999</v>
      </c>
      <c r="AP26" s="11">
        <f>'Income and Expenses structure'!AS132</f>
        <v>4042.3099999999995</v>
      </c>
      <c r="AQ26" s="11">
        <f>'Income and Expenses structure'!AT132</f>
        <v>2897.942</v>
      </c>
      <c r="AR26" s="11">
        <f>'Income and Expenses structure'!AU132</f>
        <v>1863.5250000000001</v>
      </c>
      <c r="AS26" s="11">
        <f>'Income and Expenses structure'!AV132</f>
        <v>836.72</v>
      </c>
      <c r="AT26" s="11">
        <f>'Income and Expenses structure'!AW132</f>
        <v>3720.6420000000003</v>
      </c>
      <c r="AU26" s="11">
        <f>'Income and Expenses structure'!AX132</f>
        <v>2648.2570000000001</v>
      </c>
      <c r="AV26" s="11">
        <f>'Income and Expenses structure'!AY132</f>
        <v>1685.9559999999999</v>
      </c>
      <c r="AW26" s="11">
        <f>'Income and Expenses structure'!AZ132</f>
        <v>789.62900000000002</v>
      </c>
      <c r="AX26" s="11">
        <f>'Income and Expenses structure'!BA132</f>
        <v>2677.8679999999999</v>
      </c>
      <c r="AY26" s="11">
        <f>'Income and Expenses structure'!BB132</f>
        <v>1877.4119999999998</v>
      </c>
      <c r="AZ26" s="11">
        <f>'Income and Expenses structure'!BC132</f>
        <v>1225.8699999999999</v>
      </c>
      <c r="BA26" s="11">
        <f>'Income and Expenses structure'!BD132</f>
        <v>594.43500000000006</v>
      </c>
      <c r="BB26" s="11">
        <f>'Income and Expenses structure'!BE132</f>
        <v>2349.1290000000008</v>
      </c>
      <c r="BC26" s="11">
        <f>'Income and Expenses structure'!BF132</f>
        <v>1644.598</v>
      </c>
      <c r="BD26" s="11">
        <f>'Income and Expenses structure'!BG132</f>
        <v>1035.7539999999999</v>
      </c>
      <c r="BE26" s="11">
        <f>'Income and Expenses structure'!BH132</f>
        <v>482.05899999999997</v>
      </c>
      <c r="BF26" s="11">
        <f>'Income and Expenses structure'!BI132</f>
        <v>2051.634</v>
      </c>
      <c r="BG26" s="11">
        <f>'Income and Expenses structure'!BJ132</f>
        <v>1463.894</v>
      </c>
      <c r="BH26" s="11">
        <f>'Income and Expenses structure'!BK132</f>
        <v>938.8309999999999</v>
      </c>
      <c r="BI26" s="5">
        <v>439.13100000000003</v>
      </c>
      <c r="BJ26" s="5">
        <v>1715.125</v>
      </c>
      <c r="BK26" s="5">
        <v>1180.4960000000001</v>
      </c>
      <c r="BL26" s="1">
        <v>763.49700000000007</v>
      </c>
      <c r="BM26" s="1">
        <v>337.197</v>
      </c>
      <c r="BN26" s="1" t="s">
        <v>121</v>
      </c>
      <c r="BO26" s="1" t="s">
        <v>121</v>
      </c>
      <c r="BP26" s="1" t="s">
        <v>121</v>
      </c>
      <c r="BQ26" s="1" t="s">
        <v>121</v>
      </c>
      <c r="BR26" s="1" t="s">
        <v>121</v>
      </c>
      <c r="BS26" s="1" t="s">
        <v>121</v>
      </c>
      <c r="BT26" s="1" t="s">
        <v>121</v>
      </c>
      <c r="BU26" s="1" t="s">
        <v>121</v>
      </c>
      <c r="BV26" s="1" t="s">
        <v>121</v>
      </c>
      <c r="BW26" s="1" t="s">
        <v>121</v>
      </c>
      <c r="BX26" s="1" t="s">
        <v>121</v>
      </c>
      <c r="BY26" s="1" t="s">
        <v>121</v>
      </c>
      <c r="BZ26" s="1" t="s">
        <v>121</v>
      </c>
      <c r="CA26" s="1" t="s">
        <v>121</v>
      </c>
      <c r="CB26" s="1" t="s">
        <v>121</v>
      </c>
      <c r="CC26" s="1" t="s">
        <v>121</v>
      </c>
      <c r="CD26" s="1" t="s">
        <v>121</v>
      </c>
      <c r="CE26" s="1" t="s">
        <v>121</v>
      </c>
      <c r="CF26" s="1" t="s">
        <v>121</v>
      </c>
      <c r="CG26" s="1" t="s">
        <v>121</v>
      </c>
      <c r="CH26" s="1" t="s">
        <v>121</v>
      </c>
      <c r="CI26" s="1" t="s">
        <v>121</v>
      </c>
      <c r="CJ26" s="1" t="s">
        <v>121</v>
      </c>
      <c r="CK26" s="1" t="s">
        <v>121</v>
      </c>
      <c r="CL26" s="1" t="s">
        <v>121</v>
      </c>
      <c r="CM26" s="1" t="s">
        <v>121</v>
      </c>
      <c r="CN26" s="1" t="s">
        <v>121</v>
      </c>
      <c r="CO26" s="1" t="s">
        <v>121</v>
      </c>
      <c r="CP26" s="1" t="s">
        <v>121</v>
      </c>
      <c r="CQ26" s="1" t="s">
        <v>121</v>
      </c>
      <c r="CR26" s="1" t="s">
        <v>121</v>
      </c>
      <c r="CS26" s="1" t="s">
        <v>121</v>
      </c>
      <c r="CT26" s="1" t="s">
        <v>121</v>
      </c>
      <c r="CU26" s="1" t="s">
        <v>121</v>
      </c>
      <c r="CV26" s="1" t="s">
        <v>121</v>
      </c>
      <c r="CW26" s="1" t="s">
        <v>121</v>
      </c>
      <c r="CX26" s="1" t="s">
        <v>121</v>
      </c>
      <c r="CY26" s="1" t="s">
        <v>121</v>
      </c>
      <c r="CZ26" s="1" t="s">
        <v>121</v>
      </c>
      <c r="DA26" s="1" t="s">
        <v>121</v>
      </c>
      <c r="DB26" s="1" t="s">
        <v>121</v>
      </c>
      <c r="DC26" s="1" t="s">
        <v>121</v>
      </c>
      <c r="DD26" s="1" t="s">
        <v>121</v>
      </c>
      <c r="DE26" s="1" t="s">
        <v>121</v>
      </c>
      <c r="DF26" s="1" t="s">
        <v>121</v>
      </c>
      <c r="DG26" s="1" t="s">
        <v>121</v>
      </c>
      <c r="DH26" s="1" t="s">
        <v>121</v>
      </c>
      <c r="DI26" s="1" t="s">
        <v>121</v>
      </c>
      <c r="DJ26" s="1" t="s">
        <v>121</v>
      </c>
      <c r="DK26" s="1" t="s">
        <v>121</v>
      </c>
      <c r="DL26" s="1" t="s">
        <v>121</v>
      </c>
      <c r="DM26" s="1" t="s">
        <v>121</v>
      </c>
      <c r="DN26" s="1" t="s">
        <v>121</v>
      </c>
      <c r="DO26" s="1" t="s">
        <v>121</v>
      </c>
      <c r="DP26" s="1" t="s">
        <v>121</v>
      </c>
      <c r="DQ26" s="1" t="s">
        <v>121</v>
      </c>
      <c r="DR26" s="1" t="s">
        <v>121</v>
      </c>
      <c r="DS26" s="1" t="s">
        <v>121</v>
      </c>
      <c r="DT26" s="1" t="s">
        <v>121</v>
      </c>
      <c r="DU26" s="1" t="s">
        <v>121</v>
      </c>
      <c r="DV26" s="1" t="s">
        <v>121</v>
      </c>
      <c r="DW26" s="1" t="s">
        <v>121</v>
      </c>
      <c r="DX26" s="1" t="s">
        <v>121</v>
      </c>
      <c r="DY26" s="1" t="s">
        <v>121</v>
      </c>
      <c r="DZ26" s="1" t="s">
        <v>121</v>
      </c>
      <c r="EA26" s="1" t="s">
        <v>121</v>
      </c>
      <c r="EB26" s="1" t="s">
        <v>121</v>
      </c>
      <c r="EC26" s="1" t="s">
        <v>121</v>
      </c>
      <c r="ED26" s="1" t="s">
        <v>121</v>
      </c>
      <c r="EE26" s="1" t="s">
        <v>121</v>
      </c>
      <c r="EF26" s="1" t="s">
        <v>121</v>
      </c>
      <c r="EG26" s="1" t="s">
        <v>121</v>
      </c>
      <c r="EH26" s="1" t="s">
        <v>121</v>
      </c>
      <c r="EI26" s="1" t="s">
        <v>121</v>
      </c>
      <c r="EJ26" s="1" t="s">
        <v>121</v>
      </c>
      <c r="EK26" s="1" t="s">
        <v>121</v>
      </c>
      <c r="EL26" s="1" t="s">
        <v>121</v>
      </c>
      <c r="EM26" s="1" t="s">
        <v>121</v>
      </c>
      <c r="EN26" s="1" t="s">
        <v>121</v>
      </c>
      <c r="EO26" s="1" t="s">
        <v>121</v>
      </c>
      <c r="EP26" s="1" t="s">
        <v>121</v>
      </c>
    </row>
    <row r="27" spans="1:146" x14ac:dyDescent="0.25">
      <c r="A27" s="72">
        <v>27</v>
      </c>
      <c r="B27" s="12" t="s">
        <v>196</v>
      </c>
      <c r="C27" s="11">
        <f>'Income and Expenses structure'!F139</f>
        <v>33415</v>
      </c>
      <c r="D27" s="11">
        <f>'Income and Expenses structure'!G139</f>
        <v>24652</v>
      </c>
      <c r="E27" s="11">
        <f>'Income and Expenses structure'!H139</f>
        <v>15527</v>
      </c>
      <c r="F27" s="11">
        <f>'Income and Expenses structure'!I139</f>
        <v>50779</v>
      </c>
      <c r="G27" s="11">
        <f>'Income and Expenses structure'!J139</f>
        <v>37570</v>
      </c>
      <c r="H27" s="11">
        <f>'Income and Expenses structure'!K139</f>
        <v>24307</v>
      </c>
      <c r="I27" s="11">
        <f>'Income and Expenses structure'!L139</f>
        <v>13020</v>
      </c>
      <c r="J27" s="11">
        <f>'Income and Expenses structure'!M139</f>
        <v>47315</v>
      </c>
      <c r="K27" s="11">
        <f>'Income and Expenses structure'!N139</f>
        <v>36880</v>
      </c>
      <c r="L27" s="11">
        <f>'Income and Expenses structure'!O139</f>
        <v>28355</v>
      </c>
      <c r="M27" s="11">
        <f>'Income and Expenses structure'!P139</f>
        <v>14621</v>
      </c>
      <c r="N27" s="402"/>
      <c r="O27" s="402"/>
      <c r="P27" s="402"/>
      <c r="Q27" s="402"/>
      <c r="R27" s="11">
        <f>'Income and Expenses structure'!U139</f>
        <v>18083</v>
      </c>
      <c r="S27" s="11">
        <f>'Income and Expenses structure'!V139</f>
        <v>11406</v>
      </c>
      <c r="T27" s="11">
        <f>'Income and Expenses structure'!W139</f>
        <v>7269</v>
      </c>
      <c r="U27" s="11">
        <f>'Income and Expenses structure'!X139</f>
        <v>2393</v>
      </c>
      <c r="V27" s="11">
        <f>'Income and Expenses structure'!Y139</f>
        <v>10827</v>
      </c>
      <c r="W27" s="11">
        <f>'Income and Expenses structure'!Z139</f>
        <v>6348.5399999999972</v>
      </c>
      <c r="X27" s="11">
        <f>'Income and Expenses structure'!AA139</f>
        <v>3598.2960000000012</v>
      </c>
      <c r="Y27" s="11">
        <f>'Income and Expenses structure'!AB139</f>
        <v>1581.1629999999996</v>
      </c>
      <c r="Z27" s="11">
        <f>'Income and Expenses structure'!AC139</f>
        <v>7905.8910000000033</v>
      </c>
      <c r="AA27" s="11">
        <f>'Income and Expenses structure'!AD139</f>
        <v>5502.0840000000017</v>
      </c>
      <c r="AB27" s="11">
        <f>'Income and Expenses structure'!AE139</f>
        <v>3471.6769999999992</v>
      </c>
      <c r="AC27" s="11">
        <f>'Income and Expenses structure'!AF139</f>
        <v>1281.6540000000005</v>
      </c>
      <c r="AD27" s="11">
        <f>'Income and Expenses structure'!AG139</f>
        <v>9046.9279999999999</v>
      </c>
      <c r="AE27" s="11">
        <f>'Income and Expenses structure'!AH139</f>
        <v>6471.9489999999932</v>
      </c>
      <c r="AF27" s="11">
        <f>'Income and Expenses structure'!AI139</f>
        <v>4389.9519999999984</v>
      </c>
      <c r="AG27" s="11">
        <f>'Income and Expenses structure'!AJ139</f>
        <v>1847.070999999999</v>
      </c>
      <c r="AH27" s="11">
        <f>'Income and Expenses structure'!AK139</f>
        <v>7491.0559999999941</v>
      </c>
      <c r="AI27" s="11">
        <f>'Income and Expenses structure'!AL139</f>
        <v>5737.1329999999989</v>
      </c>
      <c r="AJ27" s="11">
        <f>'Income and Expenses structure'!AM139</f>
        <v>3324.1639999999993</v>
      </c>
      <c r="AK27" s="11">
        <f>'Income and Expenses structure'!AN139</f>
        <v>1476.8300000000006</v>
      </c>
      <c r="AL27" s="11">
        <f>'Income and Expenses structure'!AO139</f>
        <v>4277.8100000000004</v>
      </c>
      <c r="AM27" s="11">
        <f>'Income and Expenses structure'!AP139</f>
        <v>3030.6719999999978</v>
      </c>
      <c r="AN27" s="11">
        <f>'Income and Expenses structure'!AQ139</f>
        <v>1995.8069999999989</v>
      </c>
      <c r="AO27" s="11">
        <f>'Income and Expenses structure'!AR139</f>
        <v>1169.5100000000009</v>
      </c>
      <c r="AP27" s="11">
        <f>'Income and Expenses structure'!AS139</f>
        <v>3618.5149999999967</v>
      </c>
      <c r="AQ27" s="11">
        <f>'Income and Expenses structure'!AT139</f>
        <v>2687.5609999999974</v>
      </c>
      <c r="AR27" s="11">
        <f>'Income and Expenses structure'!AU139</f>
        <v>1567.6370000000022</v>
      </c>
      <c r="AS27" s="11">
        <f>'Income and Expenses structure'!AV139</f>
        <v>568.9409999999998</v>
      </c>
      <c r="AT27" s="11">
        <f>'Income and Expenses structure'!AW139</f>
        <v>4795.6740000000054</v>
      </c>
      <c r="AU27" s="11">
        <f>'Income and Expenses structure'!AX139</f>
        <v>4104.5169999999998</v>
      </c>
      <c r="AV27" s="11">
        <f>'Income and Expenses structure'!AY139</f>
        <v>2919.5159999999996</v>
      </c>
      <c r="AW27" s="11">
        <f>'Income and Expenses structure'!AZ139</f>
        <v>1675.5620000000006</v>
      </c>
      <c r="AX27" s="11">
        <f>'Income and Expenses structure'!BA139</f>
        <v>6695.2630000000026</v>
      </c>
      <c r="AY27" s="11">
        <f>'Income and Expenses structure'!BB139</f>
        <v>3615.8859999999986</v>
      </c>
      <c r="AZ27" s="11">
        <f>'Income and Expenses structure'!BC139</f>
        <v>2003.1469999999999</v>
      </c>
      <c r="BA27" s="11">
        <f>'Income and Expenses structure'!BD139</f>
        <v>1079.9299999999998</v>
      </c>
      <c r="BB27" s="11">
        <f>'Income and Expenses structure'!BE139</f>
        <v>1303.4999999999991</v>
      </c>
      <c r="BC27" s="11">
        <f>'Income and Expenses structure'!BF139</f>
        <v>930.27599999999984</v>
      </c>
      <c r="BD27" s="11">
        <f>'Income and Expenses structure'!BG139</f>
        <v>237.35299999999816</v>
      </c>
      <c r="BE27" s="11">
        <f>'Income and Expenses structure'!BH139</f>
        <v>123.28399999999979</v>
      </c>
      <c r="BF27" s="11">
        <f>'Income and Expenses structure'!BI139</f>
        <v>5885.4820000000018</v>
      </c>
      <c r="BG27" s="11">
        <f>'Income and Expenses structure'!BJ139</f>
        <v>5316.0339999999978</v>
      </c>
      <c r="BH27" s="11">
        <f>'Income and Expenses structure'!BK139</f>
        <v>4495.4600000000009</v>
      </c>
      <c r="BI27" s="5">
        <v>2090.3870000000006</v>
      </c>
      <c r="BJ27" s="5">
        <v>4114.7439999999997</v>
      </c>
      <c r="BK27" s="5">
        <v>2299.9699999999984</v>
      </c>
      <c r="BL27" s="1">
        <v>1127.1110000000008</v>
      </c>
      <c r="BM27" s="1">
        <v>349.87900000000025</v>
      </c>
      <c r="BN27" s="1" t="s">
        <v>121</v>
      </c>
      <c r="BO27" s="1" t="s">
        <v>121</v>
      </c>
      <c r="BP27" s="1" t="s">
        <v>121</v>
      </c>
      <c r="BQ27" s="1" t="s">
        <v>121</v>
      </c>
      <c r="BR27" s="1" t="s">
        <v>121</v>
      </c>
      <c r="BS27" s="1" t="s">
        <v>121</v>
      </c>
      <c r="BT27" s="1" t="s">
        <v>121</v>
      </c>
      <c r="BU27" s="1" t="s">
        <v>121</v>
      </c>
      <c r="BV27" s="1" t="s">
        <v>121</v>
      </c>
      <c r="BW27" s="1" t="s">
        <v>121</v>
      </c>
      <c r="BX27" s="1" t="s">
        <v>121</v>
      </c>
      <c r="BY27" s="1" t="s">
        <v>121</v>
      </c>
      <c r="BZ27" s="1" t="s">
        <v>121</v>
      </c>
      <c r="CA27" s="1" t="s">
        <v>121</v>
      </c>
      <c r="CB27" s="1" t="s">
        <v>121</v>
      </c>
      <c r="CC27" s="1" t="s">
        <v>121</v>
      </c>
      <c r="CD27" s="1" t="s">
        <v>121</v>
      </c>
      <c r="CE27" s="1" t="s">
        <v>121</v>
      </c>
      <c r="CF27" s="1" t="s">
        <v>121</v>
      </c>
      <c r="CG27" s="1" t="s">
        <v>121</v>
      </c>
      <c r="CH27" s="1" t="s">
        <v>121</v>
      </c>
      <c r="CI27" s="1" t="s">
        <v>121</v>
      </c>
      <c r="CJ27" s="1" t="s">
        <v>121</v>
      </c>
      <c r="CK27" s="1" t="s">
        <v>121</v>
      </c>
      <c r="CL27" s="1" t="s">
        <v>121</v>
      </c>
      <c r="CM27" s="1" t="s">
        <v>121</v>
      </c>
      <c r="CN27" s="1" t="s">
        <v>121</v>
      </c>
      <c r="CO27" s="1" t="s">
        <v>121</v>
      </c>
      <c r="CP27" s="1" t="s">
        <v>121</v>
      </c>
      <c r="CQ27" s="1" t="s">
        <v>121</v>
      </c>
      <c r="CR27" s="1" t="s">
        <v>121</v>
      </c>
      <c r="CS27" s="1" t="s">
        <v>121</v>
      </c>
      <c r="CT27" s="1" t="s">
        <v>121</v>
      </c>
      <c r="CU27" s="1" t="s">
        <v>121</v>
      </c>
      <c r="CV27" s="1" t="s">
        <v>121</v>
      </c>
      <c r="CW27" s="1" t="s">
        <v>121</v>
      </c>
      <c r="CX27" s="1" t="s">
        <v>121</v>
      </c>
      <c r="CY27" s="1" t="s">
        <v>121</v>
      </c>
      <c r="CZ27" s="1" t="s">
        <v>121</v>
      </c>
      <c r="DA27" s="1" t="s">
        <v>121</v>
      </c>
      <c r="DB27" s="1" t="s">
        <v>121</v>
      </c>
      <c r="DC27" s="1" t="s">
        <v>121</v>
      </c>
      <c r="DD27" s="1" t="s">
        <v>121</v>
      </c>
      <c r="DE27" s="1" t="s">
        <v>121</v>
      </c>
      <c r="DF27" s="1" t="s">
        <v>121</v>
      </c>
      <c r="DG27" s="1" t="s">
        <v>121</v>
      </c>
      <c r="DH27" s="1" t="s">
        <v>121</v>
      </c>
      <c r="DI27" s="1" t="s">
        <v>121</v>
      </c>
      <c r="DJ27" s="1" t="s">
        <v>121</v>
      </c>
      <c r="DK27" s="1" t="s">
        <v>121</v>
      </c>
      <c r="DL27" s="1" t="s">
        <v>121</v>
      </c>
      <c r="DM27" s="1" t="s">
        <v>121</v>
      </c>
      <c r="DN27" s="1" t="s">
        <v>121</v>
      </c>
      <c r="DO27" s="1" t="s">
        <v>121</v>
      </c>
      <c r="DP27" s="1" t="s">
        <v>121</v>
      </c>
      <c r="DQ27" s="1" t="s">
        <v>121</v>
      </c>
      <c r="DR27" s="1" t="s">
        <v>121</v>
      </c>
      <c r="DS27" s="1" t="s">
        <v>121</v>
      </c>
      <c r="DT27" s="1" t="s">
        <v>121</v>
      </c>
      <c r="DU27" s="1" t="s">
        <v>121</v>
      </c>
      <c r="DV27" s="1" t="s">
        <v>121</v>
      </c>
      <c r="DW27" s="1" t="s">
        <v>121</v>
      </c>
      <c r="DX27" s="1" t="s">
        <v>121</v>
      </c>
      <c r="DY27" s="1" t="s">
        <v>121</v>
      </c>
      <c r="DZ27" s="1" t="s">
        <v>121</v>
      </c>
      <c r="EA27" s="1" t="s">
        <v>121</v>
      </c>
      <c r="EB27" s="1" t="s">
        <v>121</v>
      </c>
      <c r="EC27" s="1" t="s">
        <v>121</v>
      </c>
      <c r="ED27" s="1" t="s">
        <v>121</v>
      </c>
      <c r="EE27" s="1" t="s">
        <v>121</v>
      </c>
      <c r="EF27" s="1" t="s">
        <v>121</v>
      </c>
      <c r="EG27" s="1" t="s">
        <v>121</v>
      </c>
      <c r="EH27" s="1" t="s">
        <v>121</v>
      </c>
      <c r="EI27" s="1" t="s">
        <v>121</v>
      </c>
      <c r="EJ27" s="1" t="s">
        <v>121</v>
      </c>
      <c r="EK27" s="1" t="s">
        <v>121</v>
      </c>
      <c r="EL27" s="1" t="s">
        <v>121</v>
      </c>
      <c r="EM27" s="1" t="s">
        <v>121</v>
      </c>
      <c r="EN27" s="1" t="s">
        <v>121</v>
      </c>
      <c r="EO27" s="1" t="s">
        <v>121</v>
      </c>
      <c r="EP27" s="1" t="s">
        <v>121</v>
      </c>
    </row>
    <row r="28" spans="1:146" ht="7.5" customHeight="1" x14ac:dyDescent="0.25">
      <c r="A28" s="307">
        <v>28</v>
      </c>
      <c r="B28" s="12" t="s">
        <v>121</v>
      </c>
      <c r="C28" s="12" t="s">
        <v>121</v>
      </c>
      <c r="D28" s="1" t="s">
        <v>121</v>
      </c>
      <c r="E28" s="1" t="s">
        <v>121</v>
      </c>
      <c r="F28" s="1" t="s">
        <v>121</v>
      </c>
      <c r="G28" s="1" t="s">
        <v>121</v>
      </c>
      <c r="H28" s="1" t="s">
        <v>121</v>
      </c>
      <c r="I28" s="1" t="s">
        <v>121</v>
      </c>
      <c r="J28" s="1" t="s">
        <v>121</v>
      </c>
      <c r="K28" s="1" t="s">
        <v>121</v>
      </c>
      <c r="L28" s="1" t="s">
        <v>121</v>
      </c>
      <c r="M28" s="1" t="s">
        <v>121</v>
      </c>
      <c r="N28" s="1" t="s">
        <v>121</v>
      </c>
      <c r="O28" s="1" t="s">
        <v>121</v>
      </c>
      <c r="P28" s="1" t="s">
        <v>121</v>
      </c>
      <c r="Q28" s="1" t="s">
        <v>121</v>
      </c>
      <c r="R28" s="1" t="s">
        <v>121</v>
      </c>
      <c r="S28" s="1" t="s">
        <v>121</v>
      </c>
      <c r="T28" s="1" t="s">
        <v>121</v>
      </c>
      <c r="U28" s="1" t="s">
        <v>121</v>
      </c>
      <c r="V28" s="1" t="s">
        <v>121</v>
      </c>
      <c r="W28" s="12" t="s">
        <v>121</v>
      </c>
      <c r="X28" s="12" t="s">
        <v>121</v>
      </c>
      <c r="Y28" s="12" t="s">
        <v>121</v>
      </c>
      <c r="Z28" s="12" t="s">
        <v>121</v>
      </c>
      <c r="AA28" s="12" t="s">
        <v>121</v>
      </c>
      <c r="AB28" s="12" t="s">
        <v>121</v>
      </c>
      <c r="AC28" s="12" t="s">
        <v>121</v>
      </c>
      <c r="AD28" s="12" t="s">
        <v>121</v>
      </c>
      <c r="AE28" s="12" t="s">
        <v>121</v>
      </c>
      <c r="AF28" s="12" t="s">
        <v>121</v>
      </c>
      <c r="AG28" s="12" t="s">
        <v>121</v>
      </c>
      <c r="AH28" s="12" t="s">
        <v>121</v>
      </c>
      <c r="AI28" s="12" t="s">
        <v>121</v>
      </c>
      <c r="AJ28" s="12" t="s">
        <v>121</v>
      </c>
      <c r="AK28" s="12" t="s">
        <v>121</v>
      </c>
      <c r="AL28" s="12" t="s">
        <v>121</v>
      </c>
      <c r="AM28" s="12" t="s">
        <v>121</v>
      </c>
      <c r="AN28" s="12" t="s">
        <v>121</v>
      </c>
      <c r="AO28" s="12" t="s">
        <v>121</v>
      </c>
      <c r="AP28" s="12" t="s">
        <v>121</v>
      </c>
      <c r="AQ28" s="12" t="s">
        <v>121</v>
      </c>
      <c r="AR28" s="12" t="s">
        <v>121</v>
      </c>
      <c r="AS28" s="12" t="s">
        <v>121</v>
      </c>
      <c r="AT28" s="12" t="s">
        <v>121</v>
      </c>
      <c r="AU28" s="12" t="s">
        <v>121</v>
      </c>
      <c r="AV28" s="12" t="s">
        <v>121</v>
      </c>
      <c r="AW28" s="12" t="s">
        <v>121</v>
      </c>
      <c r="AX28" s="11" t="s">
        <v>121</v>
      </c>
      <c r="AY28" s="11" t="s">
        <v>121</v>
      </c>
      <c r="AZ28" s="11" t="s">
        <v>121</v>
      </c>
      <c r="BA28" s="11" t="s">
        <v>121</v>
      </c>
      <c r="BB28" s="11" t="s">
        <v>121</v>
      </c>
      <c r="BC28" s="27" t="s">
        <v>121</v>
      </c>
      <c r="BD28" s="27" t="s">
        <v>121</v>
      </c>
      <c r="BE28" s="27" t="s">
        <v>121</v>
      </c>
      <c r="BF28" s="27" t="s">
        <v>121</v>
      </c>
      <c r="BG28" s="27" t="s">
        <v>121</v>
      </c>
      <c r="BH28" s="27" t="s">
        <v>121</v>
      </c>
      <c r="BI28" s="5" t="s">
        <v>121</v>
      </c>
      <c r="BJ28" s="5" t="s">
        <v>121</v>
      </c>
      <c r="BK28" s="5" t="s">
        <v>121</v>
      </c>
      <c r="BL28" s="1" t="s">
        <v>121</v>
      </c>
      <c r="BM28" s="1" t="s">
        <v>121</v>
      </c>
      <c r="BN28" s="1" t="s">
        <v>121</v>
      </c>
      <c r="BO28" s="1" t="s">
        <v>121</v>
      </c>
      <c r="BP28" s="1" t="s">
        <v>121</v>
      </c>
      <c r="BQ28" s="1" t="s">
        <v>121</v>
      </c>
      <c r="BR28" s="1" t="s">
        <v>121</v>
      </c>
      <c r="BS28" s="1" t="s">
        <v>121</v>
      </c>
      <c r="BT28" s="1" t="s">
        <v>121</v>
      </c>
      <c r="BU28" s="1" t="s">
        <v>121</v>
      </c>
      <c r="BV28" s="1" t="s">
        <v>121</v>
      </c>
      <c r="BW28" s="1" t="s">
        <v>121</v>
      </c>
      <c r="BX28" s="1" t="s">
        <v>121</v>
      </c>
      <c r="BY28" s="1" t="s">
        <v>121</v>
      </c>
      <c r="BZ28" s="1" t="s">
        <v>121</v>
      </c>
      <c r="CA28" s="1" t="s">
        <v>121</v>
      </c>
      <c r="CB28" s="1" t="s">
        <v>121</v>
      </c>
      <c r="CC28" s="1" t="s">
        <v>121</v>
      </c>
      <c r="CD28" s="1" t="s">
        <v>121</v>
      </c>
      <c r="CE28" s="1" t="s">
        <v>121</v>
      </c>
      <c r="CF28" s="1" t="s">
        <v>121</v>
      </c>
      <c r="CG28" s="1" t="s">
        <v>121</v>
      </c>
      <c r="CH28" s="1" t="s">
        <v>121</v>
      </c>
      <c r="CI28" s="1" t="s">
        <v>121</v>
      </c>
      <c r="CJ28" s="1" t="s">
        <v>121</v>
      </c>
      <c r="CK28" s="1" t="s">
        <v>121</v>
      </c>
      <c r="CL28" s="1" t="s">
        <v>121</v>
      </c>
      <c r="CM28" s="1" t="s">
        <v>121</v>
      </c>
      <c r="CN28" s="1" t="s">
        <v>121</v>
      </c>
      <c r="CO28" s="1" t="s">
        <v>121</v>
      </c>
      <c r="CP28" s="1" t="s">
        <v>121</v>
      </c>
      <c r="CQ28" s="1" t="s">
        <v>121</v>
      </c>
      <c r="CR28" s="1" t="s">
        <v>121</v>
      </c>
      <c r="CS28" s="1" t="s">
        <v>121</v>
      </c>
      <c r="CT28" s="1" t="s">
        <v>121</v>
      </c>
      <c r="CU28" s="1" t="s">
        <v>121</v>
      </c>
      <c r="CV28" s="1" t="s">
        <v>121</v>
      </c>
      <c r="CW28" s="1" t="s">
        <v>121</v>
      </c>
      <c r="CX28" s="1" t="s">
        <v>121</v>
      </c>
      <c r="CY28" s="1" t="s">
        <v>121</v>
      </c>
      <c r="CZ28" s="1" t="s">
        <v>121</v>
      </c>
      <c r="DA28" s="1" t="s">
        <v>121</v>
      </c>
      <c r="DB28" s="1" t="s">
        <v>121</v>
      </c>
      <c r="DC28" s="1" t="s">
        <v>121</v>
      </c>
      <c r="DD28" s="1" t="s">
        <v>121</v>
      </c>
      <c r="DE28" s="1" t="s">
        <v>121</v>
      </c>
      <c r="DF28" s="1" t="s">
        <v>121</v>
      </c>
      <c r="DG28" s="1" t="s">
        <v>121</v>
      </c>
      <c r="DH28" s="1" t="s">
        <v>121</v>
      </c>
      <c r="DI28" s="1" t="s">
        <v>121</v>
      </c>
      <c r="DJ28" s="1" t="s">
        <v>121</v>
      </c>
      <c r="DK28" s="1" t="s">
        <v>121</v>
      </c>
      <c r="DL28" s="1" t="s">
        <v>121</v>
      </c>
      <c r="DM28" s="1" t="s">
        <v>121</v>
      </c>
      <c r="DN28" s="1" t="s">
        <v>121</v>
      </c>
      <c r="DO28" s="1" t="s">
        <v>121</v>
      </c>
      <c r="DP28" s="1" t="s">
        <v>121</v>
      </c>
      <c r="DQ28" s="1" t="s">
        <v>121</v>
      </c>
      <c r="DR28" s="1" t="s">
        <v>121</v>
      </c>
      <c r="DS28" s="1" t="s">
        <v>121</v>
      </c>
      <c r="DT28" s="1" t="s">
        <v>121</v>
      </c>
      <c r="DU28" s="1" t="s">
        <v>121</v>
      </c>
      <c r="DV28" s="1" t="s">
        <v>121</v>
      </c>
      <c r="DW28" s="1" t="s">
        <v>121</v>
      </c>
      <c r="DX28" s="1" t="s">
        <v>121</v>
      </c>
      <c r="DY28" s="1" t="s">
        <v>121</v>
      </c>
      <c r="DZ28" s="1" t="s">
        <v>121</v>
      </c>
      <c r="EA28" s="1" t="s">
        <v>121</v>
      </c>
      <c r="EB28" s="1" t="s">
        <v>121</v>
      </c>
      <c r="EC28" s="1" t="s">
        <v>121</v>
      </c>
      <c r="ED28" s="1" t="s">
        <v>121</v>
      </c>
      <c r="EE28" s="1" t="s">
        <v>121</v>
      </c>
      <c r="EF28" s="1" t="s">
        <v>121</v>
      </c>
      <c r="EG28" s="1" t="s">
        <v>121</v>
      </c>
      <c r="EH28" s="1" t="s">
        <v>121</v>
      </c>
      <c r="EI28" s="1" t="s">
        <v>121</v>
      </c>
      <c r="EJ28" s="1" t="s">
        <v>121</v>
      </c>
      <c r="EK28" s="1" t="s">
        <v>121</v>
      </c>
      <c r="EL28" s="1" t="s">
        <v>121</v>
      </c>
      <c r="EM28" s="1" t="s">
        <v>121</v>
      </c>
      <c r="EN28" s="1" t="s">
        <v>121</v>
      </c>
      <c r="EO28" s="1" t="s">
        <v>121</v>
      </c>
      <c r="EP28" s="1" t="s">
        <v>121</v>
      </c>
    </row>
    <row r="29" spans="1:146" ht="15" customHeight="1" x14ac:dyDescent="0.25">
      <c r="A29" s="72">
        <v>29</v>
      </c>
      <c r="B29" s="425" t="s">
        <v>121</v>
      </c>
      <c r="C29" s="416" t="s">
        <v>197</v>
      </c>
      <c r="D29" s="416" t="s">
        <v>198</v>
      </c>
      <c r="E29" s="416" t="s">
        <v>131</v>
      </c>
      <c r="F29" s="416" t="s">
        <v>199</v>
      </c>
      <c r="G29" s="416" t="s">
        <v>200</v>
      </c>
      <c r="H29" s="416" t="s">
        <v>201</v>
      </c>
      <c r="I29" s="416" t="s">
        <v>135</v>
      </c>
      <c r="J29" s="416" t="s">
        <v>202</v>
      </c>
      <c r="K29" s="416" t="s">
        <v>203</v>
      </c>
      <c r="L29" s="416" t="s">
        <v>204</v>
      </c>
      <c r="M29" s="416" t="s">
        <v>139</v>
      </c>
      <c r="N29" s="416" t="s">
        <v>205</v>
      </c>
      <c r="O29" s="416" t="s">
        <v>206</v>
      </c>
      <c r="P29" s="416" t="s">
        <v>207</v>
      </c>
      <c r="Q29" s="419" t="s">
        <v>143</v>
      </c>
      <c r="R29" s="416" t="s">
        <v>208</v>
      </c>
      <c r="S29" s="416" t="s">
        <v>209</v>
      </c>
      <c r="T29" s="416" t="s">
        <v>207</v>
      </c>
      <c r="U29" s="419" t="s">
        <v>147</v>
      </c>
      <c r="V29" s="416" t="s">
        <v>210</v>
      </c>
      <c r="W29" s="416" t="s">
        <v>211</v>
      </c>
      <c r="X29" s="416" t="s">
        <v>212</v>
      </c>
      <c r="Y29" s="419" t="s">
        <v>151</v>
      </c>
      <c r="Z29" s="419" t="s">
        <v>213</v>
      </c>
      <c r="AA29" s="416" t="s">
        <v>214</v>
      </c>
      <c r="AB29" s="416" t="s">
        <v>215</v>
      </c>
      <c r="AC29" s="421" t="s">
        <v>155</v>
      </c>
      <c r="AD29" s="419" t="s">
        <v>216</v>
      </c>
      <c r="AE29" s="419" t="s">
        <v>217</v>
      </c>
      <c r="AF29" s="416" t="s">
        <v>218</v>
      </c>
      <c r="AG29" s="421" t="s">
        <v>159</v>
      </c>
      <c r="AH29" s="421" t="s">
        <v>219</v>
      </c>
      <c r="AI29" s="421" t="s">
        <v>220</v>
      </c>
      <c r="AJ29" s="421" t="s">
        <v>221</v>
      </c>
      <c r="AK29" s="416" t="s">
        <v>163</v>
      </c>
      <c r="AL29" s="416" t="s">
        <v>222</v>
      </c>
      <c r="AM29" s="416" t="s">
        <v>223</v>
      </c>
      <c r="AN29" s="416" t="s">
        <v>224</v>
      </c>
      <c r="AO29" s="416" t="s">
        <v>167</v>
      </c>
      <c r="AP29" s="416" t="s">
        <v>225</v>
      </c>
      <c r="AQ29" s="416" t="s">
        <v>226</v>
      </c>
      <c r="AR29" s="416" t="s">
        <v>227</v>
      </c>
      <c r="AS29" s="416" t="s">
        <v>171</v>
      </c>
      <c r="AT29" s="416" t="s">
        <v>228</v>
      </c>
      <c r="AU29" s="416" t="s">
        <v>229</v>
      </c>
      <c r="AV29" s="416" t="s">
        <v>230</v>
      </c>
      <c r="AW29" s="416" t="s">
        <v>175</v>
      </c>
      <c r="AX29" s="416" t="s">
        <v>231</v>
      </c>
      <c r="AY29" s="416" t="s">
        <v>232</v>
      </c>
      <c r="AZ29" s="416" t="s">
        <v>233</v>
      </c>
      <c r="BA29" s="416" t="s">
        <v>179</v>
      </c>
      <c r="BB29" s="416" t="s">
        <v>234</v>
      </c>
      <c r="BC29" s="416" t="s">
        <v>235</v>
      </c>
      <c r="BD29" s="416" t="s">
        <v>236</v>
      </c>
      <c r="BE29" s="416" t="s">
        <v>183</v>
      </c>
      <c r="BF29" s="416" t="s">
        <v>237</v>
      </c>
      <c r="BG29" s="416" t="s">
        <v>238</v>
      </c>
      <c r="BH29" s="416" t="s">
        <v>239</v>
      </c>
      <c r="BI29" s="268" t="s">
        <v>187</v>
      </c>
      <c r="BJ29" s="369" t="s">
        <v>240</v>
      </c>
      <c r="BK29" s="370" t="s">
        <v>241</v>
      </c>
      <c r="BL29" s="1" t="s">
        <v>242</v>
      </c>
      <c r="BM29" s="1" t="s">
        <v>191</v>
      </c>
      <c r="BN29" s="1" t="s">
        <v>121</v>
      </c>
      <c r="BO29" s="1" t="s">
        <v>121</v>
      </c>
      <c r="BP29" s="1" t="s">
        <v>121</v>
      </c>
      <c r="BQ29" s="1" t="s">
        <v>121</v>
      </c>
      <c r="BR29" s="1" t="s">
        <v>121</v>
      </c>
      <c r="BS29" s="1" t="s">
        <v>121</v>
      </c>
      <c r="BT29" s="1" t="s">
        <v>121</v>
      </c>
      <c r="BU29" s="1" t="s">
        <v>121</v>
      </c>
      <c r="BV29" s="1" t="s">
        <v>121</v>
      </c>
      <c r="BW29" s="1" t="s">
        <v>121</v>
      </c>
      <c r="BX29" s="1" t="s">
        <v>121</v>
      </c>
      <c r="BY29" s="1" t="s">
        <v>121</v>
      </c>
      <c r="BZ29" s="1" t="s">
        <v>121</v>
      </c>
      <c r="CA29" s="1" t="s">
        <v>121</v>
      </c>
      <c r="CB29" s="1" t="s">
        <v>121</v>
      </c>
      <c r="CC29" s="1" t="s">
        <v>121</v>
      </c>
      <c r="CD29" s="1" t="s">
        <v>121</v>
      </c>
      <c r="CE29" s="1" t="s">
        <v>121</v>
      </c>
      <c r="CF29" s="1" t="s">
        <v>121</v>
      </c>
      <c r="CG29" s="1" t="s">
        <v>121</v>
      </c>
      <c r="CH29" s="1" t="s">
        <v>121</v>
      </c>
      <c r="CI29" s="1" t="s">
        <v>121</v>
      </c>
      <c r="CJ29" s="1" t="s">
        <v>121</v>
      </c>
      <c r="CK29" s="1" t="s">
        <v>121</v>
      </c>
      <c r="CL29" s="1" t="s">
        <v>121</v>
      </c>
      <c r="CM29" s="1" t="s">
        <v>121</v>
      </c>
      <c r="CN29" s="1" t="s">
        <v>121</v>
      </c>
      <c r="CO29" s="1" t="s">
        <v>121</v>
      </c>
      <c r="CP29" s="1" t="s">
        <v>121</v>
      </c>
      <c r="CQ29" s="1" t="s">
        <v>121</v>
      </c>
      <c r="CR29" s="1" t="s">
        <v>121</v>
      </c>
      <c r="CS29" s="1" t="s">
        <v>121</v>
      </c>
      <c r="CT29" s="1" t="s">
        <v>121</v>
      </c>
      <c r="CU29" s="1" t="s">
        <v>121</v>
      </c>
      <c r="CV29" s="1" t="s">
        <v>121</v>
      </c>
      <c r="CW29" s="1" t="s">
        <v>121</v>
      </c>
      <c r="CX29" s="1" t="s">
        <v>121</v>
      </c>
      <c r="CY29" s="1" t="s">
        <v>121</v>
      </c>
      <c r="CZ29" s="1" t="s">
        <v>121</v>
      </c>
      <c r="DA29" s="1" t="s">
        <v>121</v>
      </c>
      <c r="DB29" s="1" t="s">
        <v>121</v>
      </c>
      <c r="DC29" s="1" t="s">
        <v>121</v>
      </c>
      <c r="DD29" s="1" t="s">
        <v>121</v>
      </c>
      <c r="DE29" s="1" t="s">
        <v>121</v>
      </c>
      <c r="DF29" s="1" t="s">
        <v>121</v>
      </c>
      <c r="DG29" s="1" t="s">
        <v>121</v>
      </c>
      <c r="DH29" s="1" t="s">
        <v>121</v>
      </c>
      <c r="DI29" s="1" t="s">
        <v>121</v>
      </c>
      <c r="DJ29" s="1" t="s">
        <v>121</v>
      </c>
      <c r="DK29" s="1" t="s">
        <v>121</v>
      </c>
      <c r="DL29" s="1" t="s">
        <v>121</v>
      </c>
      <c r="DM29" s="1" t="s">
        <v>121</v>
      </c>
      <c r="DN29" s="1" t="s">
        <v>121</v>
      </c>
      <c r="DO29" s="1" t="s">
        <v>121</v>
      </c>
      <c r="DP29" s="1" t="s">
        <v>121</v>
      </c>
      <c r="DQ29" s="1" t="s">
        <v>121</v>
      </c>
      <c r="DR29" s="1" t="s">
        <v>121</v>
      </c>
      <c r="DS29" s="1" t="s">
        <v>121</v>
      </c>
      <c r="DT29" s="1" t="s">
        <v>121</v>
      </c>
      <c r="DU29" s="1" t="s">
        <v>121</v>
      </c>
      <c r="DV29" s="1" t="s">
        <v>121</v>
      </c>
      <c r="DW29" s="1" t="s">
        <v>121</v>
      </c>
      <c r="DX29" s="1" t="s">
        <v>121</v>
      </c>
      <c r="DY29" s="1" t="s">
        <v>121</v>
      </c>
      <c r="DZ29" s="1" t="s">
        <v>121</v>
      </c>
      <c r="EA29" s="1" t="s">
        <v>121</v>
      </c>
      <c r="EB29" s="1" t="s">
        <v>121</v>
      </c>
      <c r="EC29" s="1" t="s">
        <v>121</v>
      </c>
      <c r="ED29" s="1" t="s">
        <v>121</v>
      </c>
      <c r="EE29" s="1" t="s">
        <v>121</v>
      </c>
      <c r="EF29" s="1" t="s">
        <v>121</v>
      </c>
      <c r="EG29" s="1" t="s">
        <v>121</v>
      </c>
      <c r="EH29" s="1" t="s">
        <v>121</v>
      </c>
      <c r="EI29" s="1" t="s">
        <v>121</v>
      </c>
      <c r="EJ29" s="1" t="s">
        <v>121</v>
      </c>
      <c r="EK29" s="1" t="s">
        <v>121</v>
      </c>
      <c r="EL29" s="1" t="s">
        <v>121</v>
      </c>
      <c r="EM29" s="1" t="s">
        <v>121</v>
      </c>
      <c r="EN29" s="1" t="s">
        <v>121</v>
      </c>
      <c r="EO29" s="1" t="s">
        <v>121</v>
      </c>
      <c r="EP29" s="1" t="s">
        <v>121</v>
      </c>
    </row>
    <row r="30" spans="1:146" ht="15" customHeight="1" x14ac:dyDescent="0.25">
      <c r="A30" s="72">
        <v>30</v>
      </c>
      <c r="B30" s="425"/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20"/>
      <c r="R30" s="418"/>
      <c r="S30" s="418"/>
      <c r="T30" s="418"/>
      <c r="U30" s="420"/>
      <c r="V30" s="418"/>
      <c r="W30" s="418"/>
      <c r="X30" s="417"/>
      <c r="Y30" s="420"/>
      <c r="Z30" s="420"/>
      <c r="AA30" s="417"/>
      <c r="AB30" s="417"/>
      <c r="AC30" s="422"/>
      <c r="AD30" s="420"/>
      <c r="AE30" s="420"/>
      <c r="AF30" s="417"/>
      <c r="AG30" s="422"/>
      <c r="AH30" s="422"/>
      <c r="AI30" s="422"/>
      <c r="AJ30" s="422"/>
      <c r="AK30" s="417"/>
      <c r="AL30" s="417"/>
      <c r="AM30" s="417"/>
      <c r="AN30" s="417"/>
      <c r="AO30" s="417"/>
      <c r="AP30" s="417"/>
      <c r="AQ30" s="417"/>
      <c r="AR30" s="417"/>
      <c r="AS30" s="417"/>
      <c r="AT30" s="417"/>
      <c r="AU30" s="417"/>
      <c r="AV30" s="417"/>
      <c r="AW30" s="417"/>
      <c r="AX30" s="417"/>
      <c r="AY30" s="417"/>
      <c r="AZ30" s="417"/>
      <c r="BA30" s="417"/>
      <c r="BB30" s="417"/>
      <c r="BC30" s="417"/>
      <c r="BD30" s="417"/>
      <c r="BE30" s="417"/>
      <c r="BF30" s="417"/>
      <c r="BG30" s="417"/>
      <c r="BH30" s="417"/>
      <c r="BI30" s="268"/>
      <c r="BJ30" s="369"/>
      <c r="BK30" s="370"/>
    </row>
    <row r="31" spans="1:146" ht="8.25" customHeight="1" x14ac:dyDescent="0.25">
      <c r="A31" s="307">
        <v>31</v>
      </c>
      <c r="B31" s="8" t="s">
        <v>4</v>
      </c>
      <c r="C31" s="8" t="s">
        <v>121</v>
      </c>
      <c r="D31" s="1" t="s">
        <v>121</v>
      </c>
      <c r="E31" s="1" t="s">
        <v>121</v>
      </c>
      <c r="F31" s="1" t="s">
        <v>121</v>
      </c>
      <c r="G31" s="1" t="s">
        <v>121</v>
      </c>
      <c r="H31" s="1" t="s">
        <v>121</v>
      </c>
      <c r="I31" s="1" t="s">
        <v>121</v>
      </c>
      <c r="J31" s="1" t="s">
        <v>121</v>
      </c>
      <c r="K31" s="1" t="s">
        <v>121</v>
      </c>
      <c r="L31" s="1" t="s">
        <v>121</v>
      </c>
      <c r="M31" s="1" t="s">
        <v>121</v>
      </c>
      <c r="N31" s="1" t="s">
        <v>121</v>
      </c>
      <c r="O31" s="1" t="s">
        <v>121</v>
      </c>
      <c r="P31" s="1" t="s">
        <v>121</v>
      </c>
      <c r="Q31" s="1" t="s">
        <v>121</v>
      </c>
      <c r="R31" s="1" t="s">
        <v>121</v>
      </c>
      <c r="S31" s="1" t="s">
        <v>121</v>
      </c>
      <c r="T31" s="1" t="s">
        <v>121</v>
      </c>
      <c r="U31" s="1" t="s">
        <v>121</v>
      </c>
      <c r="V31" s="1" t="s">
        <v>121</v>
      </c>
      <c r="W31" s="8" t="s">
        <v>121</v>
      </c>
      <c r="X31" s="8" t="s">
        <v>121</v>
      </c>
      <c r="Y31" s="8" t="s">
        <v>121</v>
      </c>
      <c r="Z31" s="8" t="s">
        <v>121</v>
      </c>
      <c r="AA31" s="8" t="s">
        <v>121</v>
      </c>
      <c r="AB31" s="8" t="s">
        <v>121</v>
      </c>
      <c r="AC31" s="8" t="s">
        <v>121</v>
      </c>
      <c r="AD31" s="8" t="s">
        <v>121</v>
      </c>
      <c r="AE31" s="8" t="s">
        <v>121</v>
      </c>
      <c r="AF31" s="8" t="s">
        <v>121</v>
      </c>
      <c r="AG31" s="8" t="s">
        <v>121</v>
      </c>
      <c r="AH31" s="8" t="s">
        <v>121</v>
      </c>
      <c r="AI31" s="8" t="s">
        <v>121</v>
      </c>
      <c r="AJ31" s="8" t="s">
        <v>121</v>
      </c>
      <c r="AK31" s="8" t="s">
        <v>121</v>
      </c>
      <c r="AL31" s="8" t="s">
        <v>121</v>
      </c>
      <c r="AM31" s="8" t="s">
        <v>121</v>
      </c>
      <c r="AN31" s="8" t="s">
        <v>121</v>
      </c>
      <c r="AO31" s="8" t="s">
        <v>121</v>
      </c>
      <c r="AP31" s="8" t="s">
        <v>121</v>
      </c>
      <c r="AQ31" s="8" t="s">
        <v>121</v>
      </c>
      <c r="AR31" s="8" t="s">
        <v>121</v>
      </c>
      <c r="AS31" s="8" t="s">
        <v>121</v>
      </c>
      <c r="AT31" s="8" t="s">
        <v>121</v>
      </c>
      <c r="AU31" s="8" t="s">
        <v>121</v>
      </c>
      <c r="AV31" s="8" t="s">
        <v>121</v>
      </c>
      <c r="AW31" s="8" t="s">
        <v>121</v>
      </c>
      <c r="AX31" s="9" t="s">
        <v>121</v>
      </c>
      <c r="AY31" s="9" t="s">
        <v>121</v>
      </c>
      <c r="AZ31" s="9" t="s">
        <v>121</v>
      </c>
      <c r="BA31" s="9" t="s">
        <v>121</v>
      </c>
      <c r="BB31" s="9" t="s">
        <v>121</v>
      </c>
      <c r="BC31" s="1" t="s">
        <v>121</v>
      </c>
      <c r="BD31" s="1" t="s">
        <v>121</v>
      </c>
      <c r="BE31" s="1" t="s">
        <v>121</v>
      </c>
      <c r="BF31" s="1" t="s">
        <v>121</v>
      </c>
      <c r="BG31" s="1" t="s">
        <v>121</v>
      </c>
      <c r="BH31" s="1" t="s">
        <v>121</v>
      </c>
      <c r="BI31" s="1" t="s">
        <v>121</v>
      </c>
      <c r="BJ31" s="1" t="s">
        <v>121</v>
      </c>
      <c r="BK31" s="1" t="s">
        <v>121</v>
      </c>
      <c r="BL31" s="1" t="s">
        <v>121</v>
      </c>
      <c r="BM31" s="1" t="s">
        <v>121</v>
      </c>
      <c r="BN31" s="1" t="s">
        <v>121</v>
      </c>
      <c r="BO31" s="1" t="s">
        <v>121</v>
      </c>
      <c r="BP31" s="1" t="s">
        <v>121</v>
      </c>
      <c r="BQ31" s="1" t="s">
        <v>121</v>
      </c>
      <c r="BR31" s="1" t="s">
        <v>121</v>
      </c>
      <c r="BS31" s="1" t="s">
        <v>121</v>
      </c>
      <c r="BT31" s="1" t="s">
        <v>121</v>
      </c>
      <c r="BU31" s="1" t="s">
        <v>121</v>
      </c>
      <c r="BV31" s="1" t="s">
        <v>121</v>
      </c>
      <c r="BW31" s="1" t="s">
        <v>121</v>
      </c>
      <c r="BX31" s="1" t="s">
        <v>121</v>
      </c>
      <c r="BY31" s="1" t="s">
        <v>121</v>
      </c>
      <c r="BZ31" s="1" t="s">
        <v>121</v>
      </c>
      <c r="CA31" s="1" t="s">
        <v>121</v>
      </c>
      <c r="CB31" s="1" t="s">
        <v>121</v>
      </c>
      <c r="CC31" s="1" t="s">
        <v>121</v>
      </c>
      <c r="CD31" s="1" t="s">
        <v>121</v>
      </c>
      <c r="CE31" s="1" t="s">
        <v>121</v>
      </c>
      <c r="CF31" s="1" t="s">
        <v>121</v>
      </c>
      <c r="CG31" s="1" t="s">
        <v>121</v>
      </c>
      <c r="CH31" s="1" t="s">
        <v>121</v>
      </c>
      <c r="CI31" s="1" t="s">
        <v>121</v>
      </c>
      <c r="CJ31" s="1" t="s">
        <v>121</v>
      </c>
      <c r="CK31" s="1" t="s">
        <v>121</v>
      </c>
      <c r="CL31" s="1" t="s">
        <v>121</v>
      </c>
      <c r="CM31" s="1" t="s">
        <v>121</v>
      </c>
      <c r="CN31" s="1" t="s">
        <v>121</v>
      </c>
      <c r="CO31" s="1" t="s">
        <v>121</v>
      </c>
      <c r="CP31" s="1" t="s">
        <v>121</v>
      </c>
      <c r="CQ31" s="1" t="s">
        <v>121</v>
      </c>
      <c r="CR31" s="1" t="s">
        <v>121</v>
      </c>
      <c r="CS31" s="1" t="s">
        <v>121</v>
      </c>
      <c r="CT31" s="1" t="s">
        <v>121</v>
      </c>
      <c r="CU31" s="1" t="s">
        <v>121</v>
      </c>
      <c r="CV31" s="1" t="s">
        <v>121</v>
      </c>
      <c r="CW31" s="1" t="s">
        <v>121</v>
      </c>
      <c r="CX31" s="1" t="s">
        <v>121</v>
      </c>
      <c r="CY31" s="1" t="s">
        <v>121</v>
      </c>
      <c r="CZ31" s="1" t="s">
        <v>121</v>
      </c>
      <c r="DA31" s="1" t="s">
        <v>121</v>
      </c>
      <c r="DB31" s="1" t="s">
        <v>121</v>
      </c>
      <c r="DC31" s="1" t="s">
        <v>121</v>
      </c>
      <c r="DD31" s="1" t="s">
        <v>121</v>
      </c>
      <c r="DE31" s="1" t="s">
        <v>121</v>
      </c>
      <c r="DF31" s="1" t="s">
        <v>121</v>
      </c>
      <c r="DG31" s="1" t="s">
        <v>121</v>
      </c>
      <c r="DH31" s="1" t="s">
        <v>121</v>
      </c>
      <c r="DI31" s="1" t="s">
        <v>121</v>
      </c>
      <c r="DJ31" s="1" t="s">
        <v>121</v>
      </c>
      <c r="DK31" s="1" t="s">
        <v>121</v>
      </c>
      <c r="DL31" s="1" t="s">
        <v>121</v>
      </c>
      <c r="DM31" s="1" t="s">
        <v>121</v>
      </c>
      <c r="DN31" s="1" t="s">
        <v>121</v>
      </c>
      <c r="DO31" s="1" t="s">
        <v>121</v>
      </c>
      <c r="DP31" s="1" t="s">
        <v>121</v>
      </c>
      <c r="DQ31" s="1" t="s">
        <v>121</v>
      </c>
      <c r="DR31" s="1" t="s">
        <v>121</v>
      </c>
      <c r="DS31" s="1" t="s">
        <v>121</v>
      </c>
      <c r="DT31" s="1" t="s">
        <v>121</v>
      </c>
      <c r="DU31" s="1" t="s">
        <v>121</v>
      </c>
      <c r="DV31" s="1" t="s">
        <v>121</v>
      </c>
      <c r="DW31" s="1" t="s">
        <v>121</v>
      </c>
      <c r="DX31" s="1" t="s">
        <v>121</v>
      </c>
      <c r="DY31" s="1" t="s">
        <v>121</v>
      </c>
      <c r="DZ31" s="1" t="s">
        <v>121</v>
      </c>
      <c r="EA31" s="1" t="s">
        <v>121</v>
      </c>
      <c r="EB31" s="1" t="s">
        <v>121</v>
      </c>
      <c r="EC31" s="1" t="s">
        <v>121</v>
      </c>
      <c r="ED31" s="1" t="s">
        <v>121</v>
      </c>
      <c r="EE31" s="1" t="s">
        <v>121</v>
      </c>
      <c r="EF31" s="1" t="s">
        <v>121</v>
      </c>
      <c r="EG31" s="1" t="s">
        <v>121</v>
      </c>
      <c r="EH31" s="1" t="s">
        <v>121</v>
      </c>
      <c r="EI31" s="1" t="s">
        <v>121</v>
      </c>
      <c r="EJ31" s="1" t="s">
        <v>121</v>
      </c>
      <c r="EK31" s="1" t="s">
        <v>121</v>
      </c>
      <c r="EL31" s="1" t="s">
        <v>121</v>
      </c>
      <c r="EM31" s="1" t="s">
        <v>121</v>
      </c>
      <c r="EN31" s="1" t="s">
        <v>121</v>
      </c>
      <c r="EO31" s="1" t="s">
        <v>121</v>
      </c>
      <c r="EP31" s="1" t="s">
        <v>121</v>
      </c>
    </row>
    <row r="32" spans="1:146" ht="8.25" customHeight="1" x14ac:dyDescent="0.25">
      <c r="A32" s="72">
        <v>32</v>
      </c>
      <c r="B32" s="8" t="s">
        <v>243</v>
      </c>
      <c r="C32" s="8" t="s">
        <v>121</v>
      </c>
      <c r="D32" s="1" t="s">
        <v>121</v>
      </c>
      <c r="E32" s="1" t="s">
        <v>121</v>
      </c>
      <c r="F32" s="1" t="s">
        <v>121</v>
      </c>
      <c r="G32" s="1" t="s">
        <v>121</v>
      </c>
      <c r="H32" s="1" t="s">
        <v>121</v>
      </c>
      <c r="I32" s="1" t="s">
        <v>121</v>
      </c>
      <c r="J32" s="1" t="s">
        <v>121</v>
      </c>
      <c r="K32" s="1" t="s">
        <v>121</v>
      </c>
      <c r="L32" s="1" t="s">
        <v>121</v>
      </c>
      <c r="M32" s="1" t="s">
        <v>121</v>
      </c>
      <c r="N32" s="1" t="s">
        <v>121</v>
      </c>
      <c r="O32" s="1" t="s">
        <v>121</v>
      </c>
      <c r="P32" s="1" t="s">
        <v>121</v>
      </c>
      <c r="Q32" s="1" t="s">
        <v>121</v>
      </c>
      <c r="R32" s="1" t="s">
        <v>121</v>
      </c>
      <c r="S32" s="1" t="s">
        <v>121</v>
      </c>
      <c r="T32" s="1" t="s">
        <v>121</v>
      </c>
      <c r="U32" s="1" t="s">
        <v>121</v>
      </c>
      <c r="V32" s="1" t="s">
        <v>121</v>
      </c>
      <c r="W32" s="8" t="s">
        <v>121</v>
      </c>
      <c r="X32" s="8" t="s">
        <v>121</v>
      </c>
      <c r="Y32" s="8" t="s">
        <v>121</v>
      </c>
      <c r="Z32" s="8" t="s">
        <v>121</v>
      </c>
      <c r="AA32" s="8" t="s">
        <v>121</v>
      </c>
      <c r="AB32" s="8" t="s">
        <v>121</v>
      </c>
      <c r="AC32" s="8" t="s">
        <v>121</v>
      </c>
      <c r="AD32" s="8" t="s">
        <v>121</v>
      </c>
      <c r="AE32" s="8" t="s">
        <v>121</v>
      </c>
      <c r="AF32" s="8" t="s">
        <v>121</v>
      </c>
      <c r="AG32" s="8" t="s">
        <v>121</v>
      </c>
      <c r="AH32" s="8" t="s">
        <v>121</v>
      </c>
      <c r="AI32" s="8" t="s">
        <v>121</v>
      </c>
      <c r="AJ32" s="8" t="s">
        <v>121</v>
      </c>
      <c r="AK32" s="8" t="s">
        <v>121</v>
      </c>
      <c r="AL32" s="8" t="s">
        <v>121</v>
      </c>
      <c r="AM32" s="8" t="s">
        <v>121</v>
      </c>
      <c r="AN32" s="8" t="s">
        <v>121</v>
      </c>
      <c r="AO32" s="8" t="s">
        <v>121</v>
      </c>
      <c r="AP32" s="8" t="s">
        <v>121</v>
      </c>
      <c r="AQ32" s="8" t="s">
        <v>121</v>
      </c>
      <c r="AR32" s="8" t="s">
        <v>121</v>
      </c>
      <c r="AS32" s="8" t="s">
        <v>121</v>
      </c>
      <c r="AT32" s="8" t="s">
        <v>121</v>
      </c>
      <c r="AU32" s="8" t="s">
        <v>121</v>
      </c>
      <c r="AV32" s="8" t="s">
        <v>121</v>
      </c>
      <c r="AW32" s="8" t="s">
        <v>121</v>
      </c>
      <c r="AX32" s="9" t="s">
        <v>121</v>
      </c>
      <c r="AY32" s="9" t="s">
        <v>121</v>
      </c>
      <c r="AZ32" s="9" t="s">
        <v>121</v>
      </c>
      <c r="BA32" s="9" t="s">
        <v>121</v>
      </c>
      <c r="BB32" s="9" t="s">
        <v>121</v>
      </c>
      <c r="BC32" s="1" t="s">
        <v>121</v>
      </c>
      <c r="BD32" s="1" t="s">
        <v>121</v>
      </c>
      <c r="BE32" s="1" t="s">
        <v>121</v>
      </c>
      <c r="BF32" s="1" t="s">
        <v>121</v>
      </c>
      <c r="BG32" s="1" t="s">
        <v>121</v>
      </c>
      <c r="BH32" s="1" t="s">
        <v>121</v>
      </c>
      <c r="BI32" s="1" t="s">
        <v>121</v>
      </c>
      <c r="BJ32" s="1" t="s">
        <v>121</v>
      </c>
      <c r="BK32" s="1" t="s">
        <v>121</v>
      </c>
      <c r="BL32" s="1" t="s">
        <v>121</v>
      </c>
      <c r="BM32" s="1" t="s">
        <v>121</v>
      </c>
      <c r="BN32" s="1" t="s">
        <v>121</v>
      </c>
      <c r="BO32" s="1" t="s">
        <v>121</v>
      </c>
      <c r="BP32" s="1" t="s">
        <v>121</v>
      </c>
      <c r="BQ32" s="1" t="s">
        <v>121</v>
      </c>
      <c r="BR32" s="1" t="s">
        <v>121</v>
      </c>
      <c r="BS32" s="1" t="s">
        <v>121</v>
      </c>
      <c r="BT32" s="1" t="s">
        <v>121</v>
      </c>
      <c r="BU32" s="1" t="s">
        <v>121</v>
      </c>
      <c r="BV32" s="1" t="s">
        <v>121</v>
      </c>
      <c r="BW32" s="1" t="s">
        <v>121</v>
      </c>
      <c r="BX32" s="1" t="s">
        <v>121</v>
      </c>
      <c r="BY32" s="1" t="s">
        <v>121</v>
      </c>
      <c r="BZ32" s="1" t="s">
        <v>121</v>
      </c>
      <c r="CA32" s="1" t="s">
        <v>121</v>
      </c>
      <c r="CB32" s="1" t="s">
        <v>121</v>
      </c>
      <c r="CC32" s="1" t="s">
        <v>121</v>
      </c>
      <c r="CD32" s="1" t="s">
        <v>121</v>
      </c>
      <c r="CE32" s="1" t="s">
        <v>121</v>
      </c>
      <c r="CF32" s="1" t="s">
        <v>121</v>
      </c>
      <c r="CG32" s="1" t="s">
        <v>121</v>
      </c>
      <c r="CH32" s="1" t="s">
        <v>121</v>
      </c>
      <c r="CI32" s="1" t="s">
        <v>121</v>
      </c>
      <c r="CJ32" s="1" t="s">
        <v>121</v>
      </c>
      <c r="CK32" s="1" t="s">
        <v>121</v>
      </c>
      <c r="CL32" s="1" t="s">
        <v>121</v>
      </c>
      <c r="CM32" s="1" t="s">
        <v>121</v>
      </c>
      <c r="CN32" s="1" t="s">
        <v>121</v>
      </c>
      <c r="CO32" s="1" t="s">
        <v>121</v>
      </c>
      <c r="CP32" s="1" t="s">
        <v>121</v>
      </c>
      <c r="CQ32" s="1" t="s">
        <v>121</v>
      </c>
      <c r="CR32" s="1" t="s">
        <v>121</v>
      </c>
      <c r="CS32" s="1" t="s">
        <v>121</v>
      </c>
      <c r="CT32" s="1" t="s">
        <v>121</v>
      </c>
      <c r="CU32" s="1" t="s">
        <v>121</v>
      </c>
      <c r="CV32" s="1" t="s">
        <v>121</v>
      </c>
      <c r="CW32" s="1" t="s">
        <v>121</v>
      </c>
      <c r="CX32" s="1" t="s">
        <v>121</v>
      </c>
      <c r="CY32" s="1" t="s">
        <v>121</v>
      </c>
      <c r="CZ32" s="1" t="s">
        <v>121</v>
      </c>
      <c r="DA32" s="1" t="s">
        <v>121</v>
      </c>
      <c r="DB32" s="1" t="s">
        <v>121</v>
      </c>
      <c r="DC32" s="1" t="s">
        <v>121</v>
      </c>
      <c r="DD32" s="1" t="s">
        <v>121</v>
      </c>
      <c r="DE32" s="1" t="s">
        <v>121</v>
      </c>
      <c r="DF32" s="1" t="s">
        <v>121</v>
      </c>
      <c r="DG32" s="1" t="s">
        <v>121</v>
      </c>
      <c r="DH32" s="1" t="s">
        <v>121</v>
      </c>
      <c r="DI32" s="1" t="s">
        <v>121</v>
      </c>
      <c r="DJ32" s="1" t="s">
        <v>121</v>
      </c>
      <c r="DK32" s="1" t="s">
        <v>121</v>
      </c>
      <c r="DL32" s="1" t="s">
        <v>121</v>
      </c>
      <c r="DM32" s="1" t="s">
        <v>121</v>
      </c>
      <c r="DN32" s="1" t="s">
        <v>121</v>
      </c>
      <c r="DO32" s="1" t="s">
        <v>121</v>
      </c>
      <c r="DP32" s="1" t="s">
        <v>121</v>
      </c>
      <c r="DQ32" s="1" t="s">
        <v>121</v>
      </c>
      <c r="DR32" s="1" t="s">
        <v>121</v>
      </c>
      <c r="DS32" s="1" t="s">
        <v>121</v>
      </c>
      <c r="DT32" s="1" t="s">
        <v>121</v>
      </c>
      <c r="DU32" s="1" t="s">
        <v>121</v>
      </c>
      <c r="DV32" s="1" t="s">
        <v>121</v>
      </c>
      <c r="DW32" s="1" t="s">
        <v>121</v>
      </c>
      <c r="DX32" s="1" t="s">
        <v>121</v>
      </c>
      <c r="DY32" s="1" t="s">
        <v>121</v>
      </c>
      <c r="DZ32" s="1" t="s">
        <v>121</v>
      </c>
      <c r="EA32" s="1" t="s">
        <v>121</v>
      </c>
      <c r="EB32" s="1" t="s">
        <v>121</v>
      </c>
      <c r="EC32" s="1" t="s">
        <v>121</v>
      </c>
      <c r="ED32" s="1" t="s">
        <v>121</v>
      </c>
      <c r="EE32" s="1" t="s">
        <v>121</v>
      </c>
      <c r="EF32" s="1" t="s">
        <v>121</v>
      </c>
      <c r="EG32" s="1" t="s">
        <v>121</v>
      </c>
      <c r="EH32" s="1" t="s">
        <v>121</v>
      </c>
      <c r="EI32" s="1" t="s">
        <v>121</v>
      </c>
      <c r="EJ32" s="1" t="s">
        <v>121</v>
      </c>
      <c r="EK32" s="1" t="s">
        <v>121</v>
      </c>
      <c r="EL32" s="1" t="s">
        <v>121</v>
      </c>
      <c r="EM32" s="1" t="s">
        <v>121</v>
      </c>
      <c r="EN32" s="1" t="s">
        <v>121</v>
      </c>
      <c r="EO32" s="1" t="s">
        <v>121</v>
      </c>
      <c r="EP32" s="1" t="s">
        <v>121</v>
      </c>
    </row>
    <row r="33" spans="1:146" x14ac:dyDescent="0.25">
      <c r="A33" s="72">
        <v>33</v>
      </c>
      <c r="B33" s="12" t="s">
        <v>193</v>
      </c>
      <c r="C33" s="22">
        <f>'Income and Expenses structure'!F149</f>
        <v>24155</v>
      </c>
      <c r="D33" s="22">
        <f>'Income and Expenses structure'!G149</f>
        <v>25376</v>
      </c>
      <c r="E33" s="22">
        <f>'Income and Expenses structure'!H149</f>
        <v>25386</v>
      </c>
      <c r="F33" s="22">
        <f>'Income and Expenses structure'!I149</f>
        <v>26126</v>
      </c>
      <c r="G33" s="22">
        <f>'Income and Expenses structure'!J149</f>
        <v>23655</v>
      </c>
      <c r="H33" s="22">
        <f>'Income and Expenses structure'!K149</f>
        <v>22264</v>
      </c>
      <c r="I33" s="22">
        <f>'Income and Expenses structure'!L149</f>
        <v>22314</v>
      </c>
      <c r="J33" s="22">
        <f>'Income and Expenses structure'!M149</f>
        <v>20564</v>
      </c>
      <c r="K33" s="22">
        <f>'Income and Expenses structure'!N149</f>
        <v>17404</v>
      </c>
      <c r="L33" s="22">
        <f>'Income and Expenses structure'!O149</f>
        <v>15804</v>
      </c>
      <c r="M33" s="22">
        <f>'Income and Expenses structure'!P149</f>
        <v>20814</v>
      </c>
      <c r="N33" s="402"/>
      <c r="O33" s="402"/>
      <c r="P33" s="402"/>
      <c r="Q33" s="402"/>
      <c r="R33" s="22">
        <f>'Income and Expenses structure'!U149</f>
        <v>13642</v>
      </c>
      <c r="S33" s="22">
        <f>'Income and Expenses structure'!V149</f>
        <v>10799</v>
      </c>
      <c r="T33" s="22">
        <f>'Income and Expenses structure'!W149</f>
        <v>10866.683000000001</v>
      </c>
      <c r="U33" s="22">
        <f>'Income and Expenses structure'!X149</f>
        <v>9239</v>
      </c>
      <c r="V33" s="22">
        <f>'Income and Expenses structure'!Y149</f>
        <v>11300.383000000002</v>
      </c>
      <c r="W33" s="22">
        <f>'Income and Expenses structure'!Z149</f>
        <v>9178.9249999999975</v>
      </c>
      <c r="X33" s="22">
        <f>'Income and Expenses structure'!AA149</f>
        <v>8363.771999999999</v>
      </c>
      <c r="Y33" s="22">
        <f>'Income and Expenses structure'!AB149</f>
        <v>8226.92</v>
      </c>
      <c r="Z33" s="22">
        <f>'Income and Expenses structure'!AC149</f>
        <v>8934.6910000000025</v>
      </c>
      <c r="AA33" s="22">
        <f>'Income and Expenses structure'!AD149</f>
        <v>7526.4740000000038</v>
      </c>
      <c r="AB33" s="22">
        <f>'Income and Expenses structure'!AE149</f>
        <v>7992.9079999999976</v>
      </c>
      <c r="AC33" s="22">
        <f>'Income and Expenses structure'!AF149</f>
        <v>7402.7790000000005</v>
      </c>
      <c r="AD33" s="22">
        <f>'Income and Expenses structure'!AG149</f>
        <v>9627.8370000000014</v>
      </c>
      <c r="AE33" s="22">
        <f>'Income and Expenses structure'!AH149</f>
        <v>7695.2769999999964</v>
      </c>
      <c r="AF33" s="22">
        <f>'Income and Expenses structure'!AI149</f>
        <v>8273.2089999999989</v>
      </c>
      <c r="AG33" s="22">
        <f>'Income and Expenses structure'!AJ149</f>
        <v>7139.4369999999999</v>
      </c>
      <c r="AH33" s="22">
        <f>'Income and Expenses structure'!AK149</f>
        <v>7938.5739999999951</v>
      </c>
      <c r="AI33" s="22">
        <f>'Income and Expenses structure'!AL149</f>
        <v>7510.6710000000003</v>
      </c>
      <c r="AJ33" s="22">
        <f>'Income and Expenses structure'!AM149</f>
        <v>8286.8109999999997</v>
      </c>
      <c r="AK33" s="22">
        <f>'Income and Expenses structure'!AN149</f>
        <v>7158.8230000000012</v>
      </c>
      <c r="AL33" s="22">
        <f>'Income and Expenses structure'!AO149</f>
        <v>7334.6859999999997</v>
      </c>
      <c r="AM33" s="22">
        <f>'Income and Expenses structure'!AP149</f>
        <v>7574.8950000000004</v>
      </c>
      <c r="AN33" s="22">
        <f>'Income and Expenses structure'!AQ149</f>
        <v>7419.3439999999973</v>
      </c>
      <c r="AO33" s="22">
        <f>'Income and Expenses structure'!AR149</f>
        <v>6988.5280000000002</v>
      </c>
      <c r="AP33" s="22">
        <f>'Income and Expenses structure'!AS149</f>
        <v>7857.9690000000028</v>
      </c>
      <c r="AQ33" s="22">
        <f>'Income and Expenses structure'!AT149</f>
        <v>7075.5849999999946</v>
      </c>
      <c r="AR33" s="22">
        <f>'Income and Expenses structure'!AU149</f>
        <v>6605.9410000000016</v>
      </c>
      <c r="AS33" s="22">
        <f>'Income and Expenses structure'!AV149</f>
        <v>5394.5159999999996</v>
      </c>
      <c r="AT33" s="22">
        <f>'Income and Expenses structure'!AW149</f>
        <v>6594.8050000000039</v>
      </c>
      <c r="AU33" s="22">
        <f>'Income and Expenses structure'!AX149</f>
        <v>5284.2220000000007</v>
      </c>
      <c r="AV33" s="22">
        <f>'Income and Expenses structure'!AY149</f>
        <v>5228.9339999999993</v>
      </c>
      <c r="AW33" s="22">
        <f>'Income and Expenses structure'!AZ149</f>
        <v>4665.2180000000008</v>
      </c>
      <c r="AX33" s="22">
        <f>'Income and Expenses structure'!BA149</f>
        <v>5101.4350000000022</v>
      </c>
      <c r="AY33" s="22">
        <f>'Income and Expenses structure'!BB149</f>
        <v>4393.2220000000007</v>
      </c>
      <c r="AZ33" s="22">
        <f>'Income and Expenses structure'!BC149</f>
        <v>3975.5000000000005</v>
      </c>
      <c r="BA33" s="22">
        <f>'Income and Expenses structure'!BD149</f>
        <v>4037.5659999999998</v>
      </c>
      <c r="BB33" s="22">
        <f>'Income and Expenses structure'!BE149</f>
        <v>3937.025000000001</v>
      </c>
      <c r="BC33" s="22">
        <f>'Income and Expenses structure'!BF149</f>
        <v>3902.9440000000004</v>
      </c>
      <c r="BD33" s="22">
        <f>'Income and Expenses structure'!BG149</f>
        <v>3357.0209999999988</v>
      </c>
      <c r="BE33" s="22">
        <f>'Income and Expenses structure'!BH149</f>
        <v>3548.4580000000005</v>
      </c>
      <c r="BF33" s="22">
        <f>'Income and Expenses structure'!BI149</f>
        <v>3752.6909999999998</v>
      </c>
      <c r="BG33" s="22">
        <f>'Income and Expenses structure'!BJ149</f>
        <v>3729.1699999999996</v>
      </c>
      <c r="BH33" s="22">
        <f>'Income and Expenses structure'!BK149</f>
        <v>4037.3460000000005</v>
      </c>
      <c r="BI33" s="1">
        <v>4267.4639999999999</v>
      </c>
      <c r="BJ33" s="1">
        <v>3501.9740000000006</v>
      </c>
      <c r="BK33" s="1">
        <v>3582.5660000000007</v>
      </c>
      <c r="BL33" s="1">
        <v>3150.4020000000005</v>
      </c>
      <c r="BM33" s="1">
        <v>4259.732</v>
      </c>
      <c r="BN33" s="1" t="s">
        <v>121</v>
      </c>
      <c r="BO33" s="1" t="s">
        <v>121</v>
      </c>
      <c r="BP33" s="1" t="s">
        <v>121</v>
      </c>
      <c r="BQ33" s="1" t="s">
        <v>121</v>
      </c>
      <c r="BR33" s="1" t="s">
        <v>121</v>
      </c>
      <c r="BS33" s="1" t="s">
        <v>121</v>
      </c>
      <c r="BT33" s="1" t="s">
        <v>121</v>
      </c>
      <c r="BU33" s="1" t="s">
        <v>121</v>
      </c>
      <c r="BV33" s="1" t="s">
        <v>121</v>
      </c>
      <c r="BW33" s="1" t="s">
        <v>121</v>
      </c>
      <c r="BX33" s="1" t="s">
        <v>121</v>
      </c>
      <c r="BY33" s="1" t="s">
        <v>121</v>
      </c>
      <c r="BZ33" s="1" t="s">
        <v>121</v>
      </c>
      <c r="CA33" s="1" t="s">
        <v>121</v>
      </c>
      <c r="CB33" s="1" t="s">
        <v>121</v>
      </c>
      <c r="CC33" s="1" t="s">
        <v>121</v>
      </c>
      <c r="CD33" s="1" t="s">
        <v>121</v>
      </c>
      <c r="CE33" s="1" t="s">
        <v>121</v>
      </c>
      <c r="CF33" s="1" t="s">
        <v>121</v>
      </c>
      <c r="CG33" s="1" t="s">
        <v>121</v>
      </c>
      <c r="CH33" s="1" t="s">
        <v>121</v>
      </c>
      <c r="CI33" s="1" t="s">
        <v>121</v>
      </c>
      <c r="CJ33" s="1" t="s">
        <v>121</v>
      </c>
      <c r="CK33" s="1" t="s">
        <v>121</v>
      </c>
      <c r="CL33" s="1" t="s">
        <v>121</v>
      </c>
      <c r="CM33" s="1" t="s">
        <v>121</v>
      </c>
      <c r="CN33" s="1" t="s">
        <v>121</v>
      </c>
      <c r="CO33" s="1" t="s">
        <v>121</v>
      </c>
      <c r="CP33" s="1" t="s">
        <v>121</v>
      </c>
      <c r="CQ33" s="1" t="s">
        <v>121</v>
      </c>
      <c r="CR33" s="1" t="s">
        <v>121</v>
      </c>
      <c r="CS33" s="1" t="s">
        <v>121</v>
      </c>
      <c r="CT33" s="1" t="s">
        <v>121</v>
      </c>
      <c r="CU33" s="1" t="s">
        <v>121</v>
      </c>
      <c r="CV33" s="1" t="s">
        <v>121</v>
      </c>
      <c r="CW33" s="1" t="s">
        <v>121</v>
      </c>
      <c r="CX33" s="1" t="s">
        <v>121</v>
      </c>
      <c r="CY33" s="1" t="s">
        <v>121</v>
      </c>
      <c r="CZ33" s="1" t="s">
        <v>121</v>
      </c>
      <c r="DA33" s="1" t="s">
        <v>121</v>
      </c>
      <c r="DB33" s="1" t="s">
        <v>121</v>
      </c>
      <c r="DC33" s="1" t="s">
        <v>121</v>
      </c>
      <c r="DD33" s="1" t="s">
        <v>121</v>
      </c>
      <c r="DE33" s="1" t="s">
        <v>121</v>
      </c>
      <c r="DF33" s="1" t="s">
        <v>121</v>
      </c>
      <c r="DG33" s="1" t="s">
        <v>121</v>
      </c>
      <c r="DH33" s="1" t="s">
        <v>121</v>
      </c>
      <c r="DI33" s="1" t="s">
        <v>121</v>
      </c>
      <c r="DJ33" s="1" t="s">
        <v>121</v>
      </c>
      <c r="DK33" s="1" t="s">
        <v>121</v>
      </c>
      <c r="DL33" s="1" t="s">
        <v>121</v>
      </c>
      <c r="DM33" s="1" t="s">
        <v>121</v>
      </c>
      <c r="DN33" s="1" t="s">
        <v>121</v>
      </c>
      <c r="DO33" s="1" t="s">
        <v>121</v>
      </c>
      <c r="DP33" s="1" t="s">
        <v>121</v>
      </c>
      <c r="DQ33" s="1" t="s">
        <v>121</v>
      </c>
      <c r="DR33" s="1" t="s">
        <v>121</v>
      </c>
      <c r="DS33" s="1" t="s">
        <v>121</v>
      </c>
      <c r="DT33" s="1" t="s">
        <v>121</v>
      </c>
      <c r="DU33" s="1" t="s">
        <v>121</v>
      </c>
      <c r="DV33" s="1" t="s">
        <v>121</v>
      </c>
      <c r="DW33" s="1" t="s">
        <v>121</v>
      </c>
      <c r="DX33" s="1" t="s">
        <v>121</v>
      </c>
      <c r="DY33" s="1" t="s">
        <v>121</v>
      </c>
      <c r="DZ33" s="1" t="s">
        <v>121</v>
      </c>
      <c r="EA33" s="1" t="s">
        <v>121</v>
      </c>
      <c r="EB33" s="1" t="s">
        <v>121</v>
      </c>
      <c r="EC33" s="1" t="s">
        <v>121</v>
      </c>
      <c r="ED33" s="1" t="s">
        <v>121</v>
      </c>
      <c r="EE33" s="1" t="s">
        <v>121</v>
      </c>
      <c r="EF33" s="1" t="s">
        <v>121</v>
      </c>
      <c r="EG33" s="1" t="s">
        <v>121</v>
      </c>
      <c r="EH33" s="1" t="s">
        <v>121</v>
      </c>
      <c r="EI33" s="1" t="s">
        <v>121</v>
      </c>
      <c r="EJ33" s="1" t="s">
        <v>121</v>
      </c>
      <c r="EK33" s="1" t="s">
        <v>121</v>
      </c>
      <c r="EL33" s="1" t="s">
        <v>121</v>
      </c>
      <c r="EM33" s="1" t="s">
        <v>121</v>
      </c>
      <c r="EN33" s="1" t="s">
        <v>121</v>
      </c>
      <c r="EO33" s="1" t="s">
        <v>121</v>
      </c>
      <c r="EP33" s="1" t="s">
        <v>121</v>
      </c>
    </row>
    <row r="34" spans="1:146" x14ac:dyDescent="0.25">
      <c r="A34" s="307">
        <v>34</v>
      </c>
      <c r="B34" s="12" t="s">
        <v>194</v>
      </c>
      <c r="C34" s="22">
        <f>'Income and Expenses structure'!F145</f>
        <v>19642</v>
      </c>
      <c r="D34" s="22">
        <f>'Income and Expenses structure'!G145</f>
        <v>19502</v>
      </c>
      <c r="E34" s="22">
        <f>'Income and Expenses structure'!H145</f>
        <v>19928</v>
      </c>
      <c r="F34" s="22">
        <f>'Income and Expenses structure'!I145</f>
        <v>19347</v>
      </c>
      <c r="G34" s="22">
        <f>'Income and Expenses structure'!J145</f>
        <v>17344</v>
      </c>
      <c r="H34" s="22">
        <f>'Income and Expenses structure'!K145</f>
        <v>16664</v>
      </c>
      <c r="I34" s="22">
        <f>'Income and Expenses structure'!L145</f>
        <v>17202</v>
      </c>
      <c r="J34" s="22">
        <f>'Income and Expenses structure'!M145</f>
        <v>16077</v>
      </c>
      <c r="K34" s="22">
        <f>'Income and Expenses structure'!N145</f>
        <v>12660</v>
      </c>
      <c r="L34" s="22">
        <f>'Income and Expenses structure'!O145</f>
        <v>10886</v>
      </c>
      <c r="M34" s="22">
        <f>'Income and Expenses structure'!P145</f>
        <v>11209</v>
      </c>
      <c r="N34" s="402"/>
      <c r="O34" s="402"/>
      <c r="P34" s="402"/>
      <c r="Q34" s="402"/>
      <c r="R34" s="22">
        <f>'Income and Expenses structure'!U145</f>
        <v>7954</v>
      </c>
      <c r="S34" s="22">
        <f>'Income and Expenses structure'!V145</f>
        <v>7057</v>
      </c>
      <c r="T34" s="22">
        <f>'Income and Expenses structure'!W145</f>
        <v>6630.683</v>
      </c>
      <c r="U34" s="22">
        <f>'Income and Expenses structure'!X145</f>
        <v>6466</v>
      </c>
      <c r="V34" s="22">
        <f>'Income and Expenses structure'!Y145</f>
        <v>7190.4130000000005</v>
      </c>
      <c r="W34" s="22">
        <f>'Income and Expenses structure'!Z145</f>
        <v>6040.4239999999991</v>
      </c>
      <c r="X34" s="22">
        <f>'Income and Expenses structure'!AA145</f>
        <v>6057.5580000000009</v>
      </c>
      <c r="Y34" s="22">
        <f>'Income and Expenses structure'!AB145</f>
        <v>6235.6049999999996</v>
      </c>
      <c r="Z34" s="22">
        <f>'Income and Expenses structure'!AC145</f>
        <v>6367.3350000000028</v>
      </c>
      <c r="AA34" s="22">
        <f>'Income and Expenses structure'!AD145</f>
        <v>5856.3730000000032</v>
      </c>
      <c r="AB34" s="22">
        <f>'Income and Expenses structure'!AE145</f>
        <v>5321.3699999999981</v>
      </c>
      <c r="AC34" s="22">
        <f>'Income and Expenses structure'!AF145</f>
        <v>5736.3910000000005</v>
      </c>
      <c r="AD34" s="22">
        <f>'Income and Expenses structure'!AG145</f>
        <v>6065.8020000000033</v>
      </c>
      <c r="AE34" s="22">
        <f>'Income and Expenses structure'!AH145</f>
        <v>5519.4489999999969</v>
      </c>
      <c r="AF34" s="22">
        <f>'Income and Expenses structure'!AI145</f>
        <v>5256.1719999999996</v>
      </c>
      <c r="AG34" s="22">
        <f>'Income and Expenses structure'!AJ145</f>
        <v>5053.8419999999996</v>
      </c>
      <c r="AH34" s="22">
        <f>'Income and Expenses structure'!AK145</f>
        <v>5715.9689999999946</v>
      </c>
      <c r="AI34" s="22">
        <f>'Income and Expenses structure'!AL145</f>
        <v>5148.300000000002</v>
      </c>
      <c r="AJ34" s="22">
        <f>'Income and Expenses structure'!AM145</f>
        <v>4339.6529999999984</v>
      </c>
      <c r="AK34" s="22">
        <f>'Income and Expenses structure'!AN145</f>
        <v>4453.5990000000011</v>
      </c>
      <c r="AL34" s="22">
        <f>'Income and Expenses structure'!AO145</f>
        <v>5850.6119999999992</v>
      </c>
      <c r="AM34" s="22">
        <f>'Income and Expenses structure'!AP145</f>
        <v>5480.3540000000021</v>
      </c>
      <c r="AN34" s="22">
        <f>'Income and Expenses structure'!AQ145</f>
        <v>5136.962999999997</v>
      </c>
      <c r="AO34" s="22">
        <f>'Income and Expenses structure'!AR145</f>
        <v>4889.6530000000012</v>
      </c>
      <c r="AP34" s="22">
        <f>'Income and Expenses structure'!AS145</f>
        <v>4991.746000000001</v>
      </c>
      <c r="AQ34" s="22">
        <f>'Income and Expenses structure'!AT145</f>
        <v>3925.011999999997</v>
      </c>
      <c r="AR34" s="22">
        <f>'Income and Expenses structure'!AU145</f>
        <v>3975.2970000000005</v>
      </c>
      <c r="AS34" s="22">
        <f>'Income and Expenses structure'!AV145</f>
        <v>3977.694</v>
      </c>
      <c r="AT34" s="22">
        <f>'Income and Expenses structure'!AW145</f>
        <v>5396.8910000000033</v>
      </c>
      <c r="AU34" s="22">
        <f>'Income and Expenses structure'!AX145</f>
        <v>4343.1740000000009</v>
      </c>
      <c r="AV34" s="22">
        <f>'Income and Expenses structure'!AY145</f>
        <v>4291.7419999999993</v>
      </c>
      <c r="AW34" s="22">
        <f>'Income and Expenses structure'!AZ145</f>
        <v>3967.893</v>
      </c>
      <c r="AX34" s="22">
        <f>'Income and Expenses structure'!BA145</f>
        <v>3704.6210000000024</v>
      </c>
      <c r="AY34" s="22">
        <f>'Income and Expenses structure'!BB145</f>
        <v>3293.0639999999999</v>
      </c>
      <c r="AZ34" s="22">
        <f>'Income and Expenses structure'!BC145</f>
        <v>3054.6970000000001</v>
      </c>
      <c r="BA34" s="22">
        <f>'Income and Expenses structure'!BD145</f>
        <v>2890.64</v>
      </c>
      <c r="BB34" s="22">
        <f>'Income and Expenses structure'!BE145</f>
        <v>3013.8680000000008</v>
      </c>
      <c r="BC34" s="22">
        <f>'Income and Expenses structure'!BF145</f>
        <v>2821.4440000000004</v>
      </c>
      <c r="BD34" s="22">
        <f>'Income and Expenses structure'!BG145</f>
        <v>2949.1759999999995</v>
      </c>
      <c r="BE34" s="22">
        <f>'Income and Expenses structure'!BH145</f>
        <v>2839.6120000000001</v>
      </c>
      <c r="BF34" s="22">
        <f>'Income and Expenses structure'!BI145</f>
        <v>3204.7299999999996</v>
      </c>
      <c r="BG34" s="22">
        <f>'Income and Expenses structure'!BJ145</f>
        <v>3471.9549999999995</v>
      </c>
      <c r="BH34" s="22">
        <f>'Income and Expenses structure'!BK145</f>
        <v>3378.1080000000002</v>
      </c>
      <c r="BI34" s="1">
        <v>3267.7710000000002</v>
      </c>
      <c r="BJ34" s="1">
        <v>2910.3940000000007</v>
      </c>
      <c r="BK34" s="1">
        <v>3038.5910000000003</v>
      </c>
      <c r="BL34" s="1">
        <v>2796.0040000000004</v>
      </c>
      <c r="BM34" s="1">
        <v>3024.3710000000001</v>
      </c>
      <c r="BN34" s="1" t="s">
        <v>121</v>
      </c>
      <c r="BO34" s="1" t="s">
        <v>121</v>
      </c>
      <c r="BP34" s="1" t="s">
        <v>121</v>
      </c>
      <c r="BQ34" s="1" t="s">
        <v>121</v>
      </c>
      <c r="BR34" s="1" t="s">
        <v>121</v>
      </c>
      <c r="BS34" s="1" t="s">
        <v>121</v>
      </c>
      <c r="BT34" s="1" t="s">
        <v>121</v>
      </c>
      <c r="BU34" s="1" t="s">
        <v>121</v>
      </c>
      <c r="BV34" s="1" t="s">
        <v>121</v>
      </c>
      <c r="BW34" s="1" t="s">
        <v>121</v>
      </c>
      <c r="BX34" s="1" t="s">
        <v>121</v>
      </c>
      <c r="BY34" s="1" t="s">
        <v>121</v>
      </c>
      <c r="BZ34" s="1" t="s">
        <v>121</v>
      </c>
      <c r="CA34" s="1" t="s">
        <v>121</v>
      </c>
      <c r="CB34" s="1" t="s">
        <v>121</v>
      </c>
      <c r="CC34" s="1" t="s">
        <v>121</v>
      </c>
      <c r="CD34" s="1" t="s">
        <v>121</v>
      </c>
      <c r="CE34" s="1" t="s">
        <v>121</v>
      </c>
      <c r="CF34" s="1" t="s">
        <v>121</v>
      </c>
      <c r="CG34" s="1" t="s">
        <v>121</v>
      </c>
      <c r="CH34" s="1" t="s">
        <v>121</v>
      </c>
      <c r="CI34" s="1" t="s">
        <v>121</v>
      </c>
      <c r="CJ34" s="1" t="s">
        <v>121</v>
      </c>
      <c r="CK34" s="1" t="s">
        <v>121</v>
      </c>
      <c r="CL34" s="1" t="s">
        <v>121</v>
      </c>
      <c r="CM34" s="1" t="s">
        <v>121</v>
      </c>
      <c r="CN34" s="1" t="s">
        <v>121</v>
      </c>
      <c r="CO34" s="1" t="s">
        <v>121</v>
      </c>
      <c r="CP34" s="1" t="s">
        <v>121</v>
      </c>
      <c r="CQ34" s="1" t="s">
        <v>121</v>
      </c>
      <c r="CR34" s="1" t="s">
        <v>121</v>
      </c>
      <c r="CS34" s="1" t="s">
        <v>121</v>
      </c>
      <c r="CT34" s="1" t="s">
        <v>121</v>
      </c>
      <c r="CU34" s="1" t="s">
        <v>121</v>
      </c>
      <c r="CV34" s="1" t="s">
        <v>121</v>
      </c>
      <c r="CW34" s="1" t="s">
        <v>121</v>
      </c>
      <c r="CX34" s="1" t="s">
        <v>121</v>
      </c>
      <c r="CY34" s="1" t="s">
        <v>121</v>
      </c>
      <c r="CZ34" s="1" t="s">
        <v>121</v>
      </c>
      <c r="DA34" s="1" t="s">
        <v>121</v>
      </c>
      <c r="DB34" s="1" t="s">
        <v>121</v>
      </c>
      <c r="DC34" s="1" t="s">
        <v>121</v>
      </c>
      <c r="DD34" s="1" t="s">
        <v>121</v>
      </c>
      <c r="DE34" s="1" t="s">
        <v>121</v>
      </c>
      <c r="DF34" s="1" t="s">
        <v>121</v>
      </c>
      <c r="DG34" s="1" t="s">
        <v>121</v>
      </c>
      <c r="DH34" s="1" t="s">
        <v>121</v>
      </c>
      <c r="DI34" s="1" t="s">
        <v>121</v>
      </c>
      <c r="DJ34" s="1" t="s">
        <v>121</v>
      </c>
      <c r="DK34" s="1" t="s">
        <v>121</v>
      </c>
      <c r="DL34" s="1" t="s">
        <v>121</v>
      </c>
      <c r="DM34" s="1" t="s">
        <v>121</v>
      </c>
      <c r="DN34" s="1" t="s">
        <v>121</v>
      </c>
      <c r="DO34" s="1" t="s">
        <v>121</v>
      </c>
      <c r="DP34" s="1" t="s">
        <v>121</v>
      </c>
      <c r="DQ34" s="1" t="s">
        <v>121</v>
      </c>
      <c r="DR34" s="1" t="s">
        <v>121</v>
      </c>
      <c r="DS34" s="1" t="s">
        <v>121</v>
      </c>
      <c r="DT34" s="1" t="s">
        <v>121</v>
      </c>
      <c r="DU34" s="1" t="s">
        <v>121</v>
      </c>
      <c r="DV34" s="1" t="s">
        <v>121</v>
      </c>
      <c r="DW34" s="1" t="s">
        <v>121</v>
      </c>
      <c r="DX34" s="1" t="s">
        <v>121</v>
      </c>
      <c r="DY34" s="1" t="s">
        <v>121</v>
      </c>
      <c r="DZ34" s="1" t="s">
        <v>121</v>
      </c>
      <c r="EA34" s="1" t="s">
        <v>121</v>
      </c>
      <c r="EB34" s="1" t="s">
        <v>121</v>
      </c>
      <c r="EC34" s="1" t="s">
        <v>121</v>
      </c>
      <c r="ED34" s="1" t="s">
        <v>121</v>
      </c>
      <c r="EE34" s="1" t="s">
        <v>121</v>
      </c>
      <c r="EF34" s="1" t="s">
        <v>121</v>
      </c>
      <c r="EG34" s="1" t="s">
        <v>121</v>
      </c>
      <c r="EH34" s="1" t="s">
        <v>121</v>
      </c>
      <c r="EI34" s="1" t="s">
        <v>121</v>
      </c>
      <c r="EJ34" s="1" t="s">
        <v>121</v>
      </c>
      <c r="EK34" s="1" t="s">
        <v>121</v>
      </c>
      <c r="EL34" s="1" t="s">
        <v>121</v>
      </c>
      <c r="EM34" s="1" t="s">
        <v>121</v>
      </c>
      <c r="EN34" s="1" t="s">
        <v>121</v>
      </c>
      <c r="EO34" s="1" t="s">
        <v>121</v>
      </c>
      <c r="EP34" s="1" t="s">
        <v>121</v>
      </c>
    </row>
    <row r="35" spans="1:146" x14ac:dyDescent="0.25">
      <c r="A35" s="72">
        <v>35</v>
      </c>
      <c r="B35" s="12" t="s">
        <v>195</v>
      </c>
      <c r="C35" s="22">
        <f>'Income and Expenses structure'!F146</f>
        <v>2873</v>
      </c>
      <c r="D35" s="22">
        <f>'Income and Expenses structure'!G146</f>
        <v>2841</v>
      </c>
      <c r="E35" s="22">
        <f>'Income and Expenses structure'!H146</f>
        <v>2761</v>
      </c>
      <c r="F35" s="22">
        <f>'Income and Expenses structure'!I146</f>
        <v>3075</v>
      </c>
      <c r="G35" s="22">
        <f>'Income and Expenses structure'!J146</f>
        <v>3156</v>
      </c>
      <c r="H35" s="22">
        <f>'Income and Expenses structure'!K146</f>
        <v>2709</v>
      </c>
      <c r="I35" s="22">
        <f>'Income and Expenses structure'!L146</f>
        <v>2659</v>
      </c>
      <c r="J35" s="22">
        <f>'Income and Expenses structure'!M146</f>
        <v>3057</v>
      </c>
      <c r="K35" s="22">
        <f>'Income and Expenses structure'!N146</f>
        <v>2972</v>
      </c>
      <c r="L35" s="22">
        <f>'Income and Expenses structure'!O146</f>
        <v>2892</v>
      </c>
      <c r="M35" s="22">
        <f>'Income and Expenses structure'!P146</f>
        <v>3566</v>
      </c>
      <c r="N35" s="402"/>
      <c r="O35" s="402"/>
      <c r="P35" s="402"/>
      <c r="Q35" s="402"/>
      <c r="R35" s="22">
        <f>'Income and Expenses structure'!U146</f>
        <v>2600</v>
      </c>
      <c r="S35" s="22">
        <f>'Income and Expenses structure'!V146</f>
        <v>2196</v>
      </c>
      <c r="T35" s="22">
        <f>'Income and Expenses structure'!W146</f>
        <v>2308</v>
      </c>
      <c r="U35" s="22">
        <f>'Income and Expenses structure'!X146</f>
        <v>1905</v>
      </c>
      <c r="V35" s="22">
        <f>'Income and Expenses structure'!Y146</f>
        <v>2314.8670000000002</v>
      </c>
      <c r="W35" s="22">
        <f>'Income and Expenses structure'!Z146</f>
        <v>1900.001</v>
      </c>
      <c r="X35" s="22">
        <f>'Income and Expenses structure'!AA146</f>
        <v>1642.9629999999997</v>
      </c>
      <c r="Y35" s="22">
        <f>'Income and Expenses structure'!AB146</f>
        <v>1682.1690000000001</v>
      </c>
      <c r="Z35" s="22">
        <f>'Income and Expenses structure'!AC146</f>
        <v>1993.279000000002</v>
      </c>
      <c r="AA35" s="22">
        <f>'Income and Expenses structure'!AD146</f>
        <v>1783.5289999999995</v>
      </c>
      <c r="AB35" s="22">
        <f>'Income and Expenses structure'!AE146</f>
        <v>1763.6629999999996</v>
      </c>
      <c r="AC35" s="22">
        <f>'Income and Expenses structure'!AF146</f>
        <v>1278.4550000000004</v>
      </c>
      <c r="AD35" s="22">
        <f>'Income and Expenses structure'!AG146</f>
        <v>1496.1294999999991</v>
      </c>
      <c r="AE35" s="22">
        <f>'Income and Expenses structure'!AH146</f>
        <v>1325.6214999999997</v>
      </c>
      <c r="AF35" s="22">
        <f>'Income and Expenses structure'!AI146</f>
        <v>1186.0674999999997</v>
      </c>
      <c r="AG35" s="22">
        <f>'Income and Expenses structure'!AJ146</f>
        <v>1387.7939999999999</v>
      </c>
      <c r="AH35" s="22">
        <f>'Income and Expenses structure'!AK146</f>
        <v>1465.3149999999998</v>
      </c>
      <c r="AI35" s="22">
        <f>'Income and Expenses structure'!AL146</f>
        <v>1312.0229999999997</v>
      </c>
      <c r="AJ35" s="22">
        <f>'Income and Expenses structure'!AM146</f>
        <v>1262.5310000000002</v>
      </c>
      <c r="AK35" s="22">
        <f>'Income and Expenses structure'!AN146</f>
        <v>1171.204</v>
      </c>
      <c r="AL35" s="22">
        <f>'Income and Expenses structure'!AO146</f>
        <v>1225.2210000000005</v>
      </c>
      <c r="AM35" s="22">
        <f>'Income and Expenses structure'!AP146</f>
        <v>1178.5199999999998</v>
      </c>
      <c r="AN35" s="22">
        <f>'Income and Expenses structure'!AQ146</f>
        <v>1167.8030000000001</v>
      </c>
      <c r="AO35" s="22">
        <f>'Income and Expenses structure'!AR146</f>
        <v>1127.9749999999999</v>
      </c>
      <c r="AP35" s="22">
        <f>'Income and Expenses structure'!AS146</f>
        <v>1144.3679999999995</v>
      </c>
      <c r="AQ35" s="22">
        <f>'Income and Expenses structure'!AT146</f>
        <v>1034.4169999999999</v>
      </c>
      <c r="AR35" s="22">
        <f>'Income and Expenses structure'!AU146</f>
        <v>1026.8050000000001</v>
      </c>
      <c r="AS35" s="22">
        <f>'Income and Expenses structure'!AV146</f>
        <v>836.72</v>
      </c>
      <c r="AT35" s="22">
        <f>'Income and Expenses structure'!AW146</f>
        <v>1072.3850000000002</v>
      </c>
      <c r="AU35" s="22">
        <f>'Income and Expenses structure'!AX146</f>
        <v>962.30100000000016</v>
      </c>
      <c r="AV35" s="22">
        <f>'Income and Expenses structure'!AY146</f>
        <v>896.327</v>
      </c>
      <c r="AW35" s="22">
        <f>'Income and Expenses structure'!AZ146</f>
        <v>789.62900000000002</v>
      </c>
      <c r="AX35" s="22">
        <f>'Income and Expenses structure'!BA146</f>
        <v>800.45600000000024</v>
      </c>
      <c r="AY35" s="22">
        <f>'Income and Expenses structure'!BB146</f>
        <v>651.54200000000003</v>
      </c>
      <c r="AZ35" s="22">
        <f>'Income and Expenses structure'!BC146</f>
        <v>631.43499999999995</v>
      </c>
      <c r="BA35" s="22">
        <f>'Income and Expenses structure'!BD146</f>
        <v>594.43500000000006</v>
      </c>
      <c r="BB35" s="22">
        <f>'Income and Expenses structure'!BE146</f>
        <v>704.5310000000004</v>
      </c>
      <c r="BC35" s="22">
        <f>'Income and Expenses structure'!BF146</f>
        <v>608.84400000000005</v>
      </c>
      <c r="BD35" s="22">
        <f>'Income and Expenses structure'!BG146</f>
        <v>553.69500000000005</v>
      </c>
      <c r="BE35" s="22">
        <f>'Income and Expenses structure'!BH146</f>
        <v>482.05899999999997</v>
      </c>
      <c r="BF35" s="22">
        <f>'Income and Expenses structure'!BI146</f>
        <v>587.74</v>
      </c>
      <c r="BG35" s="22">
        <f>'Income and Expenses structure'!BJ146</f>
        <v>525.06299999999999</v>
      </c>
      <c r="BH35" s="22">
        <f>'Income and Expenses structure'!BK146</f>
        <v>499.7</v>
      </c>
      <c r="BI35" s="1">
        <v>439.13100000000003</v>
      </c>
      <c r="BJ35" s="1">
        <v>534.62899999999991</v>
      </c>
      <c r="BK35" s="1">
        <v>416.99899999999997</v>
      </c>
      <c r="BL35" s="1">
        <v>426.3</v>
      </c>
      <c r="BM35" s="1">
        <v>337.197</v>
      </c>
      <c r="BN35" s="1" t="s">
        <v>121</v>
      </c>
      <c r="BO35" s="1" t="s">
        <v>121</v>
      </c>
      <c r="BP35" s="1" t="s">
        <v>121</v>
      </c>
      <c r="BQ35" s="1" t="s">
        <v>121</v>
      </c>
      <c r="BR35" s="1" t="s">
        <v>121</v>
      </c>
      <c r="BS35" s="1" t="s">
        <v>121</v>
      </c>
      <c r="BT35" s="1" t="s">
        <v>121</v>
      </c>
      <c r="BU35" s="1" t="s">
        <v>121</v>
      </c>
      <c r="BV35" s="1" t="s">
        <v>121</v>
      </c>
      <c r="BW35" s="1" t="s">
        <v>121</v>
      </c>
      <c r="BX35" s="1" t="s">
        <v>121</v>
      </c>
      <c r="BY35" s="1" t="s">
        <v>121</v>
      </c>
      <c r="BZ35" s="1" t="s">
        <v>121</v>
      </c>
      <c r="CA35" s="1" t="s">
        <v>121</v>
      </c>
      <c r="CB35" s="1" t="s">
        <v>121</v>
      </c>
      <c r="CC35" s="1" t="s">
        <v>121</v>
      </c>
      <c r="CD35" s="1" t="s">
        <v>121</v>
      </c>
      <c r="CE35" s="1" t="s">
        <v>121</v>
      </c>
      <c r="CF35" s="1" t="s">
        <v>121</v>
      </c>
      <c r="CG35" s="1" t="s">
        <v>121</v>
      </c>
      <c r="CH35" s="1" t="s">
        <v>121</v>
      </c>
      <c r="CI35" s="1" t="s">
        <v>121</v>
      </c>
      <c r="CJ35" s="1" t="s">
        <v>121</v>
      </c>
      <c r="CK35" s="1" t="s">
        <v>121</v>
      </c>
      <c r="CL35" s="1" t="s">
        <v>121</v>
      </c>
      <c r="CM35" s="1" t="s">
        <v>121</v>
      </c>
      <c r="CN35" s="1" t="s">
        <v>121</v>
      </c>
      <c r="CO35" s="1" t="s">
        <v>121</v>
      </c>
      <c r="CP35" s="1" t="s">
        <v>121</v>
      </c>
      <c r="CQ35" s="1" t="s">
        <v>121</v>
      </c>
      <c r="CR35" s="1" t="s">
        <v>121</v>
      </c>
      <c r="CS35" s="1" t="s">
        <v>121</v>
      </c>
      <c r="CT35" s="1" t="s">
        <v>121</v>
      </c>
      <c r="CU35" s="1" t="s">
        <v>121</v>
      </c>
      <c r="CV35" s="1" t="s">
        <v>121</v>
      </c>
      <c r="CW35" s="1" t="s">
        <v>121</v>
      </c>
      <c r="CX35" s="1" t="s">
        <v>121</v>
      </c>
      <c r="CY35" s="1" t="s">
        <v>121</v>
      </c>
      <c r="CZ35" s="1" t="s">
        <v>121</v>
      </c>
      <c r="DA35" s="1" t="s">
        <v>121</v>
      </c>
      <c r="DB35" s="1" t="s">
        <v>121</v>
      </c>
      <c r="DC35" s="1" t="s">
        <v>121</v>
      </c>
      <c r="DD35" s="1" t="s">
        <v>121</v>
      </c>
      <c r="DE35" s="1" t="s">
        <v>121</v>
      </c>
      <c r="DF35" s="1" t="s">
        <v>121</v>
      </c>
      <c r="DG35" s="1" t="s">
        <v>121</v>
      </c>
      <c r="DH35" s="1" t="s">
        <v>121</v>
      </c>
      <c r="DI35" s="1" t="s">
        <v>121</v>
      </c>
      <c r="DJ35" s="1" t="s">
        <v>121</v>
      </c>
      <c r="DK35" s="1" t="s">
        <v>121</v>
      </c>
      <c r="DL35" s="1" t="s">
        <v>121</v>
      </c>
      <c r="DM35" s="1" t="s">
        <v>121</v>
      </c>
      <c r="DN35" s="1" t="s">
        <v>121</v>
      </c>
      <c r="DO35" s="1" t="s">
        <v>121</v>
      </c>
      <c r="DP35" s="1" t="s">
        <v>121</v>
      </c>
      <c r="DQ35" s="1" t="s">
        <v>121</v>
      </c>
      <c r="DR35" s="1" t="s">
        <v>121</v>
      </c>
      <c r="DS35" s="1" t="s">
        <v>121</v>
      </c>
      <c r="DT35" s="1" t="s">
        <v>121</v>
      </c>
      <c r="DU35" s="1" t="s">
        <v>121</v>
      </c>
      <c r="DV35" s="1" t="s">
        <v>121</v>
      </c>
      <c r="DW35" s="1" t="s">
        <v>121</v>
      </c>
      <c r="DX35" s="1" t="s">
        <v>121</v>
      </c>
      <c r="DY35" s="1" t="s">
        <v>121</v>
      </c>
      <c r="DZ35" s="1" t="s">
        <v>121</v>
      </c>
      <c r="EA35" s="1" t="s">
        <v>121</v>
      </c>
      <c r="EB35" s="1" t="s">
        <v>121</v>
      </c>
      <c r="EC35" s="1" t="s">
        <v>121</v>
      </c>
      <c r="ED35" s="1" t="s">
        <v>121</v>
      </c>
      <c r="EE35" s="1" t="s">
        <v>121</v>
      </c>
      <c r="EF35" s="1" t="s">
        <v>121</v>
      </c>
      <c r="EG35" s="1" t="s">
        <v>121</v>
      </c>
      <c r="EH35" s="1" t="s">
        <v>121</v>
      </c>
      <c r="EI35" s="1" t="s">
        <v>121</v>
      </c>
      <c r="EJ35" s="1" t="s">
        <v>121</v>
      </c>
      <c r="EK35" s="1" t="s">
        <v>121</v>
      </c>
      <c r="EL35" s="1" t="s">
        <v>121</v>
      </c>
      <c r="EM35" s="1" t="s">
        <v>121</v>
      </c>
      <c r="EN35" s="1" t="s">
        <v>121</v>
      </c>
      <c r="EO35" s="1" t="s">
        <v>121</v>
      </c>
      <c r="EP35" s="1" t="s">
        <v>121</v>
      </c>
    </row>
    <row r="36" spans="1:146" x14ac:dyDescent="0.25">
      <c r="A36" s="72">
        <v>36</v>
      </c>
      <c r="B36" s="12" t="s">
        <v>196</v>
      </c>
      <c r="C36" s="22">
        <f>'Income and Expenses structure'!F153</f>
        <v>8763</v>
      </c>
      <c r="D36" s="22">
        <f>'Income and Expenses structure'!G153</f>
        <v>9125</v>
      </c>
      <c r="E36" s="22">
        <f>'Income and Expenses structure'!H153</f>
        <v>15527</v>
      </c>
      <c r="F36" s="22">
        <f>'Income and Expenses structure'!I153</f>
        <v>13209</v>
      </c>
      <c r="G36" s="22">
        <f>'Income and Expenses structure'!J153</f>
        <v>13263</v>
      </c>
      <c r="H36" s="22">
        <f>'Income and Expenses structure'!K153</f>
        <v>11287</v>
      </c>
      <c r="I36" s="22">
        <f>'Income and Expenses structure'!L153</f>
        <v>13020</v>
      </c>
      <c r="J36" s="22">
        <f>'Income and Expenses structure'!M153</f>
        <v>10435</v>
      </c>
      <c r="K36" s="22">
        <f>'Income and Expenses structure'!N153</f>
        <v>8525</v>
      </c>
      <c r="L36" s="22">
        <f>'Income and Expenses structure'!O153</f>
        <v>13734</v>
      </c>
      <c r="M36" s="22">
        <f>'Income and Expenses structure'!P153</f>
        <v>14621</v>
      </c>
      <c r="N36" s="402"/>
      <c r="O36" s="402"/>
      <c r="P36" s="402"/>
      <c r="Q36" s="402"/>
      <c r="R36" s="22">
        <f>'Income and Expenses structure'!U153</f>
        <v>6677</v>
      </c>
      <c r="S36" s="22">
        <f>'Income and Expenses structure'!V153</f>
        <v>4137</v>
      </c>
      <c r="T36" s="22">
        <f>'Income and Expenses structure'!W153</f>
        <v>4876</v>
      </c>
      <c r="U36" s="22">
        <f>'Income and Expenses structure'!X153</f>
        <v>2393</v>
      </c>
      <c r="V36" s="22">
        <f>'Income and Expenses structure'!Y153</f>
        <v>4478.4600000000028</v>
      </c>
      <c r="W36" s="22">
        <f>'Income and Expenses structure'!Z153</f>
        <v>2750.243999999996</v>
      </c>
      <c r="X36" s="22">
        <f>'Income and Expenses structure'!AA153</f>
        <v>2017.1330000000016</v>
      </c>
      <c r="Y36" s="22">
        <f>'Income and Expenses structure'!AB153</f>
        <v>1581.1629999999996</v>
      </c>
      <c r="Z36" s="22">
        <f>'Income and Expenses structure'!AC153</f>
        <v>2403.8070000000016</v>
      </c>
      <c r="AA36" s="22">
        <f>'Income and Expenses structure'!AD153</f>
        <v>2030.4070000000024</v>
      </c>
      <c r="AB36" s="22">
        <f>'Income and Expenses structure'!AE153</f>
        <v>2190.0229999999988</v>
      </c>
      <c r="AC36" s="22">
        <f>'Income and Expenses structure'!AF153</f>
        <v>1281.6540000000005</v>
      </c>
      <c r="AD36" s="22">
        <f>'Income and Expenses structure'!AG153</f>
        <v>2574.9790000000066</v>
      </c>
      <c r="AE36" s="22">
        <f>'Income and Expenses structure'!AH153</f>
        <v>2081.9969999999948</v>
      </c>
      <c r="AF36" s="22">
        <f>'Income and Expenses structure'!AI153</f>
        <v>2542.8809999999994</v>
      </c>
      <c r="AG36" s="22">
        <f>'Income and Expenses structure'!AJ153</f>
        <v>2199.5059999999989</v>
      </c>
      <c r="AH36" s="22">
        <f>'Income and Expenses structure'!AK153</f>
        <v>2118.8319999999949</v>
      </c>
      <c r="AI36" s="22">
        <f>'Income and Expenses structure'!AL153</f>
        <v>2129.0549999999994</v>
      </c>
      <c r="AJ36" s="22">
        <f>'Income and Expenses structure'!AM153</f>
        <v>2147.1739999999982</v>
      </c>
      <c r="AK36" s="22">
        <f>'Income and Expenses structure'!AN153</f>
        <v>1672.844000000001</v>
      </c>
      <c r="AL36" s="22">
        <f>'Income and Expenses structure'!AO153</f>
        <v>1422.6719999999991</v>
      </c>
      <c r="AM36" s="22">
        <f>'Income and Expenses structure'!AP153</f>
        <v>1315.956000000001</v>
      </c>
      <c r="AN36" s="22">
        <f>'Income and Expenses structure'!AQ153</f>
        <v>1051.0119999999981</v>
      </c>
      <c r="AO36" s="22">
        <f>'Income and Expenses structure'!AR153</f>
        <v>1178.8510000000006</v>
      </c>
      <c r="AP36" s="22">
        <f>'Income and Expenses structure'!AS153</f>
        <v>1168.1830000000027</v>
      </c>
      <c r="AQ36" s="22">
        <f>'Income and Expenses structure'!AT153</f>
        <v>1420.6899999999951</v>
      </c>
      <c r="AR36" s="22">
        <f>'Income and Expenses structure'!AU153</f>
        <v>1020.4610000000013</v>
      </c>
      <c r="AS36" s="22">
        <f>'Income and Expenses structure'!AV153</f>
        <v>862.88799999999969</v>
      </c>
      <c r="AT36" s="22">
        <f>'Income and Expenses structure'!AW153</f>
        <v>1068.0550000000035</v>
      </c>
      <c r="AU36" s="22">
        <f>'Income and Expenses structure'!AX153</f>
        <v>1489.8400000000011</v>
      </c>
      <c r="AV36" s="22">
        <f>'Income and Expenses structure'!AY153</f>
        <v>1207.4859999999996</v>
      </c>
      <c r="AW36" s="22">
        <f>'Income and Expenses structure'!AZ153</f>
        <v>2012.5230000000004</v>
      </c>
      <c r="AX36" s="22">
        <f>'Income and Expenses structure'!BA153</f>
        <v>1434.4760000000019</v>
      </c>
      <c r="AY36" s="22">
        <f>'Income and Expenses structure'!BB153</f>
        <v>1327.7309999999998</v>
      </c>
      <c r="AZ36" s="22">
        <f>'Income and Expenses structure'!BC153</f>
        <v>1207.0020000000009</v>
      </c>
      <c r="BA36" s="22">
        <f>'Income and Expenses structure'!BD153</f>
        <v>1338.2549999999997</v>
      </c>
      <c r="BB36" s="22">
        <f>'Income and Expenses structure'!BE153</f>
        <v>637.1570000000014</v>
      </c>
      <c r="BC36" s="22">
        <f>'Income and Expenses structure'!BF153</f>
        <v>918.65500000000054</v>
      </c>
      <c r="BD36" s="22">
        <f>'Income and Expenses structure'!BG153</f>
        <v>438.58499999999981</v>
      </c>
      <c r="BE36" s="22">
        <f>'Income and Expenses structure'!BH153</f>
        <v>452.20899999999972</v>
      </c>
      <c r="BF36" s="22">
        <f>'Income and Expenses structure'!BI153</f>
        <v>846.86499999999978</v>
      </c>
      <c r="BG36" s="22">
        <f>'Income and Expenses structure'!BJ153</f>
        <v>1049.6539999999998</v>
      </c>
      <c r="BH36" s="22">
        <f>'Income and Expenses structure'!BK153</f>
        <v>1712.17</v>
      </c>
      <c r="BI36" s="1">
        <v>2257.8780000000006</v>
      </c>
      <c r="BJ36" s="1">
        <v>1976.3860000000006</v>
      </c>
      <c r="BK36" s="1">
        <v>1316.1240000000005</v>
      </c>
      <c r="BL36" s="1">
        <v>918.89900000000057</v>
      </c>
      <c r="BM36" s="1">
        <v>469.16200000000026</v>
      </c>
      <c r="BN36" s="1" t="s">
        <v>121</v>
      </c>
      <c r="BO36" s="1" t="s">
        <v>121</v>
      </c>
      <c r="BP36" s="1" t="s">
        <v>121</v>
      </c>
      <c r="BQ36" s="1" t="s">
        <v>121</v>
      </c>
      <c r="BR36" s="1" t="s">
        <v>121</v>
      </c>
      <c r="BS36" s="1" t="s">
        <v>121</v>
      </c>
      <c r="BT36" s="1" t="s">
        <v>121</v>
      </c>
      <c r="BU36" s="1" t="s">
        <v>121</v>
      </c>
      <c r="BV36" s="1" t="s">
        <v>121</v>
      </c>
      <c r="BW36" s="1" t="s">
        <v>121</v>
      </c>
      <c r="BX36" s="1" t="s">
        <v>121</v>
      </c>
      <c r="BY36" s="1" t="s">
        <v>121</v>
      </c>
      <c r="BZ36" s="1" t="s">
        <v>121</v>
      </c>
      <c r="CA36" s="1" t="s">
        <v>121</v>
      </c>
      <c r="CB36" s="1" t="s">
        <v>121</v>
      </c>
      <c r="CC36" s="1" t="s">
        <v>121</v>
      </c>
      <c r="CD36" s="1" t="s">
        <v>121</v>
      </c>
      <c r="CE36" s="1" t="s">
        <v>121</v>
      </c>
      <c r="CF36" s="1" t="s">
        <v>121</v>
      </c>
      <c r="CG36" s="1" t="s">
        <v>121</v>
      </c>
      <c r="CH36" s="1" t="s">
        <v>121</v>
      </c>
      <c r="CI36" s="1" t="s">
        <v>121</v>
      </c>
      <c r="CJ36" s="1" t="s">
        <v>121</v>
      </c>
      <c r="CK36" s="1" t="s">
        <v>121</v>
      </c>
      <c r="CL36" s="1" t="s">
        <v>121</v>
      </c>
      <c r="CM36" s="1" t="s">
        <v>121</v>
      </c>
      <c r="CN36" s="1" t="s">
        <v>121</v>
      </c>
      <c r="CO36" s="1" t="s">
        <v>121</v>
      </c>
      <c r="CP36" s="1" t="s">
        <v>121</v>
      </c>
      <c r="CQ36" s="1" t="s">
        <v>121</v>
      </c>
      <c r="CR36" s="1" t="s">
        <v>121</v>
      </c>
      <c r="CS36" s="1" t="s">
        <v>121</v>
      </c>
      <c r="CT36" s="1" t="s">
        <v>121</v>
      </c>
      <c r="CU36" s="1" t="s">
        <v>121</v>
      </c>
      <c r="CV36" s="1" t="s">
        <v>121</v>
      </c>
      <c r="CW36" s="1" t="s">
        <v>121</v>
      </c>
      <c r="CX36" s="1" t="s">
        <v>121</v>
      </c>
      <c r="CY36" s="1" t="s">
        <v>121</v>
      </c>
      <c r="CZ36" s="1" t="s">
        <v>121</v>
      </c>
      <c r="DA36" s="1" t="s">
        <v>121</v>
      </c>
      <c r="DB36" s="1" t="s">
        <v>121</v>
      </c>
      <c r="DC36" s="1" t="s">
        <v>121</v>
      </c>
      <c r="DD36" s="1" t="s">
        <v>121</v>
      </c>
      <c r="DE36" s="1" t="s">
        <v>121</v>
      </c>
      <c r="DF36" s="1" t="s">
        <v>121</v>
      </c>
      <c r="DG36" s="1" t="s">
        <v>121</v>
      </c>
      <c r="DH36" s="1" t="s">
        <v>121</v>
      </c>
      <c r="DI36" s="1" t="s">
        <v>121</v>
      </c>
      <c r="DJ36" s="1" t="s">
        <v>121</v>
      </c>
      <c r="DK36" s="1" t="s">
        <v>121</v>
      </c>
      <c r="DL36" s="1" t="s">
        <v>121</v>
      </c>
      <c r="DM36" s="1" t="s">
        <v>121</v>
      </c>
      <c r="DN36" s="1" t="s">
        <v>121</v>
      </c>
      <c r="DO36" s="1" t="s">
        <v>121</v>
      </c>
      <c r="DP36" s="1" t="s">
        <v>121</v>
      </c>
      <c r="DQ36" s="1" t="s">
        <v>121</v>
      </c>
      <c r="DR36" s="1" t="s">
        <v>121</v>
      </c>
      <c r="DS36" s="1" t="s">
        <v>121</v>
      </c>
      <c r="DT36" s="1" t="s">
        <v>121</v>
      </c>
      <c r="DU36" s="1" t="s">
        <v>121</v>
      </c>
      <c r="DV36" s="1" t="s">
        <v>121</v>
      </c>
      <c r="DW36" s="1" t="s">
        <v>121</v>
      </c>
      <c r="DX36" s="1" t="s">
        <v>121</v>
      </c>
      <c r="DY36" s="1" t="s">
        <v>121</v>
      </c>
      <c r="DZ36" s="1" t="s">
        <v>121</v>
      </c>
      <c r="EA36" s="1" t="s">
        <v>121</v>
      </c>
      <c r="EB36" s="1" t="s">
        <v>121</v>
      </c>
      <c r="EC36" s="1" t="s">
        <v>121</v>
      </c>
      <c r="ED36" s="1" t="s">
        <v>121</v>
      </c>
      <c r="EE36" s="1" t="s">
        <v>121</v>
      </c>
      <c r="EF36" s="1" t="s">
        <v>121</v>
      </c>
      <c r="EG36" s="1" t="s">
        <v>121</v>
      </c>
      <c r="EH36" s="1" t="s">
        <v>121</v>
      </c>
      <c r="EI36" s="1" t="s">
        <v>121</v>
      </c>
      <c r="EJ36" s="1" t="s">
        <v>121</v>
      </c>
      <c r="EK36" s="1" t="s">
        <v>121</v>
      </c>
      <c r="EL36" s="1" t="s">
        <v>121</v>
      </c>
      <c r="EM36" s="1" t="s">
        <v>121</v>
      </c>
      <c r="EN36" s="1" t="s">
        <v>121</v>
      </c>
      <c r="EO36" s="1" t="s">
        <v>121</v>
      </c>
      <c r="EP36" s="1" t="s">
        <v>121</v>
      </c>
    </row>
    <row r="37" spans="1:146" x14ac:dyDescent="0.25">
      <c r="A37" s="307">
        <v>37</v>
      </c>
      <c r="B37" s="1" t="s">
        <v>121</v>
      </c>
      <c r="C37" s="1" t="s">
        <v>121</v>
      </c>
      <c r="D37" s="1" t="s">
        <v>121</v>
      </c>
      <c r="E37" s="1" t="s">
        <v>121</v>
      </c>
      <c r="F37" s="1" t="s">
        <v>121</v>
      </c>
      <c r="G37" s="1" t="s">
        <v>121</v>
      </c>
      <c r="H37" s="1" t="s">
        <v>121</v>
      </c>
      <c r="I37" s="1" t="s">
        <v>121</v>
      </c>
      <c r="J37" s="1" t="s">
        <v>121</v>
      </c>
      <c r="K37" s="1" t="s">
        <v>121</v>
      </c>
      <c r="L37" s="1" t="s">
        <v>121</v>
      </c>
      <c r="M37" s="1" t="s">
        <v>121</v>
      </c>
      <c r="N37" s="1" t="s">
        <v>121</v>
      </c>
      <c r="O37" s="1" t="s">
        <v>121</v>
      </c>
      <c r="P37" s="1" t="s">
        <v>121</v>
      </c>
      <c r="Q37" s="1" t="s">
        <v>121</v>
      </c>
      <c r="R37" s="1" t="s">
        <v>121</v>
      </c>
      <c r="S37" s="1" t="s">
        <v>121</v>
      </c>
      <c r="T37" s="1" t="s">
        <v>121</v>
      </c>
      <c r="U37" s="1" t="s">
        <v>121</v>
      </c>
      <c r="V37" s="1" t="s">
        <v>121</v>
      </c>
      <c r="W37" s="1" t="s">
        <v>121</v>
      </c>
      <c r="X37" s="1" t="s">
        <v>121</v>
      </c>
      <c r="Y37" s="1" t="s">
        <v>121</v>
      </c>
      <c r="Z37" s="1" t="s">
        <v>121</v>
      </c>
      <c r="AA37" s="1" t="s">
        <v>121</v>
      </c>
      <c r="AB37" s="1" t="s">
        <v>121</v>
      </c>
      <c r="AC37" s="1" t="s">
        <v>121</v>
      </c>
      <c r="AD37" s="1" t="s">
        <v>121</v>
      </c>
      <c r="AE37" s="1" t="s">
        <v>121</v>
      </c>
      <c r="AF37" s="1" t="s">
        <v>121</v>
      </c>
      <c r="AG37" s="1" t="s">
        <v>121</v>
      </c>
      <c r="AH37" s="1" t="s">
        <v>121</v>
      </c>
      <c r="AI37" s="1" t="s">
        <v>121</v>
      </c>
      <c r="AJ37" s="1" t="s">
        <v>121</v>
      </c>
      <c r="AK37" s="1" t="s">
        <v>121</v>
      </c>
      <c r="AL37" s="1" t="s">
        <v>121</v>
      </c>
      <c r="AM37" s="1" t="s">
        <v>121</v>
      </c>
      <c r="AN37" s="1" t="s">
        <v>121</v>
      </c>
      <c r="AO37" s="1" t="s">
        <v>121</v>
      </c>
      <c r="AP37" s="1" t="s">
        <v>121</v>
      </c>
      <c r="AQ37" s="1" t="s">
        <v>121</v>
      </c>
      <c r="AR37" s="1" t="s">
        <v>121</v>
      </c>
      <c r="AS37" s="1" t="s">
        <v>121</v>
      </c>
      <c r="AT37" s="1" t="s">
        <v>121</v>
      </c>
      <c r="AU37" s="1" t="s">
        <v>121</v>
      </c>
      <c r="AV37" s="1" t="s">
        <v>121</v>
      </c>
      <c r="AW37" s="9" t="s">
        <v>121</v>
      </c>
      <c r="AX37" s="9" t="s">
        <v>121</v>
      </c>
      <c r="AY37" s="9" t="s">
        <v>121</v>
      </c>
      <c r="AZ37" s="9" t="s">
        <v>121</v>
      </c>
      <c r="BA37" s="9" t="s">
        <v>121</v>
      </c>
      <c r="BB37" s="1" t="s">
        <v>121</v>
      </c>
      <c r="BC37" s="1" t="s">
        <v>121</v>
      </c>
      <c r="BD37" s="1" t="s">
        <v>121</v>
      </c>
      <c r="BE37" s="1" t="s">
        <v>121</v>
      </c>
      <c r="BF37" s="1" t="s">
        <v>121</v>
      </c>
      <c r="BG37" s="1" t="s">
        <v>121</v>
      </c>
      <c r="BH37" s="1" t="s">
        <v>121</v>
      </c>
      <c r="BI37" s="1" t="s">
        <v>121</v>
      </c>
      <c r="BJ37" s="1" t="s">
        <v>121</v>
      </c>
      <c r="BK37" s="1" t="s">
        <v>121</v>
      </c>
      <c r="BL37" s="1" t="s">
        <v>121</v>
      </c>
      <c r="BM37" s="1" t="s">
        <v>121</v>
      </c>
      <c r="BN37" s="1" t="s">
        <v>121</v>
      </c>
      <c r="BO37" s="1" t="s">
        <v>121</v>
      </c>
      <c r="BP37" s="1" t="s">
        <v>121</v>
      </c>
      <c r="BQ37" s="1" t="s">
        <v>121</v>
      </c>
      <c r="BR37" s="1" t="s">
        <v>121</v>
      </c>
      <c r="BS37" s="1" t="s">
        <v>121</v>
      </c>
      <c r="BT37" s="1" t="s">
        <v>121</v>
      </c>
      <c r="BU37" s="1" t="s">
        <v>121</v>
      </c>
      <c r="BV37" s="1" t="s">
        <v>121</v>
      </c>
      <c r="BW37" s="1" t="s">
        <v>121</v>
      </c>
      <c r="BX37" s="1" t="s">
        <v>121</v>
      </c>
      <c r="BY37" s="1" t="s">
        <v>121</v>
      </c>
      <c r="BZ37" s="1" t="s">
        <v>121</v>
      </c>
      <c r="CA37" s="1" t="s">
        <v>121</v>
      </c>
      <c r="CB37" s="1" t="s">
        <v>121</v>
      </c>
      <c r="CC37" s="1" t="s">
        <v>121</v>
      </c>
      <c r="CD37" s="1" t="s">
        <v>121</v>
      </c>
      <c r="CE37" s="1" t="s">
        <v>121</v>
      </c>
      <c r="CF37" s="1" t="s">
        <v>121</v>
      </c>
      <c r="CG37" s="1" t="s">
        <v>121</v>
      </c>
      <c r="CH37" s="1" t="s">
        <v>121</v>
      </c>
      <c r="CI37" s="1" t="s">
        <v>121</v>
      </c>
      <c r="CJ37" s="1" t="s">
        <v>121</v>
      </c>
      <c r="CK37" s="1" t="s">
        <v>121</v>
      </c>
      <c r="CL37" s="1" t="s">
        <v>121</v>
      </c>
      <c r="CM37" s="1" t="s">
        <v>121</v>
      </c>
      <c r="CN37" s="1" t="s">
        <v>121</v>
      </c>
      <c r="CO37" s="1" t="s">
        <v>121</v>
      </c>
      <c r="CP37" s="1" t="s">
        <v>121</v>
      </c>
      <c r="CQ37" s="1" t="s">
        <v>121</v>
      </c>
      <c r="CR37" s="1" t="s">
        <v>121</v>
      </c>
      <c r="CS37" s="1" t="s">
        <v>121</v>
      </c>
      <c r="CT37" s="1" t="s">
        <v>121</v>
      </c>
      <c r="CU37" s="1" t="s">
        <v>121</v>
      </c>
      <c r="CV37" s="1" t="s">
        <v>121</v>
      </c>
      <c r="CW37" s="1" t="s">
        <v>121</v>
      </c>
      <c r="CX37" s="1" t="s">
        <v>121</v>
      </c>
      <c r="CY37" s="1" t="s">
        <v>121</v>
      </c>
      <c r="CZ37" s="1" t="s">
        <v>121</v>
      </c>
      <c r="DA37" s="1" t="s">
        <v>121</v>
      </c>
      <c r="DB37" s="1" t="s">
        <v>121</v>
      </c>
      <c r="DC37" s="1" t="s">
        <v>121</v>
      </c>
      <c r="DD37" s="1" t="s">
        <v>121</v>
      </c>
      <c r="DE37" s="1" t="s">
        <v>121</v>
      </c>
      <c r="DF37" s="1" t="s">
        <v>121</v>
      </c>
      <c r="DG37" s="1" t="s">
        <v>121</v>
      </c>
      <c r="DH37" s="1" t="s">
        <v>121</v>
      </c>
      <c r="DI37" s="1" t="s">
        <v>121</v>
      </c>
      <c r="DJ37" s="1" t="s">
        <v>121</v>
      </c>
      <c r="DK37" s="1" t="s">
        <v>121</v>
      </c>
      <c r="DL37" s="1" t="s">
        <v>121</v>
      </c>
      <c r="DM37" s="1" t="s">
        <v>121</v>
      </c>
      <c r="DN37" s="1" t="s">
        <v>121</v>
      </c>
      <c r="DO37" s="1" t="s">
        <v>121</v>
      </c>
      <c r="DP37" s="1" t="s">
        <v>121</v>
      </c>
      <c r="DQ37" s="1" t="s">
        <v>121</v>
      </c>
      <c r="DR37" s="1" t="s">
        <v>121</v>
      </c>
      <c r="DS37" s="1" t="s">
        <v>121</v>
      </c>
      <c r="DT37" s="1" t="s">
        <v>121</v>
      </c>
      <c r="DU37" s="1" t="s">
        <v>121</v>
      </c>
      <c r="DV37" s="1" t="s">
        <v>121</v>
      </c>
      <c r="DW37" s="1" t="s">
        <v>121</v>
      </c>
      <c r="DX37" s="1" t="s">
        <v>121</v>
      </c>
      <c r="DY37" s="1" t="s">
        <v>121</v>
      </c>
      <c r="DZ37" s="1" t="s">
        <v>121</v>
      </c>
      <c r="EA37" s="1" t="s">
        <v>121</v>
      </c>
      <c r="EB37" s="1" t="s">
        <v>121</v>
      </c>
      <c r="EC37" s="1" t="s">
        <v>121</v>
      </c>
      <c r="ED37" s="1" t="s">
        <v>121</v>
      </c>
      <c r="EE37" s="1" t="s">
        <v>121</v>
      </c>
      <c r="EF37" s="1" t="s">
        <v>121</v>
      </c>
      <c r="EG37" s="1" t="s">
        <v>121</v>
      </c>
      <c r="EH37" s="1" t="s">
        <v>121</v>
      </c>
      <c r="EI37" s="1" t="s">
        <v>121</v>
      </c>
      <c r="EJ37" s="1" t="s">
        <v>121</v>
      </c>
      <c r="EK37" s="1" t="s">
        <v>121</v>
      </c>
      <c r="EL37" s="1" t="s">
        <v>121</v>
      </c>
      <c r="EM37" s="1" t="s">
        <v>121</v>
      </c>
      <c r="EN37" s="1" t="s">
        <v>121</v>
      </c>
      <c r="EO37" s="1" t="s">
        <v>121</v>
      </c>
      <c r="EP37" s="1" t="s">
        <v>121</v>
      </c>
    </row>
    <row r="38" spans="1:146" x14ac:dyDescent="0.25">
      <c r="A38" s="72">
        <v>38</v>
      </c>
      <c r="B38" s="1" t="s">
        <v>121</v>
      </c>
      <c r="C38" s="1" t="s">
        <v>121</v>
      </c>
      <c r="D38" s="1" t="s">
        <v>121</v>
      </c>
      <c r="E38" s="1" t="s">
        <v>121</v>
      </c>
      <c r="F38" s="1" t="s">
        <v>121</v>
      </c>
      <c r="G38" s="1" t="s">
        <v>121</v>
      </c>
      <c r="H38" s="1" t="s">
        <v>121</v>
      </c>
      <c r="I38" s="1" t="s">
        <v>121</v>
      </c>
      <c r="J38" s="1" t="s">
        <v>121</v>
      </c>
      <c r="K38" s="1" t="s">
        <v>121</v>
      </c>
      <c r="L38" s="1" t="s">
        <v>121</v>
      </c>
      <c r="M38" s="1" t="s">
        <v>121</v>
      </c>
      <c r="N38" s="1" t="s">
        <v>121</v>
      </c>
      <c r="O38" s="1" t="s">
        <v>121</v>
      </c>
      <c r="P38" s="1" t="s">
        <v>121</v>
      </c>
      <c r="Q38" s="1" t="s">
        <v>121</v>
      </c>
      <c r="R38" s="1" t="s">
        <v>121</v>
      </c>
      <c r="S38" s="1" t="s">
        <v>121</v>
      </c>
      <c r="T38" s="1" t="s">
        <v>121</v>
      </c>
      <c r="U38" s="1" t="s">
        <v>121</v>
      </c>
      <c r="V38" s="1" t="s">
        <v>121</v>
      </c>
      <c r="W38" s="1" t="s">
        <v>121</v>
      </c>
      <c r="X38" s="1" t="s">
        <v>121</v>
      </c>
      <c r="Y38" s="1" t="s">
        <v>121</v>
      </c>
      <c r="Z38" s="1" t="s">
        <v>121</v>
      </c>
      <c r="AA38" s="1" t="s">
        <v>121</v>
      </c>
      <c r="AB38" s="1" t="s">
        <v>121</v>
      </c>
      <c r="AC38" s="1" t="s">
        <v>121</v>
      </c>
      <c r="AD38" s="1" t="s">
        <v>121</v>
      </c>
      <c r="AE38" s="1" t="s">
        <v>121</v>
      </c>
      <c r="AF38" s="1" t="s">
        <v>121</v>
      </c>
      <c r="AG38" s="1" t="s">
        <v>121</v>
      </c>
      <c r="AH38" s="1" t="s">
        <v>121</v>
      </c>
      <c r="AI38" s="1" t="s">
        <v>121</v>
      </c>
      <c r="AJ38" s="1" t="s">
        <v>121</v>
      </c>
      <c r="AK38" s="1" t="s">
        <v>121</v>
      </c>
      <c r="AL38" s="1" t="s">
        <v>121</v>
      </c>
      <c r="AM38" s="1" t="s">
        <v>121</v>
      </c>
      <c r="AN38" s="1" t="s">
        <v>121</v>
      </c>
      <c r="AO38" s="1" t="s">
        <v>121</v>
      </c>
      <c r="AP38" s="1" t="s">
        <v>121</v>
      </c>
      <c r="AQ38" s="1" t="s">
        <v>121</v>
      </c>
      <c r="AR38" s="1" t="s">
        <v>121</v>
      </c>
      <c r="AS38" s="1" t="s">
        <v>121</v>
      </c>
      <c r="AT38" s="1" t="s">
        <v>121</v>
      </c>
      <c r="AU38" s="1" t="s">
        <v>121</v>
      </c>
      <c r="AV38" s="1" t="s">
        <v>121</v>
      </c>
      <c r="AW38" s="9" t="s">
        <v>121</v>
      </c>
      <c r="AX38" s="9" t="s">
        <v>121</v>
      </c>
      <c r="AY38" s="9" t="s">
        <v>121</v>
      </c>
      <c r="AZ38" s="9" t="s">
        <v>121</v>
      </c>
      <c r="BA38" s="9" t="s">
        <v>121</v>
      </c>
      <c r="BB38" s="1" t="s">
        <v>121</v>
      </c>
      <c r="BC38" s="1" t="s">
        <v>121</v>
      </c>
      <c r="BD38" s="1" t="s">
        <v>121</v>
      </c>
      <c r="BE38" s="1" t="s">
        <v>121</v>
      </c>
      <c r="BF38" s="1" t="s">
        <v>121</v>
      </c>
      <c r="BG38" s="1" t="s">
        <v>121</v>
      </c>
      <c r="BH38" s="1" t="s">
        <v>121</v>
      </c>
      <c r="BI38" s="1" t="s">
        <v>121</v>
      </c>
      <c r="BJ38" s="1" t="s">
        <v>121</v>
      </c>
      <c r="BK38" s="1" t="s">
        <v>121</v>
      </c>
      <c r="BL38" s="1" t="s">
        <v>121</v>
      </c>
      <c r="BM38" s="1" t="s">
        <v>121</v>
      </c>
      <c r="BN38" s="1" t="s">
        <v>121</v>
      </c>
      <c r="BO38" s="1" t="s">
        <v>121</v>
      </c>
      <c r="BP38" s="1" t="s">
        <v>121</v>
      </c>
      <c r="BQ38" s="1" t="s">
        <v>121</v>
      </c>
      <c r="BR38" s="1" t="s">
        <v>121</v>
      </c>
      <c r="BS38" s="1" t="s">
        <v>121</v>
      </c>
      <c r="BT38" s="1" t="s">
        <v>121</v>
      </c>
      <c r="BU38" s="1" t="s">
        <v>121</v>
      </c>
      <c r="BV38" s="1" t="s">
        <v>121</v>
      </c>
      <c r="BW38" s="1" t="s">
        <v>121</v>
      </c>
      <c r="BX38" s="1" t="s">
        <v>121</v>
      </c>
      <c r="BY38" s="1" t="s">
        <v>121</v>
      </c>
      <c r="BZ38" s="1" t="s">
        <v>121</v>
      </c>
      <c r="CA38" s="1" t="s">
        <v>121</v>
      </c>
      <c r="CB38" s="1" t="s">
        <v>121</v>
      </c>
      <c r="CC38" s="1" t="s">
        <v>121</v>
      </c>
      <c r="CD38" s="1" t="s">
        <v>121</v>
      </c>
      <c r="CE38" s="1" t="s">
        <v>121</v>
      </c>
      <c r="CF38" s="1" t="s">
        <v>121</v>
      </c>
      <c r="CG38" s="1" t="s">
        <v>121</v>
      </c>
      <c r="CH38" s="1" t="s">
        <v>121</v>
      </c>
      <c r="CI38" s="1" t="s">
        <v>121</v>
      </c>
      <c r="CJ38" s="1" t="s">
        <v>121</v>
      </c>
      <c r="CK38" s="1" t="s">
        <v>121</v>
      </c>
      <c r="CL38" s="1" t="s">
        <v>121</v>
      </c>
      <c r="CM38" s="1" t="s">
        <v>121</v>
      </c>
      <c r="CN38" s="1" t="s">
        <v>121</v>
      </c>
      <c r="CO38" s="1" t="s">
        <v>121</v>
      </c>
      <c r="CP38" s="1" t="s">
        <v>121</v>
      </c>
      <c r="CQ38" s="1" t="s">
        <v>121</v>
      </c>
      <c r="CR38" s="1" t="s">
        <v>121</v>
      </c>
      <c r="CS38" s="1" t="s">
        <v>121</v>
      </c>
      <c r="CT38" s="1" t="s">
        <v>121</v>
      </c>
      <c r="CU38" s="1" t="s">
        <v>121</v>
      </c>
      <c r="CV38" s="1" t="s">
        <v>121</v>
      </c>
      <c r="CW38" s="1" t="s">
        <v>121</v>
      </c>
      <c r="CX38" s="1" t="s">
        <v>121</v>
      </c>
      <c r="CY38" s="1" t="s">
        <v>121</v>
      </c>
      <c r="CZ38" s="1" t="s">
        <v>121</v>
      </c>
      <c r="DA38" s="1" t="s">
        <v>121</v>
      </c>
      <c r="DB38" s="1" t="s">
        <v>121</v>
      </c>
      <c r="DC38" s="1" t="s">
        <v>121</v>
      </c>
      <c r="DD38" s="1" t="s">
        <v>121</v>
      </c>
      <c r="DE38" s="1" t="s">
        <v>121</v>
      </c>
      <c r="DF38" s="1" t="s">
        <v>121</v>
      </c>
      <c r="DG38" s="1" t="s">
        <v>121</v>
      </c>
      <c r="DH38" s="1" t="s">
        <v>121</v>
      </c>
      <c r="DI38" s="1" t="s">
        <v>121</v>
      </c>
      <c r="DJ38" s="1" t="s">
        <v>121</v>
      </c>
      <c r="DK38" s="1" t="s">
        <v>121</v>
      </c>
      <c r="DL38" s="1" t="s">
        <v>121</v>
      </c>
      <c r="DM38" s="1" t="s">
        <v>121</v>
      </c>
      <c r="DN38" s="1" t="s">
        <v>121</v>
      </c>
      <c r="DO38" s="1" t="s">
        <v>121</v>
      </c>
      <c r="DP38" s="1" t="s">
        <v>121</v>
      </c>
      <c r="DQ38" s="1" t="s">
        <v>121</v>
      </c>
      <c r="DR38" s="1" t="s">
        <v>121</v>
      </c>
      <c r="DS38" s="1" t="s">
        <v>121</v>
      </c>
      <c r="DT38" s="1" t="s">
        <v>121</v>
      </c>
      <c r="DU38" s="1" t="s">
        <v>121</v>
      </c>
      <c r="DV38" s="1" t="s">
        <v>121</v>
      </c>
      <c r="DW38" s="1" t="s">
        <v>121</v>
      </c>
      <c r="DX38" s="1" t="s">
        <v>121</v>
      </c>
      <c r="DY38" s="1" t="s">
        <v>121</v>
      </c>
      <c r="DZ38" s="1" t="s">
        <v>121</v>
      </c>
      <c r="EA38" s="1" t="s">
        <v>121</v>
      </c>
      <c r="EB38" s="1" t="s">
        <v>121</v>
      </c>
      <c r="EC38" s="1" t="s">
        <v>121</v>
      </c>
      <c r="ED38" s="1" t="s">
        <v>121</v>
      </c>
      <c r="EE38" s="1" t="s">
        <v>121</v>
      </c>
      <c r="EF38" s="1" t="s">
        <v>121</v>
      </c>
      <c r="EG38" s="1" t="s">
        <v>121</v>
      </c>
      <c r="EH38" s="1" t="s">
        <v>121</v>
      </c>
      <c r="EI38" s="1" t="s">
        <v>121</v>
      </c>
      <c r="EJ38" s="1" t="s">
        <v>121</v>
      </c>
      <c r="EK38" s="1" t="s">
        <v>121</v>
      </c>
      <c r="EL38" s="1" t="s">
        <v>121</v>
      </c>
      <c r="EM38" s="1" t="s">
        <v>121</v>
      </c>
      <c r="EN38" s="1" t="s">
        <v>121</v>
      </c>
      <c r="EO38" s="1" t="s">
        <v>121</v>
      </c>
      <c r="EP38" s="1" t="s">
        <v>121</v>
      </c>
    </row>
    <row r="39" spans="1:146" x14ac:dyDescent="0.25">
      <c r="A39" s="72">
        <v>39</v>
      </c>
      <c r="B39" s="1" t="s">
        <v>121</v>
      </c>
      <c r="C39" s="1" t="s">
        <v>121</v>
      </c>
      <c r="D39" s="1" t="s">
        <v>121</v>
      </c>
      <c r="E39" s="1" t="s">
        <v>121</v>
      </c>
      <c r="F39" s="1" t="s">
        <v>121</v>
      </c>
      <c r="G39" s="1" t="s">
        <v>121</v>
      </c>
      <c r="H39" s="1" t="s">
        <v>121</v>
      </c>
      <c r="I39" s="1" t="s">
        <v>121</v>
      </c>
      <c r="J39" s="1" t="s">
        <v>121</v>
      </c>
      <c r="K39" s="1" t="s">
        <v>121</v>
      </c>
      <c r="L39" s="1" t="s">
        <v>121</v>
      </c>
      <c r="M39" s="1" t="s">
        <v>121</v>
      </c>
      <c r="N39" s="1" t="s">
        <v>121</v>
      </c>
      <c r="O39" s="1" t="s">
        <v>121</v>
      </c>
      <c r="P39" s="1" t="s">
        <v>121</v>
      </c>
      <c r="Q39" s="1" t="s">
        <v>121</v>
      </c>
      <c r="R39" s="1" t="s">
        <v>121</v>
      </c>
      <c r="S39" s="1" t="s">
        <v>121</v>
      </c>
      <c r="T39" s="1" t="s">
        <v>121</v>
      </c>
      <c r="U39" s="1" t="s">
        <v>121</v>
      </c>
      <c r="V39" s="1" t="s">
        <v>121</v>
      </c>
      <c r="W39" s="1" t="s">
        <v>121</v>
      </c>
      <c r="X39" s="1" t="s">
        <v>121</v>
      </c>
      <c r="Y39" s="1" t="s">
        <v>121</v>
      </c>
      <c r="Z39" s="1" t="s">
        <v>121</v>
      </c>
      <c r="AA39" s="1" t="s">
        <v>121</v>
      </c>
      <c r="AB39" s="1" t="s">
        <v>121</v>
      </c>
      <c r="AC39" s="1" t="s">
        <v>121</v>
      </c>
      <c r="AD39" s="1" t="s">
        <v>121</v>
      </c>
      <c r="AE39" s="1" t="s">
        <v>121</v>
      </c>
      <c r="AF39" s="1" t="s">
        <v>121</v>
      </c>
      <c r="AG39" s="1" t="s">
        <v>121</v>
      </c>
      <c r="AH39" s="1" t="s">
        <v>121</v>
      </c>
      <c r="AI39" s="1" t="s">
        <v>121</v>
      </c>
      <c r="AJ39" s="1" t="s">
        <v>121</v>
      </c>
      <c r="AK39" s="1" t="s">
        <v>121</v>
      </c>
      <c r="AL39" s="1" t="s">
        <v>121</v>
      </c>
      <c r="AM39" s="1" t="s">
        <v>121</v>
      </c>
      <c r="AN39" s="1" t="s">
        <v>121</v>
      </c>
      <c r="AO39" s="1" t="s">
        <v>121</v>
      </c>
      <c r="AP39" s="1" t="s">
        <v>121</v>
      </c>
      <c r="AQ39" s="1" t="s">
        <v>121</v>
      </c>
      <c r="AR39" s="1" t="s">
        <v>121</v>
      </c>
      <c r="AS39" s="1" t="s">
        <v>121</v>
      </c>
      <c r="AT39" s="1" t="s">
        <v>121</v>
      </c>
      <c r="AU39" s="1" t="s">
        <v>121</v>
      </c>
      <c r="AV39" s="1" t="s">
        <v>121</v>
      </c>
      <c r="AW39" s="9" t="s">
        <v>121</v>
      </c>
      <c r="AX39" s="9" t="s">
        <v>121</v>
      </c>
      <c r="AY39" s="9" t="s">
        <v>121</v>
      </c>
      <c r="AZ39" s="9" t="s">
        <v>121</v>
      </c>
      <c r="BA39" s="9" t="s">
        <v>121</v>
      </c>
      <c r="BB39" s="1" t="s">
        <v>121</v>
      </c>
      <c r="BC39" s="1" t="s">
        <v>121</v>
      </c>
      <c r="BD39" s="1" t="s">
        <v>121</v>
      </c>
      <c r="BE39" s="1" t="s">
        <v>121</v>
      </c>
      <c r="BF39" s="1" t="s">
        <v>121</v>
      </c>
      <c r="BG39" s="1" t="s">
        <v>121</v>
      </c>
      <c r="BH39" s="1" t="s">
        <v>121</v>
      </c>
      <c r="BI39" s="1" t="s">
        <v>121</v>
      </c>
      <c r="BJ39" s="1" t="s">
        <v>121</v>
      </c>
      <c r="BK39" s="1" t="s">
        <v>121</v>
      </c>
      <c r="BL39" s="1" t="s">
        <v>121</v>
      </c>
      <c r="BM39" s="1" t="s">
        <v>121</v>
      </c>
      <c r="BN39" s="1" t="s">
        <v>121</v>
      </c>
      <c r="BO39" s="1" t="s">
        <v>121</v>
      </c>
      <c r="BP39" s="1" t="s">
        <v>121</v>
      </c>
      <c r="BQ39" s="1" t="s">
        <v>121</v>
      </c>
      <c r="BR39" s="1" t="s">
        <v>121</v>
      </c>
      <c r="BS39" s="1" t="s">
        <v>121</v>
      </c>
      <c r="BT39" s="1" t="s">
        <v>121</v>
      </c>
      <c r="BU39" s="1" t="s">
        <v>121</v>
      </c>
      <c r="BV39" s="1" t="s">
        <v>121</v>
      </c>
      <c r="BW39" s="1" t="s">
        <v>121</v>
      </c>
      <c r="BX39" s="1" t="s">
        <v>121</v>
      </c>
      <c r="BY39" s="1" t="s">
        <v>121</v>
      </c>
      <c r="BZ39" s="1" t="s">
        <v>121</v>
      </c>
      <c r="CA39" s="1" t="s">
        <v>121</v>
      </c>
      <c r="CB39" s="1" t="s">
        <v>121</v>
      </c>
      <c r="CC39" s="1" t="s">
        <v>121</v>
      </c>
      <c r="CD39" s="1" t="s">
        <v>121</v>
      </c>
      <c r="CE39" s="1" t="s">
        <v>121</v>
      </c>
      <c r="CF39" s="1" t="s">
        <v>121</v>
      </c>
      <c r="CG39" s="1" t="s">
        <v>121</v>
      </c>
      <c r="CH39" s="1" t="s">
        <v>121</v>
      </c>
      <c r="CI39" s="1" t="s">
        <v>121</v>
      </c>
      <c r="CJ39" s="1" t="s">
        <v>121</v>
      </c>
      <c r="CK39" s="1" t="s">
        <v>121</v>
      </c>
      <c r="CL39" s="1" t="s">
        <v>121</v>
      </c>
      <c r="CM39" s="1" t="s">
        <v>121</v>
      </c>
      <c r="CN39" s="1" t="s">
        <v>121</v>
      </c>
      <c r="CO39" s="1" t="s">
        <v>121</v>
      </c>
      <c r="CP39" s="1" t="s">
        <v>121</v>
      </c>
      <c r="CQ39" s="1" t="s">
        <v>121</v>
      </c>
      <c r="CR39" s="1" t="s">
        <v>121</v>
      </c>
      <c r="CS39" s="1" t="s">
        <v>121</v>
      </c>
      <c r="CT39" s="1" t="s">
        <v>121</v>
      </c>
      <c r="CU39" s="1" t="s">
        <v>121</v>
      </c>
      <c r="CV39" s="1" t="s">
        <v>121</v>
      </c>
      <c r="CW39" s="1" t="s">
        <v>121</v>
      </c>
      <c r="CX39" s="1" t="s">
        <v>121</v>
      </c>
      <c r="CY39" s="1" t="s">
        <v>121</v>
      </c>
      <c r="CZ39" s="1" t="s">
        <v>121</v>
      </c>
      <c r="DA39" s="1" t="s">
        <v>121</v>
      </c>
      <c r="DB39" s="1" t="s">
        <v>121</v>
      </c>
      <c r="DC39" s="1" t="s">
        <v>121</v>
      </c>
      <c r="DD39" s="1" t="s">
        <v>121</v>
      </c>
      <c r="DE39" s="1" t="s">
        <v>121</v>
      </c>
      <c r="DF39" s="1" t="s">
        <v>121</v>
      </c>
      <c r="DG39" s="1" t="s">
        <v>121</v>
      </c>
      <c r="DH39" s="1" t="s">
        <v>121</v>
      </c>
      <c r="DI39" s="1" t="s">
        <v>121</v>
      </c>
      <c r="DJ39" s="1" t="s">
        <v>121</v>
      </c>
      <c r="DK39" s="1" t="s">
        <v>121</v>
      </c>
      <c r="DL39" s="1" t="s">
        <v>121</v>
      </c>
      <c r="DM39" s="1" t="s">
        <v>121</v>
      </c>
      <c r="DN39" s="1" t="s">
        <v>121</v>
      </c>
      <c r="DO39" s="1" t="s">
        <v>121</v>
      </c>
      <c r="DP39" s="1" t="s">
        <v>121</v>
      </c>
      <c r="DQ39" s="1" t="s">
        <v>121</v>
      </c>
      <c r="DR39" s="1" t="s">
        <v>121</v>
      </c>
      <c r="DS39" s="1" t="s">
        <v>121</v>
      </c>
      <c r="DT39" s="1" t="s">
        <v>121</v>
      </c>
      <c r="DU39" s="1" t="s">
        <v>121</v>
      </c>
      <c r="DV39" s="1" t="s">
        <v>121</v>
      </c>
      <c r="DW39" s="1" t="s">
        <v>121</v>
      </c>
      <c r="DX39" s="1" t="s">
        <v>121</v>
      </c>
      <c r="DY39" s="1" t="s">
        <v>121</v>
      </c>
      <c r="DZ39" s="1" t="s">
        <v>121</v>
      </c>
      <c r="EA39" s="1" t="s">
        <v>121</v>
      </c>
      <c r="EB39" s="1" t="s">
        <v>121</v>
      </c>
      <c r="EC39" s="1" t="s">
        <v>121</v>
      </c>
      <c r="ED39" s="1" t="s">
        <v>121</v>
      </c>
      <c r="EE39" s="1" t="s">
        <v>121</v>
      </c>
      <c r="EF39" s="1" t="s">
        <v>121</v>
      </c>
      <c r="EG39" s="1" t="s">
        <v>121</v>
      </c>
      <c r="EH39" s="1" t="s">
        <v>121</v>
      </c>
      <c r="EI39" s="1" t="s">
        <v>121</v>
      </c>
      <c r="EJ39" s="1" t="s">
        <v>121</v>
      </c>
      <c r="EK39" s="1" t="s">
        <v>121</v>
      </c>
      <c r="EL39" s="1" t="s">
        <v>121</v>
      </c>
      <c r="EM39" s="1" t="s">
        <v>121</v>
      </c>
      <c r="EN39" s="1" t="s">
        <v>121</v>
      </c>
      <c r="EO39" s="1" t="s">
        <v>121</v>
      </c>
      <c r="EP39" s="1" t="s">
        <v>121</v>
      </c>
    </row>
    <row r="40" spans="1:146" ht="15" customHeight="1" x14ac:dyDescent="0.25">
      <c r="A40" s="307">
        <v>40</v>
      </c>
      <c r="B40" s="426" t="s">
        <v>244</v>
      </c>
      <c r="C40" s="416" t="s">
        <v>129</v>
      </c>
      <c r="D40" s="416" t="s">
        <v>130</v>
      </c>
      <c r="E40" s="416" t="s">
        <v>131</v>
      </c>
      <c r="F40" s="416" t="s">
        <v>132</v>
      </c>
      <c r="G40" s="416" t="s">
        <v>133</v>
      </c>
      <c r="H40" s="416" t="s">
        <v>134</v>
      </c>
      <c r="I40" s="416" t="s">
        <v>135</v>
      </c>
      <c r="J40" s="416" t="s">
        <v>136</v>
      </c>
      <c r="K40" s="416" t="s">
        <v>137</v>
      </c>
      <c r="L40" s="416" t="s">
        <v>138</v>
      </c>
      <c r="M40" s="416" t="s">
        <v>139</v>
      </c>
      <c r="N40" s="416" t="s">
        <v>140</v>
      </c>
      <c r="O40" s="416" t="s">
        <v>141</v>
      </c>
      <c r="P40" s="416" t="s">
        <v>142</v>
      </c>
      <c r="Q40" s="416" t="s">
        <v>143</v>
      </c>
      <c r="R40" s="416" t="s">
        <v>144</v>
      </c>
      <c r="S40" s="416" t="s">
        <v>145</v>
      </c>
      <c r="T40" s="416" t="s">
        <v>146</v>
      </c>
      <c r="U40" s="416" t="s">
        <v>147</v>
      </c>
      <c r="V40" s="416" t="s">
        <v>148</v>
      </c>
      <c r="W40" s="416" t="s">
        <v>149</v>
      </c>
      <c r="X40" s="416" t="s">
        <v>150</v>
      </c>
      <c r="Y40" s="416" t="s">
        <v>151</v>
      </c>
      <c r="Z40" s="416" t="s">
        <v>152</v>
      </c>
      <c r="AA40" s="416" t="s">
        <v>153</v>
      </c>
      <c r="AB40" s="416" t="s">
        <v>154</v>
      </c>
      <c r="AC40" s="416" t="s">
        <v>155</v>
      </c>
      <c r="AD40" s="416" t="s">
        <v>156</v>
      </c>
      <c r="AE40" s="416" t="s">
        <v>157</v>
      </c>
      <c r="AF40" s="416" t="s">
        <v>158</v>
      </c>
      <c r="AG40" s="416" t="s">
        <v>159</v>
      </c>
      <c r="AH40" s="416" t="s">
        <v>160</v>
      </c>
      <c r="AI40" s="416" t="s">
        <v>161</v>
      </c>
      <c r="AJ40" s="416" t="s">
        <v>162</v>
      </c>
      <c r="AK40" s="416" t="s">
        <v>163</v>
      </c>
      <c r="AL40" s="416" t="s">
        <v>164</v>
      </c>
      <c r="AM40" s="416" t="s">
        <v>165</v>
      </c>
      <c r="AN40" s="416" t="s">
        <v>166</v>
      </c>
      <c r="AO40" s="416" t="s">
        <v>167</v>
      </c>
      <c r="AP40" s="416" t="s">
        <v>168</v>
      </c>
      <c r="AQ40" s="416" t="s">
        <v>169</v>
      </c>
      <c r="AR40" s="416" t="s">
        <v>170</v>
      </c>
      <c r="AS40" s="416" t="s">
        <v>171</v>
      </c>
      <c r="AT40" s="416" t="s">
        <v>172</v>
      </c>
      <c r="AU40" s="416" t="s">
        <v>173</v>
      </c>
      <c r="AV40" s="416" t="s">
        <v>174</v>
      </c>
      <c r="AW40" s="416" t="s">
        <v>175</v>
      </c>
      <c r="AX40" s="416" t="s">
        <v>176</v>
      </c>
      <c r="AY40" s="416" t="s">
        <v>177</v>
      </c>
      <c r="AZ40" s="416" t="s">
        <v>178</v>
      </c>
      <c r="BA40" s="416" t="s">
        <v>179</v>
      </c>
      <c r="BB40" s="416" t="s">
        <v>180</v>
      </c>
      <c r="BC40" s="416" t="s">
        <v>181</v>
      </c>
      <c r="BD40" s="416" t="s">
        <v>182</v>
      </c>
      <c r="BE40" s="416" t="s">
        <v>183</v>
      </c>
      <c r="BF40" s="416" t="s">
        <v>184</v>
      </c>
      <c r="BG40" s="416" t="s">
        <v>185</v>
      </c>
      <c r="BH40" s="416" t="s">
        <v>186</v>
      </c>
      <c r="BI40" s="268" t="s">
        <v>187</v>
      </c>
      <c r="BJ40" s="369" t="s">
        <v>188</v>
      </c>
      <c r="BK40" s="370" t="s">
        <v>189</v>
      </c>
      <c r="BL40" s="1" t="s">
        <v>190</v>
      </c>
      <c r="BM40" s="1" t="s">
        <v>191</v>
      </c>
      <c r="BN40" s="1" t="s">
        <v>121</v>
      </c>
      <c r="BO40" s="1" t="s">
        <v>121</v>
      </c>
      <c r="BP40" s="1" t="s">
        <v>121</v>
      </c>
      <c r="BQ40" s="1" t="s">
        <v>121</v>
      </c>
      <c r="BR40" s="1" t="s">
        <v>121</v>
      </c>
      <c r="BS40" s="1" t="s">
        <v>121</v>
      </c>
      <c r="BT40" s="1" t="s">
        <v>121</v>
      </c>
      <c r="BU40" s="1" t="s">
        <v>121</v>
      </c>
      <c r="BV40" s="1" t="s">
        <v>121</v>
      </c>
      <c r="BW40" s="1" t="s">
        <v>121</v>
      </c>
      <c r="BX40" s="1" t="s">
        <v>121</v>
      </c>
      <c r="BY40" s="1" t="s">
        <v>121</v>
      </c>
      <c r="BZ40" s="1" t="s">
        <v>121</v>
      </c>
      <c r="CA40" s="1" t="s">
        <v>121</v>
      </c>
      <c r="CB40" s="1" t="s">
        <v>121</v>
      </c>
      <c r="CC40" s="1" t="s">
        <v>121</v>
      </c>
      <c r="CD40" s="1" t="s">
        <v>121</v>
      </c>
      <c r="CE40" s="1" t="s">
        <v>121</v>
      </c>
      <c r="CF40" s="1" t="s">
        <v>121</v>
      </c>
      <c r="CG40" s="1" t="s">
        <v>121</v>
      </c>
      <c r="CH40" s="1" t="s">
        <v>121</v>
      </c>
      <c r="CI40" s="1" t="s">
        <v>121</v>
      </c>
      <c r="CJ40" s="1" t="s">
        <v>121</v>
      </c>
      <c r="CK40" s="1" t="s">
        <v>121</v>
      </c>
      <c r="CL40" s="1" t="s">
        <v>121</v>
      </c>
      <c r="CM40" s="1" t="s">
        <v>121</v>
      </c>
      <c r="CN40" s="1" t="s">
        <v>121</v>
      </c>
      <c r="CO40" s="1" t="s">
        <v>121</v>
      </c>
      <c r="CP40" s="1" t="s">
        <v>121</v>
      </c>
      <c r="CQ40" s="1" t="s">
        <v>121</v>
      </c>
      <c r="CR40" s="1" t="s">
        <v>121</v>
      </c>
      <c r="CS40" s="1" t="s">
        <v>121</v>
      </c>
      <c r="CT40" s="1" t="s">
        <v>121</v>
      </c>
      <c r="CU40" s="1" t="s">
        <v>121</v>
      </c>
      <c r="CV40" s="1" t="s">
        <v>121</v>
      </c>
      <c r="CW40" s="1" t="s">
        <v>121</v>
      </c>
      <c r="CX40" s="1" t="s">
        <v>121</v>
      </c>
      <c r="CY40" s="1" t="s">
        <v>121</v>
      </c>
      <c r="CZ40" s="1" t="s">
        <v>121</v>
      </c>
      <c r="DA40" s="1" t="s">
        <v>121</v>
      </c>
      <c r="DB40" s="1" t="s">
        <v>121</v>
      </c>
      <c r="DC40" s="1" t="s">
        <v>121</v>
      </c>
      <c r="DD40" s="1" t="s">
        <v>121</v>
      </c>
      <c r="DE40" s="1" t="s">
        <v>121</v>
      </c>
      <c r="DF40" s="1" t="s">
        <v>121</v>
      </c>
      <c r="DG40" s="1" t="s">
        <v>121</v>
      </c>
      <c r="DH40" s="1" t="s">
        <v>121</v>
      </c>
      <c r="DI40" s="1" t="s">
        <v>121</v>
      </c>
      <c r="DJ40" s="1" t="s">
        <v>121</v>
      </c>
      <c r="DK40" s="1" t="s">
        <v>121</v>
      </c>
      <c r="DL40" s="1" t="s">
        <v>121</v>
      </c>
      <c r="DM40" s="1" t="s">
        <v>121</v>
      </c>
      <c r="DN40" s="1" t="s">
        <v>121</v>
      </c>
      <c r="DO40" s="1" t="s">
        <v>121</v>
      </c>
      <c r="DP40" s="1" t="s">
        <v>121</v>
      </c>
      <c r="DQ40" s="1" t="s">
        <v>121</v>
      </c>
      <c r="DR40" s="1" t="s">
        <v>121</v>
      </c>
      <c r="DS40" s="1" t="s">
        <v>121</v>
      </c>
      <c r="DT40" s="1" t="s">
        <v>121</v>
      </c>
      <c r="DU40" s="1" t="s">
        <v>121</v>
      </c>
      <c r="DV40" s="1" t="s">
        <v>121</v>
      </c>
      <c r="DW40" s="1" t="s">
        <v>121</v>
      </c>
      <c r="DX40" s="1" t="s">
        <v>121</v>
      </c>
      <c r="DY40" s="1" t="s">
        <v>121</v>
      </c>
      <c r="DZ40" s="1" t="s">
        <v>121</v>
      </c>
      <c r="EA40" s="1" t="s">
        <v>121</v>
      </c>
      <c r="EB40" s="1" t="s">
        <v>121</v>
      </c>
      <c r="EC40" s="1" t="s">
        <v>121</v>
      </c>
      <c r="ED40" s="1" t="s">
        <v>121</v>
      </c>
      <c r="EE40" s="1" t="s">
        <v>121</v>
      </c>
      <c r="EF40" s="1" t="s">
        <v>121</v>
      </c>
      <c r="EG40" s="1" t="s">
        <v>121</v>
      </c>
      <c r="EH40" s="1" t="s">
        <v>121</v>
      </c>
      <c r="EI40" s="1" t="s">
        <v>121</v>
      </c>
      <c r="EJ40" s="1" t="s">
        <v>121</v>
      </c>
      <c r="EK40" s="1" t="s">
        <v>121</v>
      </c>
      <c r="EL40" s="1" t="s">
        <v>121</v>
      </c>
      <c r="EM40" s="1" t="s">
        <v>121</v>
      </c>
      <c r="EN40" s="1" t="s">
        <v>121</v>
      </c>
      <c r="EO40" s="1" t="s">
        <v>121</v>
      </c>
      <c r="EP40" s="1" t="s">
        <v>121</v>
      </c>
    </row>
    <row r="41" spans="1:146" ht="15" customHeight="1" x14ac:dyDescent="0.25">
      <c r="A41" s="72">
        <v>41</v>
      </c>
      <c r="B41" s="427"/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7"/>
      <c r="R41" s="418"/>
      <c r="S41" s="418"/>
      <c r="T41" s="418"/>
      <c r="U41" s="417"/>
      <c r="V41" s="418"/>
      <c r="W41" s="418"/>
      <c r="X41" s="417"/>
      <c r="Y41" s="417"/>
      <c r="Z41" s="417"/>
      <c r="AA41" s="417"/>
      <c r="AB41" s="417"/>
      <c r="AC41" s="418"/>
      <c r="AD41" s="417"/>
      <c r="AE41" s="417"/>
      <c r="AF41" s="417"/>
      <c r="AG41" s="418"/>
      <c r="AH41" s="417"/>
      <c r="AI41" s="417"/>
      <c r="AJ41" s="417"/>
      <c r="AK41" s="418"/>
      <c r="AL41" s="418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  <c r="BH41" s="417"/>
      <c r="BI41" s="268"/>
      <c r="BJ41" s="369"/>
      <c r="BK41" s="370"/>
    </row>
    <row r="42" spans="1:146" ht="9.75" customHeight="1" x14ac:dyDescent="0.25">
      <c r="A42" s="72">
        <v>42</v>
      </c>
      <c r="B42" s="8" t="s">
        <v>245</v>
      </c>
      <c r="C42" s="8" t="s">
        <v>121</v>
      </c>
      <c r="D42" s="1" t="s">
        <v>121</v>
      </c>
      <c r="E42" s="1" t="s">
        <v>121</v>
      </c>
      <c r="F42" s="1" t="s">
        <v>121</v>
      </c>
      <c r="G42" s="1" t="s">
        <v>121</v>
      </c>
      <c r="H42" s="1" t="s">
        <v>121</v>
      </c>
      <c r="I42" s="1" t="s">
        <v>121</v>
      </c>
      <c r="J42" s="1" t="s">
        <v>121</v>
      </c>
      <c r="K42" s="1" t="s">
        <v>121</v>
      </c>
      <c r="L42" s="1" t="s">
        <v>121</v>
      </c>
      <c r="M42" s="1" t="s">
        <v>121</v>
      </c>
      <c r="N42" s="1" t="s">
        <v>121</v>
      </c>
      <c r="O42" s="1" t="s">
        <v>121</v>
      </c>
      <c r="P42" s="1" t="s">
        <v>121</v>
      </c>
      <c r="Q42" s="1" t="s">
        <v>121</v>
      </c>
      <c r="R42" s="1" t="s">
        <v>121</v>
      </c>
      <c r="S42" s="1" t="s">
        <v>121</v>
      </c>
      <c r="T42" s="1" t="s">
        <v>121</v>
      </c>
      <c r="U42" s="1" t="s">
        <v>121</v>
      </c>
      <c r="V42" s="1" t="s">
        <v>121</v>
      </c>
      <c r="W42" s="8" t="s">
        <v>121</v>
      </c>
      <c r="X42" s="8" t="s">
        <v>121</v>
      </c>
      <c r="Y42" s="8" t="s">
        <v>121</v>
      </c>
      <c r="Z42" s="8" t="s">
        <v>121</v>
      </c>
      <c r="AA42" s="8" t="s">
        <v>121</v>
      </c>
      <c r="AB42" s="8" t="s">
        <v>121</v>
      </c>
      <c r="AC42" s="8" t="s">
        <v>121</v>
      </c>
      <c r="AD42" s="8" t="s">
        <v>121</v>
      </c>
      <c r="AE42" s="8" t="s">
        <v>121</v>
      </c>
      <c r="AF42" s="8" t="s">
        <v>121</v>
      </c>
      <c r="AG42" s="8" t="s">
        <v>121</v>
      </c>
      <c r="AH42" s="8" t="s">
        <v>121</v>
      </c>
      <c r="AI42" s="8" t="s">
        <v>121</v>
      </c>
      <c r="AJ42" s="8" t="s">
        <v>121</v>
      </c>
      <c r="AK42" s="8" t="s">
        <v>121</v>
      </c>
      <c r="AL42" s="8" t="s">
        <v>121</v>
      </c>
      <c r="AM42" s="8" t="s">
        <v>121</v>
      </c>
      <c r="AN42" s="8" t="s">
        <v>121</v>
      </c>
      <c r="AO42" s="8" t="s">
        <v>121</v>
      </c>
      <c r="AP42" s="8" t="s">
        <v>121</v>
      </c>
      <c r="AQ42" s="8" t="s">
        <v>121</v>
      </c>
      <c r="AR42" s="8" t="s">
        <v>121</v>
      </c>
      <c r="AS42" s="8" t="s">
        <v>121</v>
      </c>
      <c r="AT42" s="8" t="s">
        <v>121</v>
      </c>
      <c r="AU42" s="8" t="s">
        <v>121</v>
      </c>
      <c r="AV42" s="8" t="s">
        <v>121</v>
      </c>
      <c r="AW42" s="8" t="s">
        <v>121</v>
      </c>
      <c r="AX42" s="1" t="s">
        <v>121</v>
      </c>
      <c r="AY42" s="1" t="s">
        <v>121</v>
      </c>
      <c r="AZ42" s="1" t="s">
        <v>121</v>
      </c>
      <c r="BA42" s="1" t="s">
        <v>121</v>
      </c>
      <c r="BB42" s="1" t="s">
        <v>121</v>
      </c>
      <c r="BC42" s="1" t="s">
        <v>121</v>
      </c>
      <c r="BD42" s="1" t="s">
        <v>121</v>
      </c>
      <c r="BE42" s="1" t="s">
        <v>121</v>
      </c>
      <c r="BF42" s="1" t="s">
        <v>121</v>
      </c>
      <c r="BG42" s="1" t="s">
        <v>121</v>
      </c>
      <c r="BH42" s="1" t="s">
        <v>121</v>
      </c>
      <c r="BI42" s="39" t="s">
        <v>121</v>
      </c>
      <c r="BJ42" s="39" t="s">
        <v>121</v>
      </c>
      <c r="BK42" s="39" t="s">
        <v>121</v>
      </c>
      <c r="BL42" s="1" t="s">
        <v>121</v>
      </c>
      <c r="BM42" s="1" t="s">
        <v>121</v>
      </c>
      <c r="BN42" s="1" t="s">
        <v>121</v>
      </c>
      <c r="BO42" s="1" t="s">
        <v>121</v>
      </c>
      <c r="BP42" s="1" t="s">
        <v>121</v>
      </c>
      <c r="BQ42" s="1" t="s">
        <v>121</v>
      </c>
      <c r="BR42" s="1" t="s">
        <v>121</v>
      </c>
      <c r="BS42" s="1" t="s">
        <v>121</v>
      </c>
      <c r="BT42" s="1" t="s">
        <v>121</v>
      </c>
      <c r="BU42" s="1" t="s">
        <v>121</v>
      </c>
      <c r="BV42" s="1" t="s">
        <v>121</v>
      </c>
      <c r="BW42" s="1" t="s">
        <v>121</v>
      </c>
      <c r="BX42" s="1" t="s">
        <v>121</v>
      </c>
      <c r="BY42" s="1" t="s">
        <v>121</v>
      </c>
      <c r="BZ42" s="1" t="s">
        <v>121</v>
      </c>
      <c r="CA42" s="1" t="s">
        <v>121</v>
      </c>
      <c r="CB42" s="1" t="s">
        <v>121</v>
      </c>
      <c r="CC42" s="1" t="s">
        <v>121</v>
      </c>
      <c r="CD42" s="1" t="s">
        <v>121</v>
      </c>
      <c r="CE42" s="1" t="s">
        <v>121</v>
      </c>
      <c r="CF42" s="1" t="s">
        <v>121</v>
      </c>
      <c r="CG42" s="1" t="s">
        <v>121</v>
      </c>
      <c r="CH42" s="1" t="s">
        <v>121</v>
      </c>
      <c r="CI42" s="1" t="s">
        <v>121</v>
      </c>
      <c r="CJ42" s="1" t="s">
        <v>121</v>
      </c>
      <c r="CK42" s="1" t="s">
        <v>121</v>
      </c>
      <c r="CL42" s="1" t="s">
        <v>121</v>
      </c>
      <c r="CM42" s="1" t="s">
        <v>121</v>
      </c>
      <c r="CN42" s="1" t="s">
        <v>121</v>
      </c>
      <c r="CO42" s="1" t="s">
        <v>121</v>
      </c>
      <c r="CP42" s="1" t="s">
        <v>121</v>
      </c>
      <c r="CQ42" s="1" t="s">
        <v>121</v>
      </c>
      <c r="CR42" s="1" t="s">
        <v>121</v>
      </c>
      <c r="CS42" s="1" t="s">
        <v>121</v>
      </c>
      <c r="CT42" s="1" t="s">
        <v>121</v>
      </c>
      <c r="CU42" s="1" t="s">
        <v>121</v>
      </c>
      <c r="CV42" s="1" t="s">
        <v>121</v>
      </c>
      <c r="CW42" s="1" t="s">
        <v>121</v>
      </c>
      <c r="CX42" s="1" t="s">
        <v>121</v>
      </c>
      <c r="CY42" s="1" t="s">
        <v>121</v>
      </c>
      <c r="CZ42" s="1" t="s">
        <v>121</v>
      </c>
      <c r="DA42" s="1" t="s">
        <v>121</v>
      </c>
      <c r="DB42" s="1" t="s">
        <v>121</v>
      </c>
      <c r="DC42" s="1" t="s">
        <v>121</v>
      </c>
      <c r="DD42" s="1" t="s">
        <v>121</v>
      </c>
      <c r="DE42" s="1" t="s">
        <v>121</v>
      </c>
      <c r="DF42" s="1" t="s">
        <v>121</v>
      </c>
      <c r="DG42" s="1" t="s">
        <v>121</v>
      </c>
      <c r="DH42" s="1" t="s">
        <v>121</v>
      </c>
      <c r="DI42" s="1" t="s">
        <v>121</v>
      </c>
      <c r="DJ42" s="1" t="s">
        <v>121</v>
      </c>
      <c r="DK42" s="1" t="s">
        <v>121</v>
      </c>
      <c r="DL42" s="1" t="s">
        <v>121</v>
      </c>
      <c r="DM42" s="1" t="s">
        <v>121</v>
      </c>
      <c r="DN42" s="1" t="s">
        <v>121</v>
      </c>
      <c r="DO42" s="1" t="s">
        <v>121</v>
      </c>
      <c r="DP42" s="1" t="s">
        <v>121</v>
      </c>
      <c r="DQ42" s="1" t="s">
        <v>121</v>
      </c>
      <c r="DR42" s="1" t="s">
        <v>121</v>
      </c>
      <c r="DS42" s="1" t="s">
        <v>121</v>
      </c>
      <c r="DT42" s="1" t="s">
        <v>121</v>
      </c>
      <c r="DU42" s="1" t="s">
        <v>121</v>
      </c>
      <c r="DV42" s="1" t="s">
        <v>121</v>
      </c>
      <c r="DW42" s="1" t="s">
        <v>121</v>
      </c>
      <c r="DX42" s="1" t="s">
        <v>121</v>
      </c>
      <c r="DY42" s="1" t="s">
        <v>121</v>
      </c>
      <c r="DZ42" s="1" t="s">
        <v>121</v>
      </c>
      <c r="EA42" s="1" t="s">
        <v>121</v>
      </c>
      <c r="EB42" s="1" t="s">
        <v>121</v>
      </c>
      <c r="EC42" s="1" t="s">
        <v>121</v>
      </c>
      <c r="ED42" s="1" t="s">
        <v>121</v>
      </c>
      <c r="EE42" s="1" t="s">
        <v>121</v>
      </c>
      <c r="EF42" s="1" t="s">
        <v>121</v>
      </c>
      <c r="EG42" s="1" t="s">
        <v>121</v>
      </c>
      <c r="EH42" s="1" t="s">
        <v>121</v>
      </c>
      <c r="EI42" s="1" t="s">
        <v>121</v>
      </c>
      <c r="EJ42" s="1" t="s">
        <v>121</v>
      </c>
      <c r="EK42" s="1" t="s">
        <v>121</v>
      </c>
      <c r="EL42" s="1" t="s">
        <v>121</v>
      </c>
      <c r="EM42" s="1" t="s">
        <v>121</v>
      </c>
      <c r="EN42" s="1" t="s">
        <v>121</v>
      </c>
      <c r="EO42" s="1" t="s">
        <v>121</v>
      </c>
      <c r="EP42" s="1" t="s">
        <v>121</v>
      </c>
    </row>
    <row r="43" spans="1:146" x14ac:dyDescent="0.25">
      <c r="A43" s="307">
        <v>43</v>
      </c>
      <c r="B43" s="12" t="s">
        <v>246</v>
      </c>
      <c r="C43" s="138">
        <f>'Income and Expenses structure'!F160</f>
        <v>7.1599999999999997E-2</v>
      </c>
      <c r="D43" s="138">
        <f>'Income and Expenses structure'!G160</f>
        <v>7.4323384984518043E-2</v>
      </c>
      <c r="E43" s="138">
        <f>'Income and Expenses structure'!H160</f>
        <v>7.631658359504738E-2</v>
      </c>
      <c r="F43" s="138">
        <f>'Income and Expenses structure'!I160</f>
        <v>7.0152088987617711E-2</v>
      </c>
      <c r="G43" s="138">
        <f>'Income and Expenses structure'!J160</f>
        <v>6.9002668060685834E-2</v>
      </c>
      <c r="H43" s="138">
        <f>'Income and Expenses structure'!K160</f>
        <v>6.912224725097646E-2</v>
      </c>
      <c r="I43" s="138">
        <f>'Income and Expenses structure'!L160</f>
        <v>6.9295130393284735E-2</v>
      </c>
      <c r="J43" s="138">
        <f>'Income and Expenses structure'!M160</f>
        <v>5.8897017108796121E-2</v>
      </c>
      <c r="K43" s="138">
        <f>'Income and Expenses structure'!N160</f>
        <v>5.6111813151518801E-2</v>
      </c>
      <c r="L43" s="138">
        <f>'Income and Expenses structure'!O160</f>
        <v>5.5351175524950391E-2</v>
      </c>
      <c r="M43" s="138">
        <f>'Income and Expenses structure'!P160</f>
        <v>5.6125913319225174E-2</v>
      </c>
      <c r="N43" s="402"/>
      <c r="O43" s="402"/>
      <c r="P43" s="402"/>
      <c r="Q43" s="402"/>
      <c r="R43" s="138">
        <f>'Income and Expenses structure'!U160</f>
        <v>3.9399999999999998E-2</v>
      </c>
      <c r="S43" s="138">
        <f>'Income and Expenses structure'!V160</f>
        <v>3.8397617846329342E-2</v>
      </c>
      <c r="T43" s="138">
        <f>'Income and Expenses structure'!W160</f>
        <v>3.7987883612481413E-2</v>
      </c>
      <c r="U43" s="138">
        <f>'Income and Expenses structure'!X160</f>
        <v>3.8534518789598189E-2</v>
      </c>
      <c r="V43" s="138">
        <f>'Income and Expenses structure'!Y160</f>
        <v>3.9199999999999999E-2</v>
      </c>
      <c r="W43" s="138">
        <f>'Income and Expenses structure'!Z160</f>
        <v>3.7659324212404401E-2</v>
      </c>
      <c r="X43" s="138">
        <f>'Income and Expenses structure'!AA160</f>
        <v>4.0104915550283934E-2</v>
      </c>
      <c r="Y43" s="138">
        <f>'Income and Expenses structure'!AB160</f>
        <v>4.0538711410975439E-2</v>
      </c>
      <c r="Z43" s="138">
        <f>'Income and Expenses structure'!AC160</f>
        <v>3.7072526401586085E-2</v>
      </c>
      <c r="AA43" s="138">
        <f>'Income and Expenses structure'!AD160</f>
        <v>3.6900000000000002E-2</v>
      </c>
      <c r="AB43" s="138">
        <f>'Income and Expenses structure'!AE160</f>
        <v>3.6200000000000003E-2</v>
      </c>
      <c r="AC43" s="138">
        <f>'Income and Expenses structure'!AF160</f>
        <v>3.8176583175730756E-2</v>
      </c>
      <c r="AD43" s="138">
        <f>'Income and Expenses structure'!AG160</f>
        <v>3.6330349910235746E-2</v>
      </c>
      <c r="AE43" s="138">
        <f>'Income and Expenses structure'!AH160</f>
        <v>3.6900000000000002E-2</v>
      </c>
      <c r="AF43" s="138">
        <f>'Income and Expenses structure'!AI160</f>
        <v>3.6499999999999998E-2</v>
      </c>
      <c r="AG43" s="138">
        <f>'Income and Expenses structure'!AJ160</f>
        <v>3.5799999999999998E-2</v>
      </c>
      <c r="AH43" s="138">
        <f>'Income and Expenses structure'!AK160</f>
        <v>3.4799999999999998E-2</v>
      </c>
      <c r="AI43" s="138">
        <f>'Income and Expenses structure'!AL160</f>
        <v>3.4299999999999997E-2</v>
      </c>
      <c r="AJ43" s="138">
        <f>'Income and Expenses structure'!AM160</f>
        <v>3.3000000000000002E-2</v>
      </c>
      <c r="AK43" s="138">
        <f>'Income and Expenses structure'!AN160</f>
        <v>3.3399999999999999E-2</v>
      </c>
      <c r="AL43" s="138">
        <f>'Income and Expenses structure'!AO160</f>
        <v>3.9199999999999999E-2</v>
      </c>
      <c r="AM43" s="138">
        <f>'Income and Expenses structure'!AP160</f>
        <v>3.9300000000000002E-2</v>
      </c>
      <c r="AN43" s="138">
        <f>'Income and Expenses structure'!AQ160</f>
        <v>3.8100000000000002E-2</v>
      </c>
      <c r="AO43" s="138">
        <f>'Income and Expenses structure'!AR160</f>
        <v>3.6600000000000001E-2</v>
      </c>
      <c r="AP43" s="138">
        <f>'Income and Expenses structure'!AS160</f>
        <v>3.39E-2</v>
      </c>
      <c r="AQ43" s="138">
        <f>'Income and Expenses structure'!AT160</f>
        <v>3.3700000000000001E-2</v>
      </c>
      <c r="AR43" s="138">
        <f>'Income and Expenses structure'!AU160</f>
        <v>3.4099999999999998E-2</v>
      </c>
      <c r="AS43" s="138">
        <f>'Income and Expenses structure'!AV160</f>
        <v>3.4599999999999999E-2</v>
      </c>
      <c r="AT43" s="138">
        <f>'Income and Expenses structure'!AW160</f>
        <v>4.2999999999999997E-2</v>
      </c>
      <c r="AU43" s="138">
        <f>'Income and Expenses structure'!AX160</f>
        <v>4.2700000000000002E-2</v>
      </c>
      <c r="AV43" s="10">
        <f>'Income and Expenses structure'!AY160</f>
        <v>4.2799999999999998E-2</v>
      </c>
      <c r="AW43" s="10">
        <f>'Income and Expenses structure'!AZ160</f>
        <v>4.1000000000000002E-2</v>
      </c>
      <c r="AX43" s="10">
        <f>'Income and Expenses structure'!BA160</f>
        <v>3.7400000000000003E-2</v>
      </c>
      <c r="AY43" s="10">
        <f>'Income and Expenses structure'!BB160</f>
        <v>3.6400000000000002E-2</v>
      </c>
      <c r="AZ43" s="10">
        <f>'Income and Expenses structure'!BC160</f>
        <v>3.6400000000000002E-2</v>
      </c>
      <c r="BA43" s="10">
        <f>'Income and Expenses structure'!BD160</f>
        <v>3.5900000000000001E-2</v>
      </c>
      <c r="BB43" s="10">
        <f>'Income and Expenses structure'!BE160</f>
        <v>3.85E-2</v>
      </c>
      <c r="BC43" s="10">
        <f>'Income and Expenses structure'!BF160</f>
        <v>3.9100000000000003E-2</v>
      </c>
      <c r="BD43" s="10">
        <f>'Income and Expenses structure'!BG160</f>
        <v>3.8399999999999997E-2</v>
      </c>
      <c r="BE43" s="10">
        <f>'Income and Expenses structure'!BH160</f>
        <v>3.6499999999999998E-2</v>
      </c>
      <c r="BF43" s="10">
        <f>'Income and Expenses structure'!BI160</f>
        <v>4.7800000000000002E-2</v>
      </c>
      <c r="BG43" s="10">
        <f>'Income and Expenses structure'!BJ160</f>
        <v>0.05</v>
      </c>
      <c r="BH43" s="10">
        <f>'Income and Expenses structure'!BK160</f>
        <v>5.0700000000000002E-2</v>
      </c>
      <c r="BI43" s="39">
        <v>0.05</v>
      </c>
      <c r="BJ43" s="39">
        <v>4.9399999999999999E-2</v>
      </c>
      <c r="BK43" s="39">
        <v>5.21E-2</v>
      </c>
      <c r="BL43" s="1">
        <v>5.5399999999999998E-2</v>
      </c>
      <c r="BM43" s="1">
        <v>5.57E-2</v>
      </c>
      <c r="BN43" s="1" t="s">
        <v>121</v>
      </c>
      <c r="BO43" s="1" t="s">
        <v>121</v>
      </c>
      <c r="BP43" s="1" t="s">
        <v>121</v>
      </c>
      <c r="BQ43" s="1" t="s">
        <v>121</v>
      </c>
      <c r="BR43" s="1" t="s">
        <v>121</v>
      </c>
      <c r="BS43" s="1" t="s">
        <v>121</v>
      </c>
      <c r="BT43" s="1" t="s">
        <v>121</v>
      </c>
      <c r="BU43" s="1" t="s">
        <v>121</v>
      </c>
      <c r="BV43" s="1" t="s">
        <v>121</v>
      </c>
      <c r="BW43" s="1" t="s">
        <v>121</v>
      </c>
      <c r="BX43" s="1" t="s">
        <v>121</v>
      </c>
      <c r="BY43" s="1" t="s">
        <v>121</v>
      </c>
      <c r="BZ43" s="1" t="s">
        <v>121</v>
      </c>
      <c r="CA43" s="1" t="s">
        <v>121</v>
      </c>
      <c r="CB43" s="1" t="s">
        <v>121</v>
      </c>
      <c r="CC43" s="1" t="s">
        <v>121</v>
      </c>
      <c r="CD43" s="1" t="s">
        <v>121</v>
      </c>
      <c r="CE43" s="1" t="s">
        <v>121</v>
      </c>
      <c r="CF43" s="1" t="s">
        <v>121</v>
      </c>
      <c r="CG43" s="1" t="s">
        <v>121</v>
      </c>
      <c r="CH43" s="1" t="s">
        <v>121</v>
      </c>
      <c r="CI43" s="1" t="s">
        <v>121</v>
      </c>
      <c r="CJ43" s="1" t="s">
        <v>121</v>
      </c>
      <c r="CK43" s="1" t="s">
        <v>121</v>
      </c>
      <c r="CL43" s="1" t="s">
        <v>121</v>
      </c>
      <c r="CM43" s="1" t="s">
        <v>121</v>
      </c>
      <c r="CN43" s="1" t="s">
        <v>121</v>
      </c>
      <c r="CO43" s="1" t="s">
        <v>121</v>
      </c>
      <c r="CP43" s="1" t="s">
        <v>121</v>
      </c>
      <c r="CQ43" s="1" t="s">
        <v>121</v>
      </c>
      <c r="CR43" s="1" t="s">
        <v>121</v>
      </c>
      <c r="CS43" s="1" t="s">
        <v>121</v>
      </c>
      <c r="CT43" s="1" t="s">
        <v>121</v>
      </c>
      <c r="CU43" s="1" t="s">
        <v>121</v>
      </c>
      <c r="CV43" s="1" t="s">
        <v>121</v>
      </c>
      <c r="CW43" s="1" t="s">
        <v>121</v>
      </c>
      <c r="CX43" s="1" t="s">
        <v>121</v>
      </c>
      <c r="CY43" s="1" t="s">
        <v>121</v>
      </c>
      <c r="CZ43" s="1" t="s">
        <v>121</v>
      </c>
      <c r="DA43" s="1" t="s">
        <v>121</v>
      </c>
      <c r="DB43" s="1" t="s">
        <v>121</v>
      </c>
      <c r="DC43" s="1" t="s">
        <v>121</v>
      </c>
      <c r="DD43" s="1" t="s">
        <v>121</v>
      </c>
      <c r="DE43" s="1" t="s">
        <v>121</v>
      </c>
      <c r="DF43" s="1" t="s">
        <v>121</v>
      </c>
      <c r="DG43" s="1" t="s">
        <v>121</v>
      </c>
      <c r="DH43" s="1" t="s">
        <v>121</v>
      </c>
      <c r="DI43" s="1" t="s">
        <v>121</v>
      </c>
      <c r="DJ43" s="1" t="s">
        <v>121</v>
      </c>
      <c r="DK43" s="1" t="s">
        <v>121</v>
      </c>
      <c r="DL43" s="1" t="s">
        <v>121</v>
      </c>
      <c r="DM43" s="1" t="s">
        <v>121</v>
      </c>
      <c r="DN43" s="1" t="s">
        <v>121</v>
      </c>
      <c r="DO43" s="1" t="s">
        <v>121</v>
      </c>
      <c r="DP43" s="1" t="s">
        <v>121</v>
      </c>
      <c r="DQ43" s="1" t="s">
        <v>121</v>
      </c>
      <c r="DR43" s="1" t="s">
        <v>121</v>
      </c>
      <c r="DS43" s="1" t="s">
        <v>121</v>
      </c>
      <c r="DT43" s="1" t="s">
        <v>121</v>
      </c>
      <c r="DU43" s="1" t="s">
        <v>121</v>
      </c>
      <c r="DV43" s="1" t="s">
        <v>121</v>
      </c>
      <c r="DW43" s="1" t="s">
        <v>121</v>
      </c>
      <c r="DX43" s="1" t="s">
        <v>121</v>
      </c>
      <c r="DY43" s="1" t="s">
        <v>121</v>
      </c>
      <c r="DZ43" s="1" t="s">
        <v>121</v>
      </c>
      <c r="EA43" s="1" t="s">
        <v>121</v>
      </c>
      <c r="EB43" s="1" t="s">
        <v>121</v>
      </c>
      <c r="EC43" s="1" t="s">
        <v>121</v>
      </c>
      <c r="ED43" s="1" t="s">
        <v>121</v>
      </c>
      <c r="EE43" s="1" t="s">
        <v>121</v>
      </c>
      <c r="EF43" s="1" t="s">
        <v>121</v>
      </c>
      <c r="EG43" s="1" t="s">
        <v>121</v>
      </c>
      <c r="EH43" s="1" t="s">
        <v>121</v>
      </c>
      <c r="EI43" s="1" t="s">
        <v>121</v>
      </c>
      <c r="EJ43" s="1" t="s">
        <v>121</v>
      </c>
      <c r="EK43" s="1" t="s">
        <v>121</v>
      </c>
      <c r="EL43" s="1" t="s">
        <v>121</v>
      </c>
      <c r="EM43" s="1" t="s">
        <v>121</v>
      </c>
      <c r="EN43" s="1" t="s">
        <v>121</v>
      </c>
      <c r="EO43" s="1" t="s">
        <v>121</v>
      </c>
      <c r="EP43" s="1" t="s">
        <v>121</v>
      </c>
    </row>
    <row r="44" spans="1:146" x14ac:dyDescent="0.25">
      <c r="A44" s="72">
        <v>44</v>
      </c>
      <c r="B44" s="12" t="s">
        <v>247</v>
      </c>
      <c r="C44" s="10">
        <f>'Income and Expenses structure'!F161</f>
        <v>0.26035479263718514</v>
      </c>
      <c r="D44" s="10">
        <f>'Income and Expenses structure'!G161</f>
        <v>0.24254363500256096</v>
      </c>
      <c r="E44" s="10">
        <f>'Income and Expenses structure'!H161</f>
        <v>0.22512408414086504</v>
      </c>
      <c r="F44" s="10">
        <f>'Income and Expenses structure'!I161</f>
        <v>0.27485454487648237</v>
      </c>
      <c r="G44" s="10">
        <f>'Income and Expenses structure'!J161</f>
        <v>0.26383128398282357</v>
      </c>
      <c r="H44" s="10">
        <f>'Income and Expenses structure'!K161</f>
        <v>0.25669612813495446</v>
      </c>
      <c r="I44" s="10">
        <f>'Income and Expenses structure'!L161</f>
        <v>0.26776911356099309</v>
      </c>
      <c r="J44" s="10">
        <f>'Income and Expenses structure'!M161</f>
        <v>0.31660097069155069</v>
      </c>
      <c r="K44" s="10">
        <f>'Income and Expenses structure'!N161</f>
        <v>0.33839917070823</v>
      </c>
      <c r="L44" s="10">
        <f>'Income and Expenses structure'!O161</f>
        <v>0.3266699437435141</v>
      </c>
      <c r="M44" s="10">
        <f>'Income and Expenses structure'!P161</f>
        <v>0.2891323147881234</v>
      </c>
      <c r="N44" s="402"/>
      <c r="O44" s="402"/>
      <c r="P44" s="402"/>
      <c r="Q44" s="402"/>
      <c r="R44" s="10">
        <f>'Income and Expenses structure'!U161</f>
        <v>0.37740183707954195</v>
      </c>
      <c r="S44" s="10">
        <f>'Income and Expenses structure'!V161</f>
        <v>0.37392391308462863</v>
      </c>
      <c r="T44" s="10">
        <f>'Income and Expenses structure'!W161</f>
        <v>0.38854686010915418</v>
      </c>
      <c r="U44" s="10">
        <f>'Income and Expenses structure'!X161</f>
        <v>0.45567702132265397</v>
      </c>
      <c r="V44" s="10">
        <f>'Income and Expenses structure'!Y161</f>
        <v>0.41022390072835174</v>
      </c>
      <c r="W44" s="10">
        <f>'Income and Expenses structure'!Z161</f>
        <v>0.422639110235903</v>
      </c>
      <c r="X44" s="10">
        <f>'Income and Expenses structure'!AA161</f>
        <v>0.45483316789920519</v>
      </c>
      <c r="Y44" s="10">
        <f>'Income and Expenses structure'!AB161</f>
        <v>0.50242630291773838</v>
      </c>
      <c r="Z44" s="10">
        <f>'Income and Expenses structure'!AC161</f>
        <v>0.44215866024678135</v>
      </c>
      <c r="AA44" s="10">
        <f>'Income and Expenses structure'!AD161</f>
        <v>0.44746623147791337</v>
      </c>
      <c r="AB44" s="10">
        <f>'Income and Expenses structure'!AE161</f>
        <v>0.45188272533729745</v>
      </c>
      <c r="AC44" s="10">
        <f>'Income and Expenses structure'!AF161</f>
        <v>0.47975213092272506</v>
      </c>
      <c r="AD44" s="10">
        <f>'Income and Expenses structure'!AG161</f>
        <v>0.39782714087437587</v>
      </c>
      <c r="AE44" s="10">
        <f>'Income and Expenses structure'!AH161</f>
        <v>0.42198846970071235</v>
      </c>
      <c r="AF44" s="10">
        <f>'Income and Expenses structure'!AI161</f>
        <v>0.43149360020049421</v>
      </c>
      <c r="AG44" s="10">
        <f>'Income and Expenses structure'!AJ161</f>
        <v>0.41014424300786728</v>
      </c>
      <c r="AH44" s="10">
        <f>'Income and Expenses structure'!AK161</f>
        <v>0.38526910045198154</v>
      </c>
      <c r="AI44" s="10">
        <f>'Income and Expenses structure'!AL161</f>
        <v>0.38169784053666467</v>
      </c>
      <c r="AJ44" s="10">
        <f>'Income and Expenses structure'!AM161</f>
        <v>0.38009654732850312</v>
      </c>
      <c r="AK44" s="10">
        <f>'Income and Expenses structure'!AN161</f>
        <v>0.37791856444394856</v>
      </c>
      <c r="AL44" s="10">
        <f>'Income and Expenses structure'!AO161</f>
        <v>0.3944274268643298</v>
      </c>
      <c r="AM44" s="10">
        <f>'Income and Expenses structure'!AP161</f>
        <v>0.37723243128058193</v>
      </c>
      <c r="AN44" s="10">
        <f>'Income and Expenses structure'!AQ161</f>
        <v>0.37635677158993602</v>
      </c>
      <c r="AO44" s="10">
        <f>'Income and Expenses structure'!AR161</f>
        <v>0.36666651277031892</v>
      </c>
      <c r="AP44" s="10">
        <f>'Income and Expenses structure'!AS161</f>
        <v>0.37337404433991356</v>
      </c>
      <c r="AQ44" s="10">
        <f>'Income and Expenses structure'!AT161</f>
        <v>0.36283287882566051</v>
      </c>
      <c r="AR44" s="10">
        <f>'Income and Expenses structure'!AU161</f>
        <v>0.38012117740766255</v>
      </c>
      <c r="AS44" s="10">
        <f>'Income and Expenses structure'!AV161</f>
        <v>0.3937246640847854</v>
      </c>
      <c r="AT44" s="10">
        <f>'Income and Expenses structure'!AW161</f>
        <v>0.40608940696875728</v>
      </c>
      <c r="AU44" s="10">
        <f>'Income and Expenses structure'!AX161</f>
        <v>0.40370452167154602</v>
      </c>
      <c r="AV44" s="10">
        <f>'Income and Expenses structure'!AY161</f>
        <v>0.39775118438544155</v>
      </c>
      <c r="AW44" s="10">
        <f>'Income and Expenses structure'!AZ161</f>
        <v>0.37653602786360518</v>
      </c>
      <c r="AX44" s="10">
        <f>'Income and Expenses structure'!BA161</f>
        <v>0.36113133797544428</v>
      </c>
      <c r="AY44" s="10">
        <f>'Income and Expenses structure'!BB161</f>
        <v>0.39280821179737746</v>
      </c>
      <c r="AZ44" s="10">
        <f>'Income and Expenses structure'!BC161</f>
        <v>0.40529679900302829</v>
      </c>
      <c r="BA44" s="10">
        <f>'Income and Expenses structure'!BD161</f>
        <v>0.38417749703658105</v>
      </c>
      <c r="BB44" s="10">
        <f>'Income and Expenses structure'!BE161</f>
        <v>0.46360508187495264</v>
      </c>
      <c r="BC44" s="10">
        <f>'Income and Expenses structure'!BF161</f>
        <v>0.4513575122654831</v>
      </c>
      <c r="BD44" s="10">
        <f>'Income and Expenses structure'!BG161</f>
        <v>0.46867465674720038</v>
      </c>
      <c r="BE44" s="10">
        <f>'Income and Expenses structure'!BH161</f>
        <v>0.45235097959479298</v>
      </c>
      <c r="BF44" s="10">
        <f>'Income and Expenses structure'!BI161</f>
        <v>0.34981206313296265</v>
      </c>
      <c r="BG44" s="10">
        <f>'Income and Expenses structure'!BJ161</f>
        <v>0.31461873602745577</v>
      </c>
      <c r="BH44" s="10">
        <f>'Income and Expenses structure'!BK161</f>
        <v>0.27677755286010025</v>
      </c>
      <c r="BI44" s="39">
        <v>0.26211023689947943</v>
      </c>
      <c r="BJ44" s="39">
        <v>0.28807890855507873</v>
      </c>
      <c r="BK44" s="39">
        <v>0.26924417936354683</v>
      </c>
      <c r="BL44" s="1">
        <v>0.22776692591844877</v>
      </c>
      <c r="BM44" s="1">
        <v>0.18748033913870638</v>
      </c>
      <c r="BN44" s="1" t="s">
        <v>121</v>
      </c>
      <c r="BO44" s="1" t="s">
        <v>121</v>
      </c>
      <c r="BP44" s="1" t="s">
        <v>121</v>
      </c>
      <c r="BQ44" s="1" t="s">
        <v>121</v>
      </c>
      <c r="BR44" s="1" t="s">
        <v>121</v>
      </c>
      <c r="BS44" s="1" t="s">
        <v>121</v>
      </c>
      <c r="BT44" s="1" t="s">
        <v>121</v>
      </c>
      <c r="BU44" s="1" t="s">
        <v>121</v>
      </c>
      <c r="BV44" s="1" t="s">
        <v>121</v>
      </c>
      <c r="BW44" s="1" t="s">
        <v>121</v>
      </c>
      <c r="BX44" s="1" t="s">
        <v>121</v>
      </c>
      <c r="BY44" s="1" t="s">
        <v>121</v>
      </c>
      <c r="BZ44" s="1" t="s">
        <v>121</v>
      </c>
      <c r="CA44" s="1" t="s">
        <v>121</v>
      </c>
      <c r="CB44" s="1" t="s">
        <v>121</v>
      </c>
      <c r="CC44" s="1" t="s">
        <v>121</v>
      </c>
      <c r="CD44" s="1" t="s">
        <v>121</v>
      </c>
      <c r="CE44" s="1" t="s">
        <v>121</v>
      </c>
      <c r="CF44" s="1" t="s">
        <v>121</v>
      </c>
      <c r="CG44" s="1" t="s">
        <v>121</v>
      </c>
      <c r="CH44" s="1" t="s">
        <v>121</v>
      </c>
      <c r="CI44" s="1" t="s">
        <v>121</v>
      </c>
      <c r="CJ44" s="1" t="s">
        <v>121</v>
      </c>
      <c r="CK44" s="1" t="s">
        <v>121</v>
      </c>
      <c r="CL44" s="1" t="s">
        <v>121</v>
      </c>
      <c r="CM44" s="1" t="s">
        <v>121</v>
      </c>
      <c r="CN44" s="1" t="s">
        <v>121</v>
      </c>
      <c r="CO44" s="1" t="s">
        <v>121</v>
      </c>
      <c r="CP44" s="1" t="s">
        <v>121</v>
      </c>
      <c r="CQ44" s="1" t="s">
        <v>121</v>
      </c>
      <c r="CR44" s="1" t="s">
        <v>121</v>
      </c>
      <c r="CS44" s="1" t="s">
        <v>121</v>
      </c>
      <c r="CT44" s="1" t="s">
        <v>121</v>
      </c>
      <c r="CU44" s="1" t="s">
        <v>121</v>
      </c>
      <c r="CV44" s="1" t="s">
        <v>121</v>
      </c>
      <c r="CW44" s="1" t="s">
        <v>121</v>
      </c>
      <c r="CX44" s="1" t="s">
        <v>121</v>
      </c>
      <c r="CY44" s="1" t="s">
        <v>121</v>
      </c>
      <c r="CZ44" s="1" t="s">
        <v>121</v>
      </c>
      <c r="DA44" s="1" t="s">
        <v>121</v>
      </c>
      <c r="DB44" s="1" t="s">
        <v>121</v>
      </c>
      <c r="DC44" s="1" t="s">
        <v>121</v>
      </c>
      <c r="DD44" s="1" t="s">
        <v>121</v>
      </c>
      <c r="DE44" s="1" t="s">
        <v>121</v>
      </c>
      <c r="DF44" s="1" t="s">
        <v>121</v>
      </c>
      <c r="DG44" s="1" t="s">
        <v>121</v>
      </c>
      <c r="DH44" s="1" t="s">
        <v>121</v>
      </c>
      <c r="DI44" s="1" t="s">
        <v>121</v>
      </c>
      <c r="DJ44" s="1" t="s">
        <v>121</v>
      </c>
      <c r="DK44" s="1" t="s">
        <v>121</v>
      </c>
      <c r="DL44" s="1" t="s">
        <v>121</v>
      </c>
      <c r="DM44" s="1" t="s">
        <v>121</v>
      </c>
      <c r="DN44" s="1" t="s">
        <v>121</v>
      </c>
      <c r="DO44" s="1" t="s">
        <v>121</v>
      </c>
      <c r="DP44" s="1" t="s">
        <v>121</v>
      </c>
      <c r="DQ44" s="1" t="s">
        <v>121</v>
      </c>
      <c r="DR44" s="1" t="s">
        <v>121</v>
      </c>
      <c r="DS44" s="1" t="s">
        <v>121</v>
      </c>
      <c r="DT44" s="1" t="s">
        <v>121</v>
      </c>
      <c r="DU44" s="1" t="s">
        <v>121</v>
      </c>
      <c r="DV44" s="1" t="s">
        <v>121</v>
      </c>
      <c r="DW44" s="1" t="s">
        <v>121</v>
      </c>
      <c r="DX44" s="1" t="s">
        <v>121</v>
      </c>
      <c r="DY44" s="1" t="s">
        <v>121</v>
      </c>
      <c r="DZ44" s="1" t="s">
        <v>121</v>
      </c>
      <c r="EA44" s="1" t="s">
        <v>121</v>
      </c>
      <c r="EB44" s="1" t="s">
        <v>121</v>
      </c>
      <c r="EC44" s="1" t="s">
        <v>121</v>
      </c>
      <c r="ED44" s="1" t="s">
        <v>121</v>
      </c>
      <c r="EE44" s="1" t="s">
        <v>121</v>
      </c>
      <c r="EF44" s="1" t="s">
        <v>121</v>
      </c>
      <c r="EG44" s="1" t="s">
        <v>121</v>
      </c>
      <c r="EH44" s="1" t="s">
        <v>121</v>
      </c>
      <c r="EI44" s="1" t="s">
        <v>121</v>
      </c>
      <c r="EJ44" s="1" t="s">
        <v>121</v>
      </c>
      <c r="EK44" s="1" t="s">
        <v>121</v>
      </c>
      <c r="EL44" s="1" t="s">
        <v>121</v>
      </c>
      <c r="EM44" s="1" t="s">
        <v>121</v>
      </c>
      <c r="EN44" s="1" t="s">
        <v>121</v>
      </c>
      <c r="EO44" s="1" t="s">
        <v>121</v>
      </c>
      <c r="EP44" s="1" t="s">
        <v>121</v>
      </c>
    </row>
    <row r="45" spans="1:146" x14ac:dyDescent="0.25">
      <c r="A45" s="72">
        <v>45</v>
      </c>
      <c r="B45" s="12" t="s">
        <v>248</v>
      </c>
      <c r="C45" s="10">
        <f>'Income and Expenses structure'!F163</f>
        <v>0.21120082351952707</v>
      </c>
      <c r="D45" s="10">
        <f>'Income and Expenses structure'!G163</f>
        <v>0.23997372391228394</v>
      </c>
      <c r="E45" s="10">
        <f>'Income and Expenses structure'!H163</f>
        <v>0.30099307684933579</v>
      </c>
      <c r="F45" s="10">
        <f>'Income and Expenses structure'!I163</f>
        <v>0.27057817374785859</v>
      </c>
      <c r="G45" s="10">
        <f>'Income and Expenses structure'!J163</f>
        <v>0.26792632736213851</v>
      </c>
      <c r="H45" s="10">
        <f>'Income and Expenses structure'!K163</f>
        <v>0.2703130256073189</v>
      </c>
      <c r="I45" s="10">
        <f>'Income and Expenses structure'!L163</f>
        <v>0.29027721013053653</v>
      </c>
      <c r="J45" s="10">
        <f>'Income and Expenses structure'!M163</f>
        <v>0.29695109705276901</v>
      </c>
      <c r="K45" s="10">
        <f>'Income and Expenses structure'!N163</f>
        <v>0.31233661288865111</v>
      </c>
      <c r="L45" s="10">
        <f>'Income and Expenses structure'!O163</f>
        <v>0.37153857444056781</v>
      </c>
      <c r="M45" s="10">
        <f>'Income and Expenses structure'!P163</f>
        <v>0.38998137296383256</v>
      </c>
      <c r="N45" s="402"/>
      <c r="O45" s="402"/>
      <c r="P45" s="402"/>
      <c r="Q45" s="402"/>
      <c r="R45" s="10">
        <f>'Income and Expenses structure'!U163</f>
        <v>0.18781775975155668</v>
      </c>
      <c r="S45" s="10">
        <f>'Income and Expenses structure'!V163</f>
        <v>0.16333073526382463</v>
      </c>
      <c r="T45" s="10">
        <f>'Income and Expenses structure'!W163</f>
        <v>0.16055917123672081</v>
      </c>
      <c r="U45" s="10">
        <f>'Income and Expenses structure'!X163</f>
        <v>0.10795009738694469</v>
      </c>
      <c r="V45" s="10">
        <f>'Income and Expenses structure'!Y163</f>
        <v>0.12884433497984821</v>
      </c>
      <c r="W45" s="10">
        <f>'Income and Expenses structure'!Z163</f>
        <v>0.10222752868589831</v>
      </c>
      <c r="X45" s="10">
        <f>'Income and Expenses structure'!AA163</f>
        <v>8.8757702931344593E-2</v>
      </c>
      <c r="Y45" s="10">
        <f>'Income and Expenses structure'!AB163</f>
        <v>7.8991798038913222E-2</v>
      </c>
      <c r="Z45" s="10">
        <f>'Income and Expenses structure'!AC163</f>
        <v>0.10199575455202489</v>
      </c>
      <c r="AA45" s="10">
        <f>'Income and Expenses structure'!AD163</f>
        <v>9.5242034986420782E-2</v>
      </c>
      <c r="AB45" s="10">
        <f>'Income and Expenses structure'!AE163</f>
        <v>9.1894703398758174E-2</v>
      </c>
      <c r="AC45" s="10">
        <f>'Income and Expenses structure'!AF163</f>
        <v>6.8539449037305675E-2</v>
      </c>
      <c r="AD45" s="10">
        <f>'Income and Expenses structure'!AG163</f>
        <v>0.1234537994734088</v>
      </c>
      <c r="AE45" s="10">
        <f>'Income and Expenses structure'!AH163</f>
        <v>0.11934582726516552</v>
      </c>
      <c r="AF45" s="10">
        <f>'Income and Expenses structure'!AI163</f>
        <v>0.12386489199605519</v>
      </c>
      <c r="AG45" s="10">
        <f>'Income and Expenses structure'!AJ163</f>
        <v>0.10597028227810167</v>
      </c>
      <c r="AH45" s="10">
        <f>'Income and Expenses structure'!AK163</f>
        <v>0.11369111314658814</v>
      </c>
      <c r="AI45" s="10">
        <f>'Income and Expenses structure'!AL163</f>
        <v>0.11800196501895097</v>
      </c>
      <c r="AJ45" s="10">
        <f>'Income and Expenses structure'!AM163</f>
        <v>0.10732294518291832</v>
      </c>
      <c r="AK45" s="10">
        <f>'Income and Expenses structure'!AN163</f>
        <v>9.7304911493946766E-2</v>
      </c>
      <c r="AL45" s="10">
        <f>'Income and Expenses structure'!AO163</f>
        <v>7.2719437631770537E-2</v>
      </c>
      <c r="AM45" s="10">
        <f>'Income and Expenses structure'!AP163</f>
        <v>6.919125258360681E-2</v>
      </c>
      <c r="AN45" s="10">
        <f>'Income and Expenses structure'!AQ163</f>
        <v>6.9261728387360069E-2</v>
      </c>
      <c r="AO45" s="10">
        <f>'Income and Expenses structure'!AR163</f>
        <v>8.2008180857696303E-2</v>
      </c>
      <c r="AP45" s="10">
        <f>'Income and Expenses structure'!AS163</f>
        <v>6.6961284611343666E-2</v>
      </c>
      <c r="AQ45" s="10">
        <f>'Income and Expenses structure'!AT163</f>
        <v>6.7141495997156159E-2</v>
      </c>
      <c r="AR45" s="10">
        <f>'Income and Expenses structure'!AU163</f>
        <v>5.9802301331310502E-2</v>
      </c>
      <c r="AS45" s="10">
        <f>'Income and Expenses structure'!AV163</f>
        <v>4.4142210961831144E-2</v>
      </c>
      <c r="AT45" s="10">
        <f>'Income and Expenses structure'!AW163</f>
        <v>9.6911380360022475E-2</v>
      </c>
      <c r="AU45" s="10">
        <f>'Income and Expenses structure'!AX163</f>
        <v>0.11074071298747204</v>
      </c>
      <c r="AV45" s="10">
        <f>'Income and Expenses structure'!AY163</f>
        <v>0.12026409688763311</v>
      </c>
      <c r="AW45" s="10">
        <f>'Income and Expenses structure'!AZ163</f>
        <v>0.14018038042065534</v>
      </c>
      <c r="AX45" s="10">
        <f>'Income and Expenses structure'!BA163</f>
        <v>0.15217465864382779</v>
      </c>
      <c r="AY45" s="10">
        <f>'Income and Expenses structure'!BB163</f>
        <v>0.11200697729874706</v>
      </c>
      <c r="AZ45" s="10">
        <f>'Income and Expenses structure'!BC163</f>
        <v>9.8879942708356747E-2</v>
      </c>
      <c r="BA45" s="10">
        <f>'Income and Expenses structure'!BD163</f>
        <v>0.10752452125804554</v>
      </c>
      <c r="BB45" s="10">
        <f>'Income and Expenses structure'!BE163</f>
        <v>3.2449063372161906E-2</v>
      </c>
      <c r="BC45" s="10">
        <f>'Income and Expenses structure'!BF163</f>
        <v>3.0977266655838626E-2</v>
      </c>
      <c r="BD45" s="10">
        <f>'Income and Expenses structure'!BG163</f>
        <v>1.2002682020686543E-2</v>
      </c>
      <c r="BE45" s="10">
        <f>'Income and Expenses structure'!BH163</f>
        <v>1.236966089315512E-2</v>
      </c>
      <c r="BF45" s="10">
        <f>'Income and Expenses structure'!BI163</f>
        <v>0.17162088438490711</v>
      </c>
      <c r="BG45" s="10">
        <f>'Income and Expenses structure'!BJ163</f>
        <v>0.21969531730076175</v>
      </c>
      <c r="BH45" s="10">
        <f>'Income and Expenses structure'!BK163</f>
        <v>0.29804324376642333</v>
      </c>
      <c r="BI45" s="39">
        <v>0.28631290069607296</v>
      </c>
      <c r="BJ45" s="39">
        <v>0.1528259461192441</v>
      </c>
      <c r="BK45" s="39">
        <v>0.11819090629793297</v>
      </c>
      <c r="BL45" s="1">
        <v>8.9375497178823204E-2</v>
      </c>
      <c r="BM45" s="1">
        <v>5.5733394568311861E-2</v>
      </c>
      <c r="BN45" s="1" t="s">
        <v>121</v>
      </c>
      <c r="BO45" s="1" t="s">
        <v>121</v>
      </c>
      <c r="BP45" s="1" t="s">
        <v>121</v>
      </c>
      <c r="BQ45" s="1" t="s">
        <v>121</v>
      </c>
      <c r="BR45" s="1" t="s">
        <v>121</v>
      </c>
      <c r="BS45" s="1" t="s">
        <v>121</v>
      </c>
      <c r="BT45" s="1" t="s">
        <v>121</v>
      </c>
      <c r="BU45" s="1" t="s">
        <v>121</v>
      </c>
      <c r="BV45" s="1" t="s">
        <v>121</v>
      </c>
      <c r="BW45" s="1" t="s">
        <v>121</v>
      </c>
      <c r="BX45" s="1" t="s">
        <v>121</v>
      </c>
      <c r="BY45" s="1" t="s">
        <v>121</v>
      </c>
      <c r="BZ45" s="1" t="s">
        <v>121</v>
      </c>
      <c r="CA45" s="1" t="s">
        <v>121</v>
      </c>
      <c r="CB45" s="1" t="s">
        <v>121</v>
      </c>
      <c r="CC45" s="1" t="s">
        <v>121</v>
      </c>
      <c r="CD45" s="1" t="s">
        <v>121</v>
      </c>
      <c r="CE45" s="1" t="s">
        <v>121</v>
      </c>
      <c r="CF45" s="1" t="s">
        <v>121</v>
      </c>
      <c r="CG45" s="1" t="s">
        <v>121</v>
      </c>
      <c r="CH45" s="1" t="s">
        <v>121</v>
      </c>
      <c r="CI45" s="1" t="s">
        <v>121</v>
      </c>
      <c r="CJ45" s="1" t="s">
        <v>121</v>
      </c>
      <c r="CK45" s="1" t="s">
        <v>121</v>
      </c>
      <c r="CL45" s="1" t="s">
        <v>121</v>
      </c>
      <c r="CM45" s="1" t="s">
        <v>121</v>
      </c>
      <c r="CN45" s="1" t="s">
        <v>121</v>
      </c>
      <c r="CO45" s="1" t="s">
        <v>121</v>
      </c>
      <c r="CP45" s="1" t="s">
        <v>121</v>
      </c>
      <c r="CQ45" s="1" t="s">
        <v>121</v>
      </c>
      <c r="CR45" s="1" t="s">
        <v>121</v>
      </c>
      <c r="CS45" s="1" t="s">
        <v>121</v>
      </c>
      <c r="CT45" s="1" t="s">
        <v>121</v>
      </c>
      <c r="CU45" s="1" t="s">
        <v>121</v>
      </c>
      <c r="CV45" s="1" t="s">
        <v>121</v>
      </c>
      <c r="CW45" s="1" t="s">
        <v>121</v>
      </c>
      <c r="CX45" s="1" t="s">
        <v>121</v>
      </c>
      <c r="CY45" s="1" t="s">
        <v>121</v>
      </c>
      <c r="CZ45" s="1" t="s">
        <v>121</v>
      </c>
      <c r="DA45" s="1" t="s">
        <v>121</v>
      </c>
      <c r="DB45" s="1" t="s">
        <v>121</v>
      </c>
      <c r="DC45" s="1" t="s">
        <v>121</v>
      </c>
      <c r="DD45" s="1" t="s">
        <v>121</v>
      </c>
      <c r="DE45" s="1" t="s">
        <v>121</v>
      </c>
      <c r="DF45" s="1" t="s">
        <v>121</v>
      </c>
      <c r="DG45" s="1" t="s">
        <v>121</v>
      </c>
      <c r="DH45" s="1" t="s">
        <v>121</v>
      </c>
      <c r="DI45" s="1" t="s">
        <v>121</v>
      </c>
      <c r="DJ45" s="1" t="s">
        <v>121</v>
      </c>
      <c r="DK45" s="1" t="s">
        <v>121</v>
      </c>
      <c r="DL45" s="1" t="s">
        <v>121</v>
      </c>
      <c r="DM45" s="1" t="s">
        <v>121</v>
      </c>
      <c r="DN45" s="1" t="s">
        <v>121</v>
      </c>
      <c r="DO45" s="1" t="s">
        <v>121</v>
      </c>
      <c r="DP45" s="1" t="s">
        <v>121</v>
      </c>
      <c r="DQ45" s="1" t="s">
        <v>121</v>
      </c>
      <c r="DR45" s="1" t="s">
        <v>121</v>
      </c>
      <c r="DS45" s="1" t="s">
        <v>121</v>
      </c>
      <c r="DT45" s="1" t="s">
        <v>121</v>
      </c>
      <c r="DU45" s="1" t="s">
        <v>121</v>
      </c>
      <c r="DV45" s="1" t="s">
        <v>121</v>
      </c>
      <c r="DW45" s="1" t="s">
        <v>121</v>
      </c>
      <c r="DX45" s="1" t="s">
        <v>121</v>
      </c>
      <c r="DY45" s="1" t="s">
        <v>121</v>
      </c>
      <c r="DZ45" s="1" t="s">
        <v>121</v>
      </c>
      <c r="EA45" s="1" t="s">
        <v>121</v>
      </c>
      <c r="EB45" s="1" t="s">
        <v>121</v>
      </c>
      <c r="EC45" s="1" t="s">
        <v>121</v>
      </c>
      <c r="ED45" s="1" t="s">
        <v>121</v>
      </c>
      <c r="EE45" s="1" t="s">
        <v>121</v>
      </c>
      <c r="EF45" s="1" t="s">
        <v>121</v>
      </c>
      <c r="EG45" s="1" t="s">
        <v>121</v>
      </c>
      <c r="EH45" s="1" t="s">
        <v>121</v>
      </c>
      <c r="EI45" s="1" t="s">
        <v>121</v>
      </c>
      <c r="EJ45" s="1" t="s">
        <v>121</v>
      </c>
      <c r="EK45" s="1" t="s">
        <v>121</v>
      </c>
      <c r="EL45" s="1" t="s">
        <v>121</v>
      </c>
      <c r="EM45" s="1" t="s">
        <v>121</v>
      </c>
      <c r="EN45" s="1" t="s">
        <v>121</v>
      </c>
      <c r="EO45" s="1" t="s">
        <v>121</v>
      </c>
      <c r="EP45" s="1" t="s">
        <v>121</v>
      </c>
    </row>
    <row r="46" spans="1:146" ht="6.75" customHeight="1" x14ac:dyDescent="0.25">
      <c r="A46" s="307">
        <v>46</v>
      </c>
      <c r="B46" s="12" t="s">
        <v>121</v>
      </c>
      <c r="C46" s="12" t="s">
        <v>121</v>
      </c>
      <c r="D46" s="1" t="s">
        <v>121</v>
      </c>
      <c r="E46" s="1" t="s">
        <v>121</v>
      </c>
      <c r="F46" s="1" t="s">
        <v>121</v>
      </c>
      <c r="G46" s="1" t="s">
        <v>121</v>
      </c>
      <c r="H46" s="1" t="s">
        <v>121</v>
      </c>
      <c r="I46" s="1" t="s">
        <v>121</v>
      </c>
      <c r="J46" s="1" t="s">
        <v>121</v>
      </c>
      <c r="K46" s="1" t="s">
        <v>121</v>
      </c>
      <c r="L46" s="1" t="s">
        <v>121</v>
      </c>
      <c r="M46" s="1" t="s">
        <v>121</v>
      </c>
      <c r="N46" s="402"/>
      <c r="O46" s="402"/>
      <c r="P46" s="402"/>
      <c r="Q46" s="402"/>
      <c r="R46" s="1" t="s">
        <v>121</v>
      </c>
      <c r="S46" s="1" t="s">
        <v>121</v>
      </c>
      <c r="T46" s="1" t="s">
        <v>121</v>
      </c>
      <c r="U46" s="1" t="s">
        <v>121</v>
      </c>
      <c r="V46" s="1" t="s">
        <v>121</v>
      </c>
      <c r="W46" s="12" t="s">
        <v>121</v>
      </c>
      <c r="X46" s="12" t="s">
        <v>121</v>
      </c>
      <c r="Y46" s="12" t="s">
        <v>121</v>
      </c>
      <c r="Z46" s="12" t="s">
        <v>121</v>
      </c>
      <c r="AA46" s="12" t="s">
        <v>121</v>
      </c>
      <c r="AB46" s="12" t="s">
        <v>121</v>
      </c>
      <c r="AC46" s="12" t="s">
        <v>121</v>
      </c>
      <c r="AD46" s="12" t="s">
        <v>121</v>
      </c>
      <c r="AE46" s="12" t="s">
        <v>121</v>
      </c>
      <c r="AF46" s="12" t="s">
        <v>121</v>
      </c>
      <c r="AG46" s="12" t="s">
        <v>121</v>
      </c>
      <c r="AH46" s="12" t="s">
        <v>121</v>
      </c>
      <c r="AI46" s="12" t="s">
        <v>121</v>
      </c>
      <c r="AJ46" s="12" t="s">
        <v>121</v>
      </c>
      <c r="AK46" s="12" t="s">
        <v>121</v>
      </c>
      <c r="AL46" s="12" t="s">
        <v>121</v>
      </c>
      <c r="AM46" s="12" t="s">
        <v>121</v>
      </c>
      <c r="AN46" s="12" t="s">
        <v>121</v>
      </c>
      <c r="AO46" s="12" t="s">
        <v>121</v>
      </c>
      <c r="AP46" s="12" t="s">
        <v>121</v>
      </c>
      <c r="AQ46" s="12" t="s">
        <v>121</v>
      </c>
      <c r="AR46" s="12" t="s">
        <v>121</v>
      </c>
      <c r="AS46" s="12" t="s">
        <v>121</v>
      </c>
      <c r="AT46" s="12" t="s">
        <v>121</v>
      </c>
      <c r="AU46" s="12" t="s">
        <v>121</v>
      </c>
      <c r="AV46" s="12" t="s">
        <v>121</v>
      </c>
      <c r="AW46" s="12" t="s">
        <v>121</v>
      </c>
      <c r="AX46" s="10" t="s">
        <v>121</v>
      </c>
      <c r="AY46" s="10" t="s">
        <v>121</v>
      </c>
      <c r="AZ46" s="10" t="s">
        <v>121</v>
      </c>
      <c r="BA46" s="10" t="s">
        <v>121</v>
      </c>
      <c r="BB46" s="10" t="s">
        <v>121</v>
      </c>
      <c r="BC46" s="10" t="s">
        <v>121</v>
      </c>
      <c r="BD46" s="10" t="s">
        <v>121</v>
      </c>
      <c r="BE46" s="10" t="s">
        <v>121</v>
      </c>
      <c r="BF46" s="10" t="s">
        <v>121</v>
      </c>
      <c r="BG46" s="10" t="s">
        <v>121</v>
      </c>
      <c r="BH46" s="10" t="s">
        <v>121</v>
      </c>
      <c r="BI46" s="39" t="s">
        <v>121</v>
      </c>
      <c r="BJ46" s="39" t="s">
        <v>121</v>
      </c>
      <c r="BK46" s="39" t="s">
        <v>121</v>
      </c>
      <c r="BL46" s="1" t="s">
        <v>121</v>
      </c>
      <c r="BM46" s="1" t="s">
        <v>121</v>
      </c>
      <c r="BN46" s="1" t="s">
        <v>121</v>
      </c>
      <c r="BO46" s="1" t="s">
        <v>121</v>
      </c>
      <c r="BP46" s="1" t="s">
        <v>121</v>
      </c>
      <c r="BQ46" s="1" t="s">
        <v>121</v>
      </c>
      <c r="BR46" s="1" t="s">
        <v>121</v>
      </c>
      <c r="BS46" s="1" t="s">
        <v>121</v>
      </c>
      <c r="BT46" s="1" t="s">
        <v>121</v>
      </c>
      <c r="BU46" s="1" t="s">
        <v>121</v>
      </c>
      <c r="BV46" s="1" t="s">
        <v>121</v>
      </c>
      <c r="BW46" s="1" t="s">
        <v>121</v>
      </c>
      <c r="BX46" s="1" t="s">
        <v>121</v>
      </c>
      <c r="BY46" s="1" t="s">
        <v>121</v>
      </c>
      <c r="BZ46" s="1" t="s">
        <v>121</v>
      </c>
      <c r="CA46" s="1" t="s">
        <v>121</v>
      </c>
      <c r="CB46" s="1" t="s">
        <v>121</v>
      </c>
      <c r="CC46" s="1" t="s">
        <v>121</v>
      </c>
      <c r="CD46" s="1" t="s">
        <v>121</v>
      </c>
      <c r="CE46" s="1" t="s">
        <v>121</v>
      </c>
      <c r="CF46" s="1" t="s">
        <v>121</v>
      </c>
      <c r="CG46" s="1" t="s">
        <v>121</v>
      </c>
      <c r="CH46" s="1" t="s">
        <v>121</v>
      </c>
      <c r="CI46" s="1" t="s">
        <v>121</v>
      </c>
      <c r="CJ46" s="1" t="s">
        <v>121</v>
      </c>
      <c r="CK46" s="1" t="s">
        <v>121</v>
      </c>
      <c r="CL46" s="1" t="s">
        <v>121</v>
      </c>
      <c r="CM46" s="1" t="s">
        <v>121</v>
      </c>
      <c r="CN46" s="1" t="s">
        <v>121</v>
      </c>
      <c r="CO46" s="1" t="s">
        <v>121</v>
      </c>
      <c r="CP46" s="1" t="s">
        <v>121</v>
      </c>
      <c r="CQ46" s="1" t="s">
        <v>121</v>
      </c>
      <c r="CR46" s="1" t="s">
        <v>121</v>
      </c>
      <c r="CS46" s="1" t="s">
        <v>121</v>
      </c>
      <c r="CT46" s="1" t="s">
        <v>121</v>
      </c>
      <c r="CU46" s="1" t="s">
        <v>121</v>
      </c>
      <c r="CV46" s="1" t="s">
        <v>121</v>
      </c>
      <c r="CW46" s="1" t="s">
        <v>121</v>
      </c>
      <c r="CX46" s="1" t="s">
        <v>121</v>
      </c>
      <c r="CY46" s="1" t="s">
        <v>121</v>
      </c>
      <c r="CZ46" s="1" t="s">
        <v>121</v>
      </c>
      <c r="DA46" s="1" t="s">
        <v>121</v>
      </c>
      <c r="DB46" s="1" t="s">
        <v>121</v>
      </c>
      <c r="DC46" s="1" t="s">
        <v>121</v>
      </c>
      <c r="DD46" s="1" t="s">
        <v>121</v>
      </c>
      <c r="DE46" s="1" t="s">
        <v>121</v>
      </c>
      <c r="DF46" s="1" t="s">
        <v>121</v>
      </c>
      <c r="DG46" s="1" t="s">
        <v>121</v>
      </c>
      <c r="DH46" s="1" t="s">
        <v>121</v>
      </c>
      <c r="DI46" s="1" t="s">
        <v>121</v>
      </c>
      <c r="DJ46" s="1" t="s">
        <v>121</v>
      </c>
      <c r="DK46" s="1" t="s">
        <v>121</v>
      </c>
      <c r="DL46" s="1" t="s">
        <v>121</v>
      </c>
      <c r="DM46" s="1" t="s">
        <v>121</v>
      </c>
      <c r="DN46" s="1" t="s">
        <v>121</v>
      </c>
      <c r="DO46" s="1" t="s">
        <v>121</v>
      </c>
      <c r="DP46" s="1" t="s">
        <v>121</v>
      </c>
      <c r="DQ46" s="1" t="s">
        <v>121</v>
      </c>
      <c r="DR46" s="1" t="s">
        <v>121</v>
      </c>
      <c r="DS46" s="1" t="s">
        <v>121</v>
      </c>
      <c r="DT46" s="1" t="s">
        <v>121</v>
      </c>
      <c r="DU46" s="1" t="s">
        <v>121</v>
      </c>
      <c r="DV46" s="1" t="s">
        <v>121</v>
      </c>
      <c r="DW46" s="1" t="s">
        <v>121</v>
      </c>
      <c r="DX46" s="1" t="s">
        <v>121</v>
      </c>
      <c r="DY46" s="1" t="s">
        <v>121</v>
      </c>
      <c r="DZ46" s="1" t="s">
        <v>121</v>
      </c>
      <c r="EA46" s="1" t="s">
        <v>121</v>
      </c>
      <c r="EB46" s="1" t="s">
        <v>121</v>
      </c>
      <c r="EC46" s="1" t="s">
        <v>121</v>
      </c>
      <c r="ED46" s="1" t="s">
        <v>121</v>
      </c>
      <c r="EE46" s="1" t="s">
        <v>121</v>
      </c>
      <c r="EF46" s="1" t="s">
        <v>121</v>
      </c>
      <c r="EG46" s="1" t="s">
        <v>121</v>
      </c>
      <c r="EH46" s="1" t="s">
        <v>121</v>
      </c>
      <c r="EI46" s="1" t="s">
        <v>121</v>
      </c>
      <c r="EJ46" s="1" t="s">
        <v>121</v>
      </c>
      <c r="EK46" s="1" t="s">
        <v>121</v>
      </c>
      <c r="EL46" s="1" t="s">
        <v>121</v>
      </c>
      <c r="EM46" s="1" t="s">
        <v>121</v>
      </c>
      <c r="EN46" s="1" t="s">
        <v>121</v>
      </c>
      <c r="EO46" s="1" t="s">
        <v>121</v>
      </c>
      <c r="EP46" s="1" t="s">
        <v>121</v>
      </c>
    </row>
    <row r="47" spans="1:146" ht="15" customHeight="1" x14ac:dyDescent="0.25">
      <c r="A47" s="72">
        <v>47</v>
      </c>
      <c r="B47" s="428" t="s">
        <v>121</v>
      </c>
      <c r="C47" s="416" t="s">
        <v>197</v>
      </c>
      <c r="D47" s="416" t="s">
        <v>198</v>
      </c>
      <c r="E47" s="416" t="s">
        <v>131</v>
      </c>
      <c r="F47" s="416" t="s">
        <v>199</v>
      </c>
      <c r="G47" s="416" t="s">
        <v>200</v>
      </c>
      <c r="H47" s="416" t="s">
        <v>201</v>
      </c>
      <c r="I47" s="416" t="s">
        <v>135</v>
      </c>
      <c r="J47" s="416" t="s">
        <v>202</v>
      </c>
      <c r="K47" s="416" t="s">
        <v>203</v>
      </c>
      <c r="L47" s="416" t="s">
        <v>204</v>
      </c>
      <c r="M47" s="416" t="s">
        <v>139</v>
      </c>
      <c r="N47" s="416" t="s">
        <v>205</v>
      </c>
      <c r="O47" s="416" t="s">
        <v>206</v>
      </c>
      <c r="P47" s="416" t="s">
        <v>207</v>
      </c>
      <c r="Q47" s="419" t="s">
        <v>143</v>
      </c>
      <c r="R47" s="416" t="s">
        <v>208</v>
      </c>
      <c r="S47" s="416" t="s">
        <v>209</v>
      </c>
      <c r="T47" s="416" t="s">
        <v>207</v>
      </c>
      <c r="U47" s="419" t="s">
        <v>147</v>
      </c>
      <c r="V47" s="416" t="s">
        <v>210</v>
      </c>
      <c r="W47" s="416" t="s">
        <v>211</v>
      </c>
      <c r="X47" s="416" t="s">
        <v>212</v>
      </c>
      <c r="Y47" s="419" t="s">
        <v>151</v>
      </c>
      <c r="Z47" s="419" t="s">
        <v>213</v>
      </c>
      <c r="AA47" s="416" t="s">
        <v>214</v>
      </c>
      <c r="AB47" s="416" t="s">
        <v>215</v>
      </c>
      <c r="AC47" s="421" t="s">
        <v>155</v>
      </c>
      <c r="AD47" s="419" t="s">
        <v>216</v>
      </c>
      <c r="AE47" s="419" t="s">
        <v>217</v>
      </c>
      <c r="AF47" s="416" t="s">
        <v>218</v>
      </c>
      <c r="AG47" s="421" t="s">
        <v>159</v>
      </c>
      <c r="AH47" s="421" t="s">
        <v>219</v>
      </c>
      <c r="AI47" s="421" t="s">
        <v>220</v>
      </c>
      <c r="AJ47" s="421" t="s">
        <v>221</v>
      </c>
      <c r="AK47" s="416" t="s">
        <v>163</v>
      </c>
      <c r="AL47" s="416" t="s">
        <v>222</v>
      </c>
      <c r="AM47" s="416" t="s">
        <v>223</v>
      </c>
      <c r="AN47" s="416" t="s">
        <v>224</v>
      </c>
      <c r="AO47" s="416" t="s">
        <v>167</v>
      </c>
      <c r="AP47" s="416" t="s">
        <v>225</v>
      </c>
      <c r="AQ47" s="416" t="s">
        <v>226</v>
      </c>
      <c r="AR47" s="416" t="s">
        <v>227</v>
      </c>
      <c r="AS47" s="416" t="s">
        <v>171</v>
      </c>
      <c r="AT47" s="416" t="s">
        <v>228</v>
      </c>
      <c r="AU47" s="416" t="s">
        <v>229</v>
      </c>
      <c r="AV47" s="416" t="s">
        <v>230</v>
      </c>
      <c r="AW47" s="416" t="s">
        <v>175</v>
      </c>
      <c r="AX47" s="416" t="s">
        <v>231</v>
      </c>
      <c r="AY47" s="416" t="s">
        <v>232</v>
      </c>
      <c r="AZ47" s="416" t="s">
        <v>233</v>
      </c>
      <c r="BA47" s="416" t="s">
        <v>179</v>
      </c>
      <c r="BB47" s="416" t="s">
        <v>234</v>
      </c>
      <c r="BC47" s="416" t="s">
        <v>235</v>
      </c>
      <c r="BD47" s="416" t="s">
        <v>236</v>
      </c>
      <c r="BE47" s="416" t="s">
        <v>183</v>
      </c>
      <c r="BF47" s="416" t="s">
        <v>237</v>
      </c>
      <c r="BG47" s="416" t="s">
        <v>238</v>
      </c>
      <c r="BH47" s="416" t="s">
        <v>239</v>
      </c>
      <c r="BI47" s="268" t="s">
        <v>187</v>
      </c>
      <c r="BJ47" s="369" t="s">
        <v>240</v>
      </c>
      <c r="BK47" s="370" t="s">
        <v>241</v>
      </c>
      <c r="BL47" s="1" t="s">
        <v>242</v>
      </c>
      <c r="BM47" s="1" t="s">
        <v>191</v>
      </c>
      <c r="BN47" s="1" t="s">
        <v>121</v>
      </c>
      <c r="BO47" s="1" t="s">
        <v>121</v>
      </c>
      <c r="BP47" s="1" t="s">
        <v>121</v>
      </c>
      <c r="BQ47" s="1" t="s">
        <v>121</v>
      </c>
      <c r="BR47" s="1" t="s">
        <v>121</v>
      </c>
      <c r="BS47" s="1" t="s">
        <v>121</v>
      </c>
      <c r="BT47" s="1" t="s">
        <v>121</v>
      </c>
      <c r="BU47" s="1" t="s">
        <v>121</v>
      </c>
      <c r="BV47" s="1" t="s">
        <v>121</v>
      </c>
      <c r="BW47" s="1" t="s">
        <v>121</v>
      </c>
      <c r="BX47" s="1" t="s">
        <v>121</v>
      </c>
      <c r="BY47" s="1" t="s">
        <v>121</v>
      </c>
      <c r="BZ47" s="1" t="s">
        <v>121</v>
      </c>
      <c r="CA47" s="1" t="s">
        <v>121</v>
      </c>
      <c r="CB47" s="1" t="s">
        <v>121</v>
      </c>
      <c r="CC47" s="1" t="s">
        <v>121</v>
      </c>
      <c r="CD47" s="1" t="s">
        <v>121</v>
      </c>
      <c r="CE47" s="1" t="s">
        <v>121</v>
      </c>
      <c r="CF47" s="1" t="s">
        <v>121</v>
      </c>
      <c r="CG47" s="1" t="s">
        <v>121</v>
      </c>
      <c r="CH47" s="1" t="s">
        <v>121</v>
      </c>
      <c r="CI47" s="1" t="s">
        <v>121</v>
      </c>
      <c r="CJ47" s="1" t="s">
        <v>121</v>
      </c>
      <c r="CK47" s="1" t="s">
        <v>121</v>
      </c>
      <c r="CL47" s="1" t="s">
        <v>121</v>
      </c>
      <c r="CM47" s="1" t="s">
        <v>121</v>
      </c>
      <c r="CN47" s="1" t="s">
        <v>121</v>
      </c>
      <c r="CO47" s="1" t="s">
        <v>121</v>
      </c>
      <c r="CP47" s="1" t="s">
        <v>121</v>
      </c>
      <c r="CQ47" s="1" t="s">
        <v>121</v>
      </c>
      <c r="CR47" s="1" t="s">
        <v>121</v>
      </c>
      <c r="CS47" s="1" t="s">
        <v>121</v>
      </c>
      <c r="CT47" s="1" t="s">
        <v>121</v>
      </c>
      <c r="CU47" s="1" t="s">
        <v>121</v>
      </c>
      <c r="CV47" s="1" t="s">
        <v>121</v>
      </c>
      <c r="CW47" s="1" t="s">
        <v>121</v>
      </c>
      <c r="CX47" s="1" t="s">
        <v>121</v>
      </c>
      <c r="CY47" s="1" t="s">
        <v>121</v>
      </c>
      <c r="CZ47" s="1" t="s">
        <v>121</v>
      </c>
      <c r="DA47" s="1" t="s">
        <v>121</v>
      </c>
      <c r="DB47" s="1" t="s">
        <v>121</v>
      </c>
      <c r="DC47" s="1" t="s">
        <v>121</v>
      </c>
      <c r="DD47" s="1" t="s">
        <v>121</v>
      </c>
      <c r="DE47" s="1" t="s">
        <v>121</v>
      </c>
      <c r="DF47" s="1" t="s">
        <v>121</v>
      </c>
      <c r="DG47" s="1" t="s">
        <v>121</v>
      </c>
      <c r="DH47" s="1" t="s">
        <v>121</v>
      </c>
      <c r="DI47" s="1" t="s">
        <v>121</v>
      </c>
      <c r="DJ47" s="1" t="s">
        <v>121</v>
      </c>
      <c r="DK47" s="1" t="s">
        <v>121</v>
      </c>
      <c r="DL47" s="1" t="s">
        <v>121</v>
      </c>
      <c r="DM47" s="1" t="s">
        <v>121</v>
      </c>
      <c r="DN47" s="1" t="s">
        <v>121</v>
      </c>
      <c r="DO47" s="1" t="s">
        <v>121</v>
      </c>
      <c r="DP47" s="1" t="s">
        <v>121</v>
      </c>
      <c r="DQ47" s="1" t="s">
        <v>121</v>
      </c>
      <c r="DR47" s="1" t="s">
        <v>121</v>
      </c>
      <c r="DS47" s="1" t="s">
        <v>121</v>
      </c>
      <c r="DT47" s="1" t="s">
        <v>121</v>
      </c>
      <c r="DU47" s="1" t="s">
        <v>121</v>
      </c>
      <c r="DV47" s="1" t="s">
        <v>121</v>
      </c>
      <c r="DW47" s="1" t="s">
        <v>121</v>
      </c>
      <c r="DX47" s="1" t="s">
        <v>121</v>
      </c>
      <c r="DY47" s="1" t="s">
        <v>121</v>
      </c>
      <c r="DZ47" s="1" t="s">
        <v>121</v>
      </c>
      <c r="EA47" s="1" t="s">
        <v>121</v>
      </c>
      <c r="EB47" s="1" t="s">
        <v>121</v>
      </c>
      <c r="EC47" s="1" t="s">
        <v>121</v>
      </c>
      <c r="ED47" s="1" t="s">
        <v>121</v>
      </c>
      <c r="EE47" s="1" t="s">
        <v>121</v>
      </c>
      <c r="EF47" s="1" t="s">
        <v>121</v>
      </c>
      <c r="EG47" s="1" t="s">
        <v>121</v>
      </c>
      <c r="EH47" s="1" t="s">
        <v>121</v>
      </c>
      <c r="EI47" s="1" t="s">
        <v>121</v>
      </c>
      <c r="EJ47" s="1" t="s">
        <v>121</v>
      </c>
      <c r="EK47" s="1" t="s">
        <v>121</v>
      </c>
      <c r="EL47" s="1" t="s">
        <v>121</v>
      </c>
      <c r="EM47" s="1" t="s">
        <v>121</v>
      </c>
      <c r="EN47" s="1" t="s">
        <v>121</v>
      </c>
      <c r="EO47" s="1" t="s">
        <v>121</v>
      </c>
      <c r="EP47" s="1" t="s">
        <v>121</v>
      </c>
    </row>
    <row r="48" spans="1:146" ht="15" customHeight="1" x14ac:dyDescent="0.25">
      <c r="A48" s="72">
        <v>48</v>
      </c>
      <c r="B48" s="428"/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20"/>
      <c r="R48" s="418"/>
      <c r="S48" s="418"/>
      <c r="T48" s="418"/>
      <c r="U48" s="420"/>
      <c r="V48" s="418"/>
      <c r="W48" s="418"/>
      <c r="X48" s="417"/>
      <c r="Y48" s="420"/>
      <c r="Z48" s="420"/>
      <c r="AA48" s="417"/>
      <c r="AB48" s="417"/>
      <c r="AC48" s="422"/>
      <c r="AD48" s="420"/>
      <c r="AE48" s="420"/>
      <c r="AF48" s="417"/>
      <c r="AG48" s="422"/>
      <c r="AH48" s="422"/>
      <c r="AI48" s="422"/>
      <c r="AJ48" s="422"/>
      <c r="AK48" s="417"/>
      <c r="AL48" s="417"/>
      <c r="AM48" s="417"/>
      <c r="AN48" s="417"/>
      <c r="AO48" s="417"/>
      <c r="AP48" s="417"/>
      <c r="AQ48" s="417"/>
      <c r="AR48" s="417"/>
      <c r="AS48" s="417"/>
      <c r="AT48" s="417"/>
      <c r="AU48" s="417"/>
      <c r="AV48" s="417"/>
      <c r="AW48" s="417"/>
      <c r="AX48" s="417"/>
      <c r="AY48" s="417"/>
      <c r="AZ48" s="417"/>
      <c r="BA48" s="417"/>
      <c r="BB48" s="417"/>
      <c r="BC48" s="417"/>
      <c r="BD48" s="417"/>
      <c r="BE48" s="417"/>
      <c r="BF48" s="417"/>
      <c r="BG48" s="417"/>
      <c r="BH48" s="417"/>
      <c r="BI48" s="268"/>
      <c r="BJ48" s="369"/>
      <c r="BK48" s="370"/>
    </row>
    <row r="49" spans="1:146" ht="9.75" customHeight="1" x14ac:dyDescent="0.25">
      <c r="A49" s="307">
        <v>49</v>
      </c>
      <c r="B49" s="8" t="s">
        <v>243</v>
      </c>
      <c r="C49" s="8" t="s">
        <v>121</v>
      </c>
      <c r="D49" s="1" t="s">
        <v>121</v>
      </c>
      <c r="E49" s="1" t="s">
        <v>121</v>
      </c>
      <c r="F49" s="1" t="s">
        <v>121</v>
      </c>
      <c r="G49" s="1" t="s">
        <v>121</v>
      </c>
      <c r="H49" s="1" t="s">
        <v>121</v>
      </c>
      <c r="I49" s="1" t="s">
        <v>121</v>
      </c>
      <c r="J49" s="1" t="s">
        <v>121</v>
      </c>
      <c r="K49" s="1" t="s">
        <v>121</v>
      </c>
      <c r="L49" s="1" t="s">
        <v>121</v>
      </c>
      <c r="M49" s="1" t="s">
        <v>121</v>
      </c>
      <c r="N49" s="1" t="s">
        <v>121</v>
      </c>
      <c r="O49" s="1" t="s">
        <v>121</v>
      </c>
      <c r="P49" s="1" t="s">
        <v>121</v>
      </c>
      <c r="Q49" s="1" t="s">
        <v>121</v>
      </c>
      <c r="R49" s="1" t="s">
        <v>121</v>
      </c>
      <c r="S49" s="1" t="s">
        <v>121</v>
      </c>
      <c r="T49" s="1" t="s">
        <v>121</v>
      </c>
      <c r="U49" s="1" t="s">
        <v>121</v>
      </c>
      <c r="V49" s="1" t="s">
        <v>121</v>
      </c>
      <c r="W49" s="8" t="s">
        <v>121</v>
      </c>
      <c r="X49" s="8" t="s">
        <v>121</v>
      </c>
      <c r="Y49" s="8" t="s">
        <v>121</v>
      </c>
      <c r="Z49" s="8" t="s">
        <v>121</v>
      </c>
      <c r="AA49" s="8" t="s">
        <v>121</v>
      </c>
      <c r="AB49" s="8" t="s">
        <v>121</v>
      </c>
      <c r="AC49" s="8" t="s">
        <v>121</v>
      </c>
      <c r="AD49" s="8" t="s">
        <v>121</v>
      </c>
      <c r="AE49" s="8" t="s">
        <v>121</v>
      </c>
      <c r="AF49" s="8" t="s">
        <v>121</v>
      </c>
      <c r="AG49" s="8" t="s">
        <v>121</v>
      </c>
      <c r="AH49" s="8" t="s">
        <v>121</v>
      </c>
      <c r="AI49" s="8" t="s">
        <v>121</v>
      </c>
      <c r="AJ49" s="8" t="s">
        <v>121</v>
      </c>
      <c r="AK49" s="8" t="s">
        <v>121</v>
      </c>
      <c r="AL49" s="8" t="s">
        <v>121</v>
      </c>
      <c r="AM49" s="8" t="s">
        <v>121</v>
      </c>
      <c r="AN49" s="8" t="s">
        <v>121</v>
      </c>
      <c r="AO49" s="8" t="s">
        <v>121</v>
      </c>
      <c r="AP49" s="8" t="s">
        <v>121</v>
      </c>
      <c r="AQ49" s="8" t="s">
        <v>121</v>
      </c>
      <c r="AR49" s="8" t="s">
        <v>121</v>
      </c>
      <c r="AS49" s="8" t="s">
        <v>121</v>
      </c>
      <c r="AT49" s="8" t="s">
        <v>121</v>
      </c>
      <c r="AU49" s="8" t="s">
        <v>121</v>
      </c>
      <c r="AV49" s="8" t="s">
        <v>121</v>
      </c>
      <c r="AW49" s="8" t="s">
        <v>121</v>
      </c>
      <c r="AX49" s="1" t="s">
        <v>121</v>
      </c>
      <c r="AY49" s="1" t="s">
        <v>121</v>
      </c>
      <c r="AZ49" s="1" t="s">
        <v>121</v>
      </c>
      <c r="BA49" s="1" t="s">
        <v>121</v>
      </c>
      <c r="BB49" s="1" t="s">
        <v>121</v>
      </c>
      <c r="BC49" s="1" t="s">
        <v>121</v>
      </c>
      <c r="BD49" s="1" t="s">
        <v>121</v>
      </c>
      <c r="BE49" s="1" t="s">
        <v>121</v>
      </c>
      <c r="BF49" s="1" t="s">
        <v>121</v>
      </c>
      <c r="BG49" s="1" t="s">
        <v>121</v>
      </c>
      <c r="BH49" s="1" t="s">
        <v>121</v>
      </c>
      <c r="BI49" s="1" t="s">
        <v>121</v>
      </c>
      <c r="BJ49" s="1" t="s">
        <v>121</v>
      </c>
      <c r="BK49" s="1" t="s">
        <v>121</v>
      </c>
      <c r="BL49" s="1" t="s">
        <v>121</v>
      </c>
      <c r="BM49" s="1" t="s">
        <v>121</v>
      </c>
      <c r="BN49" s="1" t="s">
        <v>121</v>
      </c>
      <c r="BO49" s="1" t="s">
        <v>121</v>
      </c>
      <c r="BP49" s="1" t="s">
        <v>121</v>
      </c>
      <c r="BQ49" s="1" t="s">
        <v>121</v>
      </c>
      <c r="BR49" s="1" t="s">
        <v>121</v>
      </c>
      <c r="BS49" s="1" t="s">
        <v>121</v>
      </c>
      <c r="BT49" s="1" t="s">
        <v>121</v>
      </c>
      <c r="BU49" s="1" t="s">
        <v>121</v>
      </c>
      <c r="BV49" s="1" t="s">
        <v>121</v>
      </c>
      <c r="BW49" s="1" t="s">
        <v>121</v>
      </c>
      <c r="BX49" s="1" t="s">
        <v>121</v>
      </c>
      <c r="BY49" s="1" t="s">
        <v>121</v>
      </c>
      <c r="BZ49" s="1" t="s">
        <v>121</v>
      </c>
      <c r="CA49" s="1" t="s">
        <v>121</v>
      </c>
      <c r="CB49" s="1" t="s">
        <v>121</v>
      </c>
      <c r="CC49" s="1" t="s">
        <v>121</v>
      </c>
      <c r="CD49" s="1" t="s">
        <v>121</v>
      </c>
      <c r="CE49" s="1" t="s">
        <v>121</v>
      </c>
      <c r="CF49" s="1" t="s">
        <v>121</v>
      </c>
      <c r="CG49" s="1" t="s">
        <v>121</v>
      </c>
      <c r="CH49" s="1" t="s">
        <v>121</v>
      </c>
      <c r="CI49" s="1" t="s">
        <v>121</v>
      </c>
      <c r="CJ49" s="1" t="s">
        <v>121</v>
      </c>
      <c r="CK49" s="1" t="s">
        <v>121</v>
      </c>
      <c r="CL49" s="1" t="s">
        <v>121</v>
      </c>
      <c r="CM49" s="1" t="s">
        <v>121</v>
      </c>
      <c r="CN49" s="1" t="s">
        <v>121</v>
      </c>
      <c r="CO49" s="1" t="s">
        <v>121</v>
      </c>
      <c r="CP49" s="1" t="s">
        <v>121</v>
      </c>
      <c r="CQ49" s="1" t="s">
        <v>121</v>
      </c>
      <c r="CR49" s="1" t="s">
        <v>121</v>
      </c>
      <c r="CS49" s="1" t="s">
        <v>121</v>
      </c>
      <c r="CT49" s="1" t="s">
        <v>121</v>
      </c>
      <c r="CU49" s="1" t="s">
        <v>121</v>
      </c>
      <c r="CV49" s="1" t="s">
        <v>121</v>
      </c>
      <c r="CW49" s="1" t="s">
        <v>121</v>
      </c>
      <c r="CX49" s="1" t="s">
        <v>121</v>
      </c>
      <c r="CY49" s="1" t="s">
        <v>121</v>
      </c>
      <c r="CZ49" s="1" t="s">
        <v>121</v>
      </c>
      <c r="DA49" s="1" t="s">
        <v>121</v>
      </c>
      <c r="DB49" s="1" t="s">
        <v>121</v>
      </c>
      <c r="DC49" s="1" t="s">
        <v>121</v>
      </c>
      <c r="DD49" s="1" t="s">
        <v>121</v>
      </c>
      <c r="DE49" s="1" t="s">
        <v>121</v>
      </c>
      <c r="DF49" s="1" t="s">
        <v>121</v>
      </c>
      <c r="DG49" s="1" t="s">
        <v>121</v>
      </c>
      <c r="DH49" s="1" t="s">
        <v>121</v>
      </c>
      <c r="DI49" s="1" t="s">
        <v>121</v>
      </c>
      <c r="DJ49" s="1" t="s">
        <v>121</v>
      </c>
      <c r="DK49" s="1" t="s">
        <v>121</v>
      </c>
      <c r="DL49" s="1" t="s">
        <v>121</v>
      </c>
      <c r="DM49" s="1" t="s">
        <v>121</v>
      </c>
      <c r="DN49" s="1" t="s">
        <v>121</v>
      </c>
      <c r="DO49" s="1" t="s">
        <v>121</v>
      </c>
      <c r="DP49" s="1" t="s">
        <v>121</v>
      </c>
      <c r="DQ49" s="1" t="s">
        <v>121</v>
      </c>
      <c r="DR49" s="1" t="s">
        <v>121</v>
      </c>
      <c r="DS49" s="1" t="s">
        <v>121</v>
      </c>
      <c r="DT49" s="1" t="s">
        <v>121</v>
      </c>
      <c r="DU49" s="1" t="s">
        <v>121</v>
      </c>
      <c r="DV49" s="1" t="s">
        <v>121</v>
      </c>
      <c r="DW49" s="1" t="s">
        <v>121</v>
      </c>
      <c r="DX49" s="1" t="s">
        <v>121</v>
      </c>
      <c r="DY49" s="1" t="s">
        <v>121</v>
      </c>
      <c r="DZ49" s="1" t="s">
        <v>121</v>
      </c>
      <c r="EA49" s="1" t="s">
        <v>121</v>
      </c>
      <c r="EB49" s="1" t="s">
        <v>121</v>
      </c>
      <c r="EC49" s="1" t="s">
        <v>121</v>
      </c>
      <c r="ED49" s="1" t="s">
        <v>121</v>
      </c>
      <c r="EE49" s="1" t="s">
        <v>121</v>
      </c>
      <c r="EF49" s="1" t="s">
        <v>121</v>
      </c>
      <c r="EG49" s="1" t="s">
        <v>121</v>
      </c>
      <c r="EH49" s="1" t="s">
        <v>121</v>
      </c>
      <c r="EI49" s="1" t="s">
        <v>121</v>
      </c>
      <c r="EJ49" s="1" t="s">
        <v>121</v>
      </c>
      <c r="EK49" s="1" t="s">
        <v>121</v>
      </c>
      <c r="EL49" s="1" t="s">
        <v>121</v>
      </c>
      <c r="EM49" s="1" t="s">
        <v>121</v>
      </c>
      <c r="EN49" s="1" t="s">
        <v>121</v>
      </c>
      <c r="EO49" s="1" t="s">
        <v>121</v>
      </c>
      <c r="EP49" s="1" t="s">
        <v>121</v>
      </c>
    </row>
    <row r="50" spans="1:146" x14ac:dyDescent="0.25">
      <c r="A50" s="72">
        <v>50</v>
      </c>
      <c r="B50" s="12" t="s">
        <v>246</v>
      </c>
      <c r="C50" s="138">
        <f>'Income and Expenses structure'!F169</f>
        <v>6.6189718597819719E-2</v>
      </c>
      <c r="D50" s="138">
        <f>'Income and Expenses structure'!G169</f>
        <v>7.233018637398872E-2</v>
      </c>
      <c r="E50" s="138">
        <f>'Income and Expenses structure'!H169</f>
        <v>7.631658359504738E-2</v>
      </c>
      <c r="F50" s="138">
        <f>'Income and Expenses structure'!I169</f>
        <v>7.36003517684133E-2</v>
      </c>
      <c r="G50" s="138">
        <f>'Income and Expenses structure'!J169</f>
        <v>6.8763509680104626E-2</v>
      </c>
      <c r="H50" s="138">
        <f>'Income and Expenses structure'!K169</f>
        <v>6.8949364108668171E-2</v>
      </c>
      <c r="I50" s="138">
        <f>'Income and Expenses structure'!L169</f>
        <v>6.9295130393284735E-2</v>
      </c>
      <c r="J50" s="138">
        <f>'Income and Expenses structure'!M169</f>
        <v>6.7252628980628087E-2</v>
      </c>
      <c r="K50" s="138">
        <f>'Income and Expenses structure'!N169</f>
        <v>5.7633088404655607E-2</v>
      </c>
      <c r="L50" s="138">
        <f>'Income and Expenses structure'!O169</f>
        <v>5.4576437730675609E-2</v>
      </c>
      <c r="M50" s="138">
        <f>'Income and Expenses structure'!P169</f>
        <v>5.6125913319225174E-2</v>
      </c>
      <c r="N50" s="402"/>
      <c r="O50" s="402"/>
      <c r="P50" s="402"/>
      <c r="Q50" s="402"/>
      <c r="R50" s="138">
        <f>'Income and Expenses structure'!U169</f>
        <v>4.2157110454927794E-2</v>
      </c>
      <c r="S50" s="138">
        <f>'Income and Expenses structure'!V169</f>
        <v>3.8828469854305353E-2</v>
      </c>
      <c r="T50" s="138">
        <f>'Income and Expenses structure'!W169</f>
        <v>3.8056415117052295E-2</v>
      </c>
      <c r="U50" s="138">
        <f>'Income and Expenses structure'!X169</f>
        <v>3.8534518789598189E-2</v>
      </c>
      <c r="V50" s="138">
        <f>'Income and Expenses structure'!Y169</f>
        <v>4.2200000000000001E-2</v>
      </c>
      <c r="W50" s="138">
        <f>'Income and Expenses structure'!Z169</f>
        <v>3.7400000000000003E-2</v>
      </c>
      <c r="X50" s="138">
        <f>'Income and Expenses structure'!AA169</f>
        <v>3.9899999999999998E-2</v>
      </c>
      <c r="Y50" s="138">
        <f>'Income and Expenses structure'!AB169</f>
        <v>4.0538711410975439E-2</v>
      </c>
      <c r="Z50" s="138">
        <f>'Income and Expenses structure'!AC169</f>
        <v>4.1531165572022521E-2</v>
      </c>
      <c r="AA50" s="138">
        <f>'Income and Expenses structure'!AD169</f>
        <v>3.9487000000000001E-2</v>
      </c>
      <c r="AB50" s="138">
        <f>'Income and Expenses structure'!AE169</f>
        <v>3.543571024231814E-2</v>
      </c>
      <c r="AC50" s="138">
        <f>'Income and Expenses structure'!AF169</f>
        <v>3.8176583175730756E-2</v>
      </c>
      <c r="AD50" s="138">
        <f>'Income and Expenses structure'!AG169</f>
        <v>4.0537372341958276E-2</v>
      </c>
      <c r="AE50" s="138">
        <f>'Income and Expenses structure'!AH169</f>
        <v>3.8354448530376874E-2</v>
      </c>
      <c r="AF50" s="138">
        <f>'Income and Expenses structure'!AI169</f>
        <v>3.6900000000000002E-2</v>
      </c>
      <c r="AG50" s="138">
        <f>'Income and Expenses structure'!AJ169</f>
        <v>3.5799999999999998E-2</v>
      </c>
      <c r="AH50" s="138">
        <f>'Income and Expenses structure'!AK169</f>
        <v>4.1099999999999998E-2</v>
      </c>
      <c r="AI50" s="138">
        <f>'Income and Expenses structure'!AL169</f>
        <v>3.8300000000000001E-2</v>
      </c>
      <c r="AJ50" s="138">
        <f>'Income and Expenses structure'!AM169</f>
        <v>3.3599999999999998E-2</v>
      </c>
      <c r="AK50" s="138">
        <f>'Income and Expenses structure'!AN169</f>
        <v>3.3399999999999999E-2</v>
      </c>
      <c r="AL50" s="138">
        <f>'Income and Expenses structure'!AO169</f>
        <v>4.3200000000000002E-2</v>
      </c>
      <c r="AM50" s="138">
        <f>'Income and Expenses structure'!AP169</f>
        <v>4.1700000000000001E-2</v>
      </c>
      <c r="AN50" s="138">
        <f>'Income and Expenses structure'!AQ169</f>
        <v>3.8800000000000001E-2</v>
      </c>
      <c r="AO50" s="138">
        <f>'Income and Expenses structure'!AR169</f>
        <v>3.6600000000000001E-2</v>
      </c>
      <c r="AP50" s="138">
        <f>'Income and Expenses structure'!AS169</f>
        <v>3.9E-2</v>
      </c>
      <c r="AQ50" s="138">
        <f>'Income and Expenses structure'!AT169</f>
        <v>3.2300000000000002E-2</v>
      </c>
      <c r="AR50" s="138">
        <f>'Income and Expenses structure'!AU169</f>
        <v>3.3399999999999999E-2</v>
      </c>
      <c r="AS50" s="138">
        <f>'Income and Expenses structure'!AV169</f>
        <v>3.4599999999999999E-2</v>
      </c>
      <c r="AT50" s="138">
        <f>'Income and Expenses structure'!AW169</f>
        <v>4.9099999999999998E-2</v>
      </c>
      <c r="AU50" s="138">
        <f>'Income and Expenses structure'!AX169</f>
        <v>4.2500000000000003E-2</v>
      </c>
      <c r="AV50" s="10">
        <f>'Income and Expenses structure'!AY169</f>
        <v>4.2599999999999999E-2</v>
      </c>
      <c r="AW50" s="10">
        <f>'Income and Expenses structure'!AZ169</f>
        <v>4.1000000000000002E-2</v>
      </c>
      <c r="AX50" s="10">
        <f>'Income and Expenses structure'!BA169</f>
        <v>0.04</v>
      </c>
      <c r="AY50" s="10">
        <f>'Income and Expenses structure'!BB169</f>
        <v>3.7199999999999997E-2</v>
      </c>
      <c r="AZ50" s="10">
        <f>'Income and Expenses structure'!BC169</f>
        <v>3.6299999999999999E-2</v>
      </c>
      <c r="BA50" s="10">
        <f>'Income and Expenses structure'!BD169</f>
        <v>3.5900000000000001E-2</v>
      </c>
      <c r="BB50" s="10">
        <f>'Income and Expenses structure'!BE169</f>
        <v>0.04</v>
      </c>
      <c r="BC50" s="10">
        <f>'Income and Expenses structure'!BF169</f>
        <v>3.7499999999999999E-2</v>
      </c>
      <c r="BD50" s="10">
        <f>'Income and Expenses structure'!BG169</f>
        <v>3.8199999999999998E-2</v>
      </c>
      <c r="BE50" s="10">
        <f>'Income and Expenses structure'!BH169</f>
        <v>3.7499999999999999E-2</v>
      </c>
      <c r="BF50" s="10">
        <f>'Income and Expenses structure'!BI169</f>
        <v>4.3799999999999999E-2</v>
      </c>
      <c r="BG50" s="10">
        <f>'Income and Expenses structure'!BJ169</f>
        <v>4.9799999999999997E-2</v>
      </c>
      <c r="BH50" s="10">
        <f>'Income and Expenses structure'!BK169</f>
        <v>5.21E-2</v>
      </c>
      <c r="BI50" s="1">
        <v>0.05</v>
      </c>
      <c r="BJ50" s="1">
        <v>4.6699999999999998E-2</v>
      </c>
      <c r="BK50" s="1">
        <v>5.0900000000000001E-2</v>
      </c>
      <c r="BL50" s="1">
        <v>5.3800000000000001E-2</v>
      </c>
      <c r="BM50" s="1">
        <v>5.57E-2</v>
      </c>
      <c r="BN50" s="1" t="s">
        <v>121</v>
      </c>
      <c r="BO50" s="1" t="s">
        <v>121</v>
      </c>
      <c r="BP50" s="1" t="s">
        <v>121</v>
      </c>
      <c r="BQ50" s="1" t="s">
        <v>121</v>
      </c>
      <c r="BR50" s="1" t="s">
        <v>121</v>
      </c>
      <c r="BS50" s="1" t="s">
        <v>121</v>
      </c>
      <c r="BT50" s="1" t="s">
        <v>121</v>
      </c>
      <c r="BU50" s="1" t="s">
        <v>121</v>
      </c>
      <c r="BV50" s="1" t="s">
        <v>121</v>
      </c>
      <c r="BW50" s="1" t="s">
        <v>121</v>
      </c>
      <c r="BX50" s="1" t="s">
        <v>121</v>
      </c>
      <c r="BY50" s="1" t="s">
        <v>121</v>
      </c>
      <c r="BZ50" s="1" t="s">
        <v>121</v>
      </c>
      <c r="CA50" s="1" t="s">
        <v>121</v>
      </c>
      <c r="CB50" s="1" t="s">
        <v>121</v>
      </c>
      <c r="CC50" s="1" t="s">
        <v>121</v>
      </c>
      <c r="CD50" s="1" t="s">
        <v>121</v>
      </c>
      <c r="CE50" s="1" t="s">
        <v>121</v>
      </c>
      <c r="CF50" s="1" t="s">
        <v>121</v>
      </c>
      <c r="CG50" s="1" t="s">
        <v>121</v>
      </c>
      <c r="CH50" s="1" t="s">
        <v>121</v>
      </c>
      <c r="CI50" s="1" t="s">
        <v>121</v>
      </c>
      <c r="CJ50" s="1" t="s">
        <v>121</v>
      </c>
      <c r="CK50" s="1" t="s">
        <v>121</v>
      </c>
      <c r="CL50" s="1" t="s">
        <v>121</v>
      </c>
      <c r="CM50" s="1" t="s">
        <v>121</v>
      </c>
      <c r="CN50" s="1" t="s">
        <v>121</v>
      </c>
      <c r="CO50" s="1" t="s">
        <v>121</v>
      </c>
      <c r="CP50" s="1" t="s">
        <v>121</v>
      </c>
      <c r="CQ50" s="1" t="s">
        <v>121</v>
      </c>
      <c r="CR50" s="1" t="s">
        <v>121</v>
      </c>
      <c r="CS50" s="1" t="s">
        <v>121</v>
      </c>
      <c r="CT50" s="1" t="s">
        <v>121</v>
      </c>
      <c r="CU50" s="1" t="s">
        <v>121</v>
      </c>
      <c r="CV50" s="1" t="s">
        <v>121</v>
      </c>
      <c r="CW50" s="1" t="s">
        <v>121</v>
      </c>
      <c r="CX50" s="1" t="s">
        <v>121</v>
      </c>
      <c r="CY50" s="1" t="s">
        <v>121</v>
      </c>
      <c r="CZ50" s="1" t="s">
        <v>121</v>
      </c>
      <c r="DA50" s="1" t="s">
        <v>121</v>
      </c>
      <c r="DB50" s="1" t="s">
        <v>121</v>
      </c>
      <c r="DC50" s="1" t="s">
        <v>121</v>
      </c>
      <c r="DD50" s="1" t="s">
        <v>121</v>
      </c>
      <c r="DE50" s="1" t="s">
        <v>121</v>
      </c>
      <c r="DF50" s="1" t="s">
        <v>121</v>
      </c>
      <c r="DG50" s="1" t="s">
        <v>121</v>
      </c>
      <c r="DH50" s="1" t="s">
        <v>121</v>
      </c>
      <c r="DI50" s="1" t="s">
        <v>121</v>
      </c>
      <c r="DJ50" s="1" t="s">
        <v>121</v>
      </c>
      <c r="DK50" s="1" t="s">
        <v>121</v>
      </c>
      <c r="DL50" s="1" t="s">
        <v>121</v>
      </c>
      <c r="DM50" s="1" t="s">
        <v>121</v>
      </c>
      <c r="DN50" s="1" t="s">
        <v>121</v>
      </c>
      <c r="DO50" s="1" t="s">
        <v>121</v>
      </c>
      <c r="DP50" s="1" t="s">
        <v>121</v>
      </c>
      <c r="DQ50" s="1" t="s">
        <v>121</v>
      </c>
      <c r="DR50" s="1" t="s">
        <v>121</v>
      </c>
      <c r="DS50" s="1" t="s">
        <v>121</v>
      </c>
      <c r="DT50" s="1" t="s">
        <v>121</v>
      </c>
      <c r="DU50" s="1" t="s">
        <v>121</v>
      </c>
      <c r="DV50" s="1" t="s">
        <v>121</v>
      </c>
      <c r="DW50" s="1" t="s">
        <v>121</v>
      </c>
      <c r="DX50" s="1" t="s">
        <v>121</v>
      </c>
      <c r="DY50" s="1" t="s">
        <v>121</v>
      </c>
      <c r="DZ50" s="1" t="s">
        <v>121</v>
      </c>
      <c r="EA50" s="1" t="s">
        <v>121</v>
      </c>
      <c r="EB50" s="1" t="s">
        <v>121</v>
      </c>
      <c r="EC50" s="1" t="s">
        <v>121</v>
      </c>
      <c r="ED50" s="1" t="s">
        <v>121</v>
      </c>
      <c r="EE50" s="1" t="s">
        <v>121</v>
      </c>
      <c r="EF50" s="1" t="s">
        <v>121</v>
      </c>
      <c r="EG50" s="1" t="s">
        <v>121</v>
      </c>
      <c r="EH50" s="1" t="s">
        <v>121</v>
      </c>
      <c r="EI50" s="1" t="s">
        <v>121</v>
      </c>
      <c r="EJ50" s="1" t="s">
        <v>121</v>
      </c>
      <c r="EK50" s="1" t="s">
        <v>121</v>
      </c>
      <c r="EL50" s="1" t="s">
        <v>121</v>
      </c>
      <c r="EM50" s="1" t="s">
        <v>121</v>
      </c>
      <c r="EN50" s="1" t="s">
        <v>121</v>
      </c>
      <c r="EO50" s="1" t="s">
        <v>121</v>
      </c>
      <c r="EP50" s="1" t="s">
        <v>121</v>
      </c>
    </row>
    <row r="51" spans="1:146" x14ac:dyDescent="0.25">
      <c r="A51" s="72">
        <v>51</v>
      </c>
      <c r="B51" s="12" t="s">
        <v>247</v>
      </c>
      <c r="C51" s="10">
        <f>'Income and Expenses structure'!F170</f>
        <v>0.2977851376526599</v>
      </c>
      <c r="D51" s="10">
        <f>'Income and Expenses structure'!G170</f>
        <v>0.2599700504413619</v>
      </c>
      <c r="E51" s="10">
        <f>'Income and Expenses structure'!H170</f>
        <v>0.22512408414086504</v>
      </c>
      <c r="F51" s="10">
        <f>'Income and Expenses structure'!I170</f>
        <v>0.3036438796601087</v>
      </c>
      <c r="G51" s="10">
        <f>'Income and Expenses structure'!J170</f>
        <v>0.27727753117734094</v>
      </c>
      <c r="H51" s="10">
        <f>'Income and Expenses structure'!K170</f>
        <v>0.24559827524254402</v>
      </c>
      <c r="I51" s="10">
        <f>'Income and Expenses structure'!L170</f>
        <v>0.26776911356099309</v>
      </c>
      <c r="J51" s="10">
        <f>'Income and Expenses structure'!M170</f>
        <v>0.25933670492122157</v>
      </c>
      <c r="K51" s="10">
        <f>'Income and Expenses structure'!N170</f>
        <v>0.36307745345897496</v>
      </c>
      <c r="L51" s="10">
        <f>'Income and Expenses structure'!O170</f>
        <v>0.37610731460389774</v>
      </c>
      <c r="M51" s="10">
        <f>'Income and Expenses structure'!P170</f>
        <v>0.2891323147881234</v>
      </c>
      <c r="N51" s="402"/>
      <c r="O51" s="402"/>
      <c r="P51" s="402"/>
      <c r="Q51" s="402"/>
      <c r="R51" s="10">
        <f>'Income and Expenses structure'!U170</f>
        <v>0.38528075062307582</v>
      </c>
      <c r="S51" s="10">
        <f>'Income and Expenses structure'!V170</f>
        <v>0.34669876840448188</v>
      </c>
      <c r="T51" s="10">
        <f>'Income and Expenses structure'!W170</f>
        <v>0.33147189441341018</v>
      </c>
      <c r="U51" s="10">
        <f>'Income and Expenses structure'!X170</f>
        <v>0.45567702132265397</v>
      </c>
      <c r="V51" s="10">
        <f>'Income and Expenses structure'!Y170</f>
        <v>0.38191201130085589</v>
      </c>
      <c r="W51" s="10">
        <f>'Income and Expenses structure'!Z170</f>
        <v>0.3644491048788393</v>
      </c>
      <c r="X51" s="10">
        <f>'Income and Expenses structure'!AA170</f>
        <v>0.40801877430422551</v>
      </c>
      <c r="Y51" s="10">
        <f>'Income and Expenses structure'!AB170</f>
        <v>0.50242630291773838</v>
      </c>
      <c r="Z51" s="10">
        <f>'Income and Expenses structure'!AC170</f>
        <v>0.42854196076842493</v>
      </c>
      <c r="AA51" s="10">
        <f>'Income and Expenses structure'!AD170</f>
        <v>0.43843212638481155</v>
      </c>
      <c r="AB51" s="10">
        <f>'Income and Expenses structure'!AE170</f>
        <v>0.42607096190773136</v>
      </c>
      <c r="AC51" s="10">
        <f>'Income and Expenses structure'!AF170</f>
        <v>0.47975213092272506</v>
      </c>
      <c r="AD51" s="10">
        <f>'Income and Expenses structure'!AG170</f>
        <v>0.33968377320887327</v>
      </c>
      <c r="AE51" s="10">
        <f>'Income and Expenses structure'!AH170</f>
        <v>0.40287542605678806</v>
      </c>
      <c r="AF51" s="10">
        <f>'Income and Expenses structure'!AI170</f>
        <v>0.45007493464748694</v>
      </c>
      <c r="AG51" s="10">
        <f>'Income and Expenses structure'!AJ170</f>
        <v>0.35573001064369641</v>
      </c>
      <c r="AH51" s="10">
        <f>'Income and Expenses structure'!AK170</f>
        <v>0.33730251805928896</v>
      </c>
      <c r="AI51" s="10">
        <f>'Income and Expenses structure'!AL170</f>
        <v>0.3627639927244849</v>
      </c>
      <c r="AJ51" s="10">
        <f>'Income and Expenses structure'!AM170</f>
        <v>0.33540031261724212</v>
      </c>
      <c r="AK51" s="10">
        <f>'Income and Expenses structure'!AN170</f>
        <v>0.33628684491850119</v>
      </c>
      <c r="AL51" s="10">
        <f>'Income and Expenses structure'!AO170</f>
        <v>0.3997061360227282</v>
      </c>
      <c r="AM51" s="10">
        <f>'Income and Expenses structure'!AP170</f>
        <v>0.33243536709089699</v>
      </c>
      <c r="AN51" s="10">
        <f>'Income and Expenses structure'!AQ170</f>
        <v>0.33866444257066397</v>
      </c>
      <c r="AO51" s="10">
        <f>'Income and Expenses structure'!AR170</f>
        <v>0.33127891882239008</v>
      </c>
      <c r="AP51" s="10">
        <f>'Income and Expenses structure'!AS170</f>
        <v>0.35439475518419566</v>
      </c>
      <c r="AQ51" s="10">
        <f>'Income and Expenses structure'!AT170</f>
        <v>0.29038475263882785</v>
      </c>
      <c r="AR51" s="10">
        <f>'Income and Expenses structure'!AU170</f>
        <v>0.33844746721171137</v>
      </c>
      <c r="AS51" s="10">
        <f>'Income and Expenses structure'!AV170</f>
        <v>0.33923469686622493</v>
      </c>
      <c r="AT51" s="10">
        <f>'Income and Expenses structure'!AW170</f>
        <v>0.35322029991788978</v>
      </c>
      <c r="AU51" s="10">
        <f>'Income and Expenses structure'!AX170</f>
        <v>0.3579936649141538</v>
      </c>
      <c r="AV51" s="10">
        <f>'Income and Expenses structure'!AY170</f>
        <v>0.38598440905928438</v>
      </c>
      <c r="AW51" s="10">
        <f>'Income and Expenses structure'!AZ170</f>
        <v>0.32231972300077322</v>
      </c>
      <c r="AX51" s="10">
        <f>'Income and Expenses structure'!BA170</f>
        <v>0.35473704947725493</v>
      </c>
      <c r="AY51" s="10">
        <f>'Income and Expenses structure'!BB170</f>
        <v>0.3539466022887075</v>
      </c>
      <c r="AZ51" s="10">
        <f>'Income and Expenses structure'!BC170</f>
        <v>0.35536234435920006</v>
      </c>
      <c r="BA51" s="10">
        <f>'Income and Expenses structure'!BD170</f>
        <v>0.32019711875917323</v>
      </c>
      <c r="BB51" s="10">
        <f>'Income and Expenses structure'!BE170</f>
        <v>0.43030841815838078</v>
      </c>
      <c r="BC51" s="10">
        <f>'Income and Expenses structure'!BF170</f>
        <v>0.35753011060368783</v>
      </c>
      <c r="BD51" s="10">
        <f>'Income and Expenses structure'!BG170</f>
        <v>0.38926137511163172</v>
      </c>
      <c r="BE51" s="10">
        <f>'Income and Expenses structure'!BH170</f>
        <v>0.35965576023606888</v>
      </c>
      <c r="BF51" s="10">
        <f>'Income and Expenses structure'!BI170</f>
        <v>0.39698984570567625</v>
      </c>
      <c r="BG51" s="10">
        <f>'Income and Expenses structure'!BJ170</f>
        <v>0.3463837797686885</v>
      </c>
      <c r="BH51" s="10">
        <f>'Income and Expenses structure'!BK170</f>
        <v>0.30639410147161034</v>
      </c>
      <c r="BI51" s="1">
        <v>0.22286186831335897</v>
      </c>
      <c r="BJ51" s="1">
        <v>0.30076223891841347</v>
      </c>
      <c r="BK51" s="1">
        <v>0.3149918434295782</v>
      </c>
      <c r="BL51" s="1">
        <v>0.2372240204979052</v>
      </c>
      <c r="BM51" s="1">
        <v>0.1594778732558762</v>
      </c>
      <c r="BN51" s="1" t="s">
        <v>121</v>
      </c>
      <c r="BO51" s="1" t="s">
        <v>121</v>
      </c>
      <c r="BP51" s="1" t="s">
        <v>121</v>
      </c>
      <c r="BQ51" s="1" t="s">
        <v>121</v>
      </c>
      <c r="BR51" s="1" t="s">
        <v>121</v>
      </c>
      <c r="BS51" s="1" t="s">
        <v>121</v>
      </c>
      <c r="BT51" s="1" t="s">
        <v>121</v>
      </c>
      <c r="BU51" s="1" t="s">
        <v>121</v>
      </c>
      <c r="BV51" s="1" t="s">
        <v>121</v>
      </c>
      <c r="BW51" s="1" t="s">
        <v>121</v>
      </c>
      <c r="BX51" s="1" t="s">
        <v>121</v>
      </c>
      <c r="BY51" s="1" t="s">
        <v>121</v>
      </c>
      <c r="BZ51" s="1" t="s">
        <v>121</v>
      </c>
      <c r="CA51" s="1" t="s">
        <v>121</v>
      </c>
      <c r="CB51" s="1" t="s">
        <v>121</v>
      </c>
      <c r="CC51" s="1" t="s">
        <v>121</v>
      </c>
      <c r="CD51" s="1" t="s">
        <v>121</v>
      </c>
      <c r="CE51" s="1" t="s">
        <v>121</v>
      </c>
      <c r="CF51" s="1" t="s">
        <v>121</v>
      </c>
      <c r="CG51" s="1" t="s">
        <v>121</v>
      </c>
      <c r="CH51" s="1" t="s">
        <v>121</v>
      </c>
      <c r="CI51" s="1" t="s">
        <v>121</v>
      </c>
      <c r="CJ51" s="1" t="s">
        <v>121</v>
      </c>
      <c r="CK51" s="1" t="s">
        <v>121</v>
      </c>
      <c r="CL51" s="1" t="s">
        <v>121</v>
      </c>
      <c r="CM51" s="1" t="s">
        <v>121</v>
      </c>
      <c r="CN51" s="1" t="s">
        <v>121</v>
      </c>
      <c r="CO51" s="1" t="s">
        <v>121</v>
      </c>
      <c r="CP51" s="1" t="s">
        <v>121</v>
      </c>
      <c r="CQ51" s="1" t="s">
        <v>121</v>
      </c>
      <c r="CR51" s="1" t="s">
        <v>121</v>
      </c>
      <c r="CS51" s="1" t="s">
        <v>121</v>
      </c>
      <c r="CT51" s="1" t="s">
        <v>121</v>
      </c>
      <c r="CU51" s="1" t="s">
        <v>121</v>
      </c>
      <c r="CV51" s="1" t="s">
        <v>121</v>
      </c>
      <c r="CW51" s="1" t="s">
        <v>121</v>
      </c>
      <c r="CX51" s="1" t="s">
        <v>121</v>
      </c>
      <c r="CY51" s="1" t="s">
        <v>121</v>
      </c>
      <c r="CZ51" s="1" t="s">
        <v>121</v>
      </c>
      <c r="DA51" s="1" t="s">
        <v>121</v>
      </c>
      <c r="DB51" s="1" t="s">
        <v>121</v>
      </c>
      <c r="DC51" s="1" t="s">
        <v>121</v>
      </c>
      <c r="DD51" s="1" t="s">
        <v>121</v>
      </c>
      <c r="DE51" s="1" t="s">
        <v>121</v>
      </c>
      <c r="DF51" s="1" t="s">
        <v>121</v>
      </c>
      <c r="DG51" s="1" t="s">
        <v>121</v>
      </c>
      <c r="DH51" s="1" t="s">
        <v>121</v>
      </c>
      <c r="DI51" s="1" t="s">
        <v>121</v>
      </c>
      <c r="DJ51" s="1" t="s">
        <v>121</v>
      </c>
      <c r="DK51" s="1" t="s">
        <v>121</v>
      </c>
      <c r="DL51" s="1" t="s">
        <v>121</v>
      </c>
      <c r="DM51" s="1" t="s">
        <v>121</v>
      </c>
      <c r="DN51" s="1" t="s">
        <v>121</v>
      </c>
      <c r="DO51" s="1" t="s">
        <v>121</v>
      </c>
      <c r="DP51" s="1" t="s">
        <v>121</v>
      </c>
      <c r="DQ51" s="1" t="s">
        <v>121</v>
      </c>
      <c r="DR51" s="1" t="s">
        <v>121</v>
      </c>
      <c r="DS51" s="1" t="s">
        <v>121</v>
      </c>
      <c r="DT51" s="1" t="s">
        <v>121</v>
      </c>
      <c r="DU51" s="1" t="s">
        <v>121</v>
      </c>
      <c r="DV51" s="1" t="s">
        <v>121</v>
      </c>
      <c r="DW51" s="1" t="s">
        <v>121</v>
      </c>
      <c r="DX51" s="1" t="s">
        <v>121</v>
      </c>
      <c r="DY51" s="1" t="s">
        <v>121</v>
      </c>
      <c r="DZ51" s="1" t="s">
        <v>121</v>
      </c>
      <c r="EA51" s="1" t="s">
        <v>121</v>
      </c>
      <c r="EB51" s="1" t="s">
        <v>121</v>
      </c>
      <c r="EC51" s="1" t="s">
        <v>121</v>
      </c>
      <c r="ED51" s="1" t="s">
        <v>121</v>
      </c>
      <c r="EE51" s="1" t="s">
        <v>121</v>
      </c>
      <c r="EF51" s="1" t="s">
        <v>121</v>
      </c>
      <c r="EG51" s="1" t="s">
        <v>121</v>
      </c>
      <c r="EH51" s="1" t="s">
        <v>121</v>
      </c>
      <c r="EI51" s="1" t="s">
        <v>121</v>
      </c>
      <c r="EJ51" s="1" t="s">
        <v>121</v>
      </c>
      <c r="EK51" s="1" t="s">
        <v>121</v>
      </c>
      <c r="EL51" s="1" t="s">
        <v>121</v>
      </c>
      <c r="EM51" s="1" t="s">
        <v>121</v>
      </c>
      <c r="EN51" s="1" t="s">
        <v>121</v>
      </c>
      <c r="EO51" s="1" t="s">
        <v>121</v>
      </c>
      <c r="EP51" s="1" t="s">
        <v>121</v>
      </c>
    </row>
    <row r="52" spans="1:146" x14ac:dyDescent="0.25">
      <c r="A52" s="307">
        <v>52</v>
      </c>
      <c r="B52" s="12" t="s">
        <v>248</v>
      </c>
      <c r="C52" s="10">
        <f>'Income and Expenses structure'!F172</f>
        <v>0.16003208351841577</v>
      </c>
      <c r="D52" s="10">
        <f>'Income and Expenses structure'!G172</f>
        <v>0.17029482524101527</v>
      </c>
      <c r="E52" s="10">
        <f>'Income and Expenses structure'!H172</f>
        <v>0.30099307684933579</v>
      </c>
      <c r="F52" s="10">
        <f>'Income and Expenses structure'!I172</f>
        <v>0.26132719242948593</v>
      </c>
      <c r="G52" s="10">
        <f>'Income and Expenses structure'!J172</f>
        <v>0.27163116082854849</v>
      </c>
      <c r="H52" s="10">
        <f>'Income and Expenses structure'!K172</f>
        <v>0.24231913063983096</v>
      </c>
      <c r="I52" s="10">
        <f>'Income and Expenses structure'!L172</f>
        <v>0.29027721013053653</v>
      </c>
      <c r="J52" s="10">
        <f>'Income and Expenses structure'!M172</f>
        <v>0.24010212097902897</v>
      </c>
      <c r="K52" s="10">
        <f>'Income and Expenses structure'!N172</f>
        <v>0.20253913928717418</v>
      </c>
      <c r="L52" s="10">
        <f>'Income and Expenses structure'!O172</f>
        <v>0.34179496168271961</v>
      </c>
      <c r="M52" s="10">
        <f>'Income and Expenses structure'!P172</f>
        <v>0.38998137296383256</v>
      </c>
      <c r="N52" s="402"/>
      <c r="O52" s="402"/>
      <c r="P52" s="402"/>
      <c r="Q52" s="402"/>
      <c r="R52" s="10">
        <f>'Income and Expenses structure'!U172</f>
        <v>0.26239946194824543</v>
      </c>
      <c r="S52" s="10">
        <f>'Income and Expenses structure'!V172</f>
        <v>0.17102156361486973</v>
      </c>
      <c r="T52" s="10">
        <f>'Income and Expenses structure'!W172</f>
        <v>0.21142057762952721</v>
      </c>
      <c r="U52" s="10">
        <f>'Income and Expenses structure'!X172</f>
        <v>0.10795009738694469</v>
      </c>
      <c r="V52" s="10">
        <f>'Income and Expenses structure'!Y172</f>
        <v>0.20334918983317926</v>
      </c>
      <c r="W52" s="10">
        <f>'Income and Expenses structure'!Z172</f>
        <v>0.12855288930437087</v>
      </c>
      <c r="X52" s="10">
        <f>'Income and Expenses structure'!AA172</f>
        <v>9.8143030332304759E-2</v>
      </c>
      <c r="Y52" s="10">
        <f>'Income and Expenses structure'!AB172</f>
        <v>7.8991798038913222E-2</v>
      </c>
      <c r="Z52" s="10">
        <f>'Income and Expenses structure'!AC172</f>
        <v>0.12057315569696417</v>
      </c>
      <c r="AA52" s="10">
        <f>'Income and Expenses structure'!AD172</f>
        <v>0.10358292142516391</v>
      </c>
      <c r="AB52" s="10">
        <f>'Income and Expenses structure'!AE172</f>
        <v>0.11502538653625884</v>
      </c>
      <c r="AC52" s="10">
        <f>'Income and Expenses structure'!AF172</f>
        <v>6.8539449037305675E-2</v>
      </c>
      <c r="AD52" s="10">
        <f>'Income and Expenses structure'!AG172</f>
        <v>0.13643985416273186</v>
      </c>
      <c r="AE52" s="10">
        <f>'Income and Expenses structure'!AH172</f>
        <v>0.1130535814657674</v>
      </c>
      <c r="AF52" s="10">
        <f>'Income and Expenses structure'!AI172</f>
        <v>0.14315266373188035</v>
      </c>
      <c r="AG52" s="10">
        <f>'Income and Expenses structure'!AJ172</f>
        <v>0.12619020692349037</v>
      </c>
      <c r="AH52" s="10">
        <f>'Income and Expenses structure'!AK172</f>
        <v>0.12004799860524722</v>
      </c>
      <c r="AI52" s="10">
        <f>'Income and Expenses structure'!AL172</f>
        <v>0.12683879978619414</v>
      </c>
      <c r="AJ52" s="10">
        <f>'Income and Expenses structure'!AM172</f>
        <v>0.13639149481591772</v>
      </c>
      <c r="AK52" s="10">
        <f>'Income and Expenses structure'!AN172</f>
        <v>0.11021982040125128</v>
      </c>
      <c r="AL52" s="10">
        <f>'Income and Expenses structure'!AO172</f>
        <v>9.3470737190594982E-2</v>
      </c>
      <c r="AM52" s="10">
        <f>'Income and Expenses structure'!AP172</f>
        <v>8.7732550965639408E-2</v>
      </c>
      <c r="AN52" s="10">
        <f>'Income and Expenses structure'!AQ172</f>
        <v>7.2232937471516684E-2</v>
      </c>
      <c r="AO52" s="10">
        <f>'Income and Expenses structure'!AR172</f>
        <v>8.2663188867368495E-2</v>
      </c>
      <c r="AP52" s="10">
        <f>'Income and Expenses structure'!AS172</f>
        <v>8.2375595673694346E-2</v>
      </c>
      <c r="AQ52" s="10">
        <f>'Income and Expenses structure'!AT172</f>
        <v>0.10232216247940755</v>
      </c>
      <c r="AR52" s="10">
        <f>'Income and Expenses structure'!AU172</f>
        <v>7.6024346153529612E-2</v>
      </c>
      <c r="AS52" s="10">
        <f>'Income and Expenses structure'!AV172</f>
        <v>6.6948566077031799E-2</v>
      </c>
      <c r="AT52" s="10">
        <f>'Income and Expenses structure'!AW172</f>
        <v>8.2497467400823546E-2</v>
      </c>
      <c r="AU52" s="10">
        <f>'Income and Expenses structure'!AX172</f>
        <v>0.11627867184570899</v>
      </c>
      <c r="AV52" s="10">
        <f>'Income and Expenses structure'!AY172</f>
        <v>9.734357644168154E-2</v>
      </c>
      <c r="AW52" s="10">
        <f>'Income and Expenses structure'!AZ172</f>
        <v>0.16837111354000539</v>
      </c>
      <c r="AX52" s="10">
        <f>'Income and Expenses structure'!BA172</f>
        <v>0.12149999079207549</v>
      </c>
      <c r="AY52" s="10">
        <f>'Income and Expenses structure'!BB172</f>
        <v>0.12055212244403213</v>
      </c>
      <c r="AZ52" s="10">
        <f>'Income and Expenses structure'!BC172</f>
        <v>0.11731786238647539</v>
      </c>
      <c r="BA52" s="10">
        <f>'Income and Expenses structure'!BD172</f>
        <v>0.13324495865119565</v>
      </c>
      <c r="BB52" s="10">
        <f>'Income and Expenses structure'!BE172</f>
        <v>6.2956815008417669E-2</v>
      </c>
      <c r="BC52" s="10">
        <f>'Income and Expenses structure'!BF172</f>
        <v>9.1689894011875481E-2</v>
      </c>
      <c r="BD52" s="10">
        <f>'Income and Expenses structure'!BG172</f>
        <v>4.4287570635313564E-2</v>
      </c>
      <c r="BE52" s="10">
        <f>'Income and Expenses structure'!BH172</f>
        <v>4.5372246056526309E-2</v>
      </c>
      <c r="BF52" s="10">
        <f>'Income and Expenses structure'!BI172</f>
        <v>8.8228901363989115E-2</v>
      </c>
      <c r="BG52" s="10">
        <f>'Income and Expenses structure'!BJ172</f>
        <v>0.12175154177710076</v>
      </c>
      <c r="BH52" s="10">
        <f>'Income and Expenses structure'!BK172</f>
        <v>0.21827815219886368</v>
      </c>
      <c r="BI52" s="1">
        <v>0.30925354950918083</v>
      </c>
      <c r="BJ52" s="1">
        <v>0.28350711041188764</v>
      </c>
      <c r="BK52" s="1">
        <v>0.19957066728342163</v>
      </c>
      <c r="BL52" s="1">
        <v>0.14393832676182813</v>
      </c>
      <c r="BM52" s="1">
        <v>7.4734382064823343E-2</v>
      </c>
      <c r="BN52" s="1" t="s">
        <v>121</v>
      </c>
      <c r="BO52" s="1" t="s">
        <v>121</v>
      </c>
      <c r="BP52" s="1" t="s">
        <v>121</v>
      </c>
      <c r="BQ52" s="1" t="s">
        <v>121</v>
      </c>
      <c r="BR52" s="1" t="s">
        <v>121</v>
      </c>
      <c r="BS52" s="1" t="s">
        <v>121</v>
      </c>
      <c r="BT52" s="1" t="s">
        <v>121</v>
      </c>
      <c r="BU52" s="1" t="s">
        <v>121</v>
      </c>
      <c r="BV52" s="1" t="s">
        <v>121</v>
      </c>
      <c r="BW52" s="1" t="s">
        <v>121</v>
      </c>
      <c r="BX52" s="1" t="s">
        <v>121</v>
      </c>
      <c r="BY52" s="1" t="s">
        <v>121</v>
      </c>
      <c r="BZ52" s="1" t="s">
        <v>121</v>
      </c>
      <c r="CA52" s="1" t="s">
        <v>121</v>
      </c>
      <c r="CB52" s="1" t="s">
        <v>121</v>
      </c>
      <c r="CC52" s="1" t="s">
        <v>121</v>
      </c>
      <c r="CD52" s="1" t="s">
        <v>121</v>
      </c>
      <c r="CE52" s="1" t="s">
        <v>121</v>
      </c>
      <c r="CF52" s="1" t="s">
        <v>121</v>
      </c>
      <c r="CG52" s="1" t="s">
        <v>121</v>
      </c>
      <c r="CH52" s="1" t="s">
        <v>121</v>
      </c>
      <c r="CI52" s="1" t="s">
        <v>121</v>
      </c>
      <c r="CJ52" s="1" t="s">
        <v>121</v>
      </c>
      <c r="CK52" s="1" t="s">
        <v>121</v>
      </c>
      <c r="CL52" s="1" t="s">
        <v>121</v>
      </c>
      <c r="CM52" s="1" t="s">
        <v>121</v>
      </c>
      <c r="CN52" s="1" t="s">
        <v>121</v>
      </c>
      <c r="CO52" s="1" t="s">
        <v>121</v>
      </c>
      <c r="CP52" s="1" t="s">
        <v>121</v>
      </c>
      <c r="CQ52" s="1" t="s">
        <v>121</v>
      </c>
      <c r="CR52" s="1" t="s">
        <v>121</v>
      </c>
      <c r="CS52" s="1" t="s">
        <v>121</v>
      </c>
      <c r="CT52" s="1" t="s">
        <v>121</v>
      </c>
      <c r="CU52" s="1" t="s">
        <v>121</v>
      </c>
      <c r="CV52" s="1" t="s">
        <v>121</v>
      </c>
      <c r="CW52" s="1" t="s">
        <v>121</v>
      </c>
      <c r="CX52" s="1" t="s">
        <v>121</v>
      </c>
      <c r="CY52" s="1" t="s">
        <v>121</v>
      </c>
      <c r="CZ52" s="1" t="s">
        <v>121</v>
      </c>
      <c r="DA52" s="1" t="s">
        <v>121</v>
      </c>
      <c r="DB52" s="1" t="s">
        <v>121</v>
      </c>
      <c r="DC52" s="1" t="s">
        <v>121</v>
      </c>
      <c r="DD52" s="1" t="s">
        <v>121</v>
      </c>
      <c r="DE52" s="1" t="s">
        <v>121</v>
      </c>
      <c r="DF52" s="1" t="s">
        <v>121</v>
      </c>
      <c r="DG52" s="1" t="s">
        <v>121</v>
      </c>
      <c r="DH52" s="1" t="s">
        <v>121</v>
      </c>
      <c r="DI52" s="1" t="s">
        <v>121</v>
      </c>
      <c r="DJ52" s="1" t="s">
        <v>121</v>
      </c>
      <c r="DK52" s="1" t="s">
        <v>121</v>
      </c>
      <c r="DL52" s="1" t="s">
        <v>121</v>
      </c>
      <c r="DM52" s="1" t="s">
        <v>121</v>
      </c>
      <c r="DN52" s="1" t="s">
        <v>121</v>
      </c>
      <c r="DO52" s="1" t="s">
        <v>121</v>
      </c>
      <c r="DP52" s="1" t="s">
        <v>121</v>
      </c>
      <c r="DQ52" s="1" t="s">
        <v>121</v>
      </c>
      <c r="DR52" s="1" t="s">
        <v>121</v>
      </c>
      <c r="DS52" s="1" t="s">
        <v>121</v>
      </c>
      <c r="DT52" s="1" t="s">
        <v>121</v>
      </c>
      <c r="DU52" s="1" t="s">
        <v>121</v>
      </c>
      <c r="DV52" s="1" t="s">
        <v>121</v>
      </c>
      <c r="DW52" s="1" t="s">
        <v>121</v>
      </c>
      <c r="DX52" s="1" t="s">
        <v>121</v>
      </c>
      <c r="DY52" s="1" t="s">
        <v>121</v>
      </c>
      <c r="DZ52" s="1" t="s">
        <v>121</v>
      </c>
      <c r="EA52" s="1" t="s">
        <v>121</v>
      </c>
      <c r="EB52" s="1" t="s">
        <v>121</v>
      </c>
      <c r="EC52" s="1" t="s">
        <v>121</v>
      </c>
      <c r="ED52" s="1" t="s">
        <v>121</v>
      </c>
      <c r="EE52" s="1" t="s">
        <v>121</v>
      </c>
      <c r="EF52" s="1" t="s">
        <v>121</v>
      </c>
      <c r="EG52" s="1" t="s">
        <v>121</v>
      </c>
      <c r="EH52" s="1" t="s">
        <v>121</v>
      </c>
      <c r="EI52" s="1" t="s">
        <v>121</v>
      </c>
      <c r="EJ52" s="1" t="s">
        <v>121</v>
      </c>
      <c r="EK52" s="1" t="s">
        <v>121</v>
      </c>
      <c r="EL52" s="1" t="s">
        <v>121</v>
      </c>
      <c r="EM52" s="1" t="s">
        <v>121</v>
      </c>
      <c r="EN52" s="1" t="s">
        <v>121</v>
      </c>
      <c r="EO52" s="1" t="s">
        <v>121</v>
      </c>
      <c r="EP52" s="1" t="s">
        <v>121</v>
      </c>
    </row>
    <row r="53" spans="1:146" x14ac:dyDescent="0.25">
      <c r="A53" s="72">
        <v>53</v>
      </c>
      <c r="B53" s="12" t="s">
        <v>121</v>
      </c>
      <c r="C53" s="12" t="s">
        <v>121</v>
      </c>
      <c r="D53" s="1" t="s">
        <v>121</v>
      </c>
      <c r="E53" s="1" t="s">
        <v>121</v>
      </c>
      <c r="F53" s="1" t="s">
        <v>121</v>
      </c>
      <c r="G53" s="1" t="s">
        <v>121</v>
      </c>
      <c r="H53" s="1" t="s">
        <v>121</v>
      </c>
      <c r="I53" s="1" t="s">
        <v>121</v>
      </c>
      <c r="J53" s="12" t="s">
        <v>121</v>
      </c>
      <c r="K53" s="1" t="s">
        <v>121</v>
      </c>
      <c r="L53" s="1" t="s">
        <v>121</v>
      </c>
      <c r="M53" s="1" t="s">
        <v>121</v>
      </c>
      <c r="N53" s="402"/>
      <c r="O53" s="402"/>
      <c r="P53" s="402"/>
      <c r="Q53" s="402"/>
      <c r="R53" s="1" t="s">
        <v>121</v>
      </c>
      <c r="S53" s="1" t="s">
        <v>121</v>
      </c>
      <c r="T53" s="1" t="s">
        <v>121</v>
      </c>
      <c r="U53" s="1" t="s">
        <v>121</v>
      </c>
      <c r="V53" s="1" t="s">
        <v>121</v>
      </c>
      <c r="W53" s="12" t="s">
        <v>121</v>
      </c>
      <c r="X53" s="12" t="s">
        <v>121</v>
      </c>
      <c r="Y53" s="12" t="s">
        <v>121</v>
      </c>
      <c r="Z53" s="12" t="s">
        <v>121</v>
      </c>
      <c r="AA53" s="12" t="s">
        <v>121</v>
      </c>
      <c r="AB53" s="12" t="s">
        <v>121</v>
      </c>
      <c r="AC53" s="12" t="s">
        <v>121</v>
      </c>
      <c r="AD53" s="12" t="s">
        <v>121</v>
      </c>
      <c r="AE53" s="12" t="s">
        <v>121</v>
      </c>
      <c r="AF53" s="12" t="s">
        <v>121</v>
      </c>
      <c r="AG53" s="12" t="s">
        <v>121</v>
      </c>
      <c r="AH53" s="12" t="s">
        <v>121</v>
      </c>
      <c r="AI53" s="12" t="s">
        <v>121</v>
      </c>
      <c r="AJ53" s="12" t="s">
        <v>121</v>
      </c>
      <c r="AK53" s="12" t="s">
        <v>121</v>
      </c>
      <c r="AL53" s="12" t="s">
        <v>121</v>
      </c>
      <c r="AM53" s="12" t="s">
        <v>121</v>
      </c>
      <c r="AN53" s="12" t="s">
        <v>121</v>
      </c>
      <c r="AO53" s="12" t="s">
        <v>121</v>
      </c>
      <c r="AP53" s="12" t="s">
        <v>121</v>
      </c>
      <c r="AQ53" s="12" t="s">
        <v>121</v>
      </c>
      <c r="AR53" s="12" t="s">
        <v>121</v>
      </c>
      <c r="AS53" s="12" t="s">
        <v>121</v>
      </c>
      <c r="AT53" s="12" t="s">
        <v>121</v>
      </c>
      <c r="AU53" s="12" t="s">
        <v>121</v>
      </c>
      <c r="AV53" s="12" t="s">
        <v>121</v>
      </c>
      <c r="AW53" s="10" t="s">
        <v>121</v>
      </c>
      <c r="AX53" s="10" t="s">
        <v>121</v>
      </c>
      <c r="AY53" s="10" t="s">
        <v>121</v>
      </c>
      <c r="AZ53" s="10" t="s">
        <v>121</v>
      </c>
      <c r="BA53" s="10" t="s">
        <v>121</v>
      </c>
      <c r="BB53" s="10" t="s">
        <v>121</v>
      </c>
      <c r="BC53" s="10" t="s">
        <v>121</v>
      </c>
      <c r="BD53" s="10" t="s">
        <v>121</v>
      </c>
      <c r="BE53" s="10" t="s">
        <v>121</v>
      </c>
      <c r="BF53" s="10" t="s">
        <v>121</v>
      </c>
      <c r="BG53" s="10" t="s">
        <v>121</v>
      </c>
      <c r="BH53" s="1" t="s">
        <v>121</v>
      </c>
      <c r="BI53" s="1" t="s">
        <v>121</v>
      </c>
      <c r="BJ53" s="1" t="s">
        <v>121</v>
      </c>
      <c r="BK53" s="1" t="s">
        <v>121</v>
      </c>
      <c r="BL53" s="1" t="s">
        <v>121</v>
      </c>
      <c r="BM53" s="1" t="s">
        <v>121</v>
      </c>
      <c r="BN53" s="1" t="s">
        <v>121</v>
      </c>
      <c r="BO53" s="1" t="s">
        <v>121</v>
      </c>
      <c r="BP53" s="1" t="s">
        <v>121</v>
      </c>
      <c r="BQ53" s="1" t="s">
        <v>121</v>
      </c>
      <c r="BR53" s="1" t="s">
        <v>121</v>
      </c>
      <c r="BS53" s="1" t="s">
        <v>121</v>
      </c>
      <c r="BT53" s="1" t="s">
        <v>121</v>
      </c>
      <c r="BU53" s="1" t="s">
        <v>121</v>
      </c>
      <c r="BV53" s="1" t="s">
        <v>121</v>
      </c>
      <c r="BW53" s="1" t="s">
        <v>121</v>
      </c>
      <c r="BX53" s="1" t="s">
        <v>121</v>
      </c>
      <c r="BY53" s="1" t="s">
        <v>121</v>
      </c>
      <c r="BZ53" s="1" t="s">
        <v>121</v>
      </c>
      <c r="CA53" s="1" t="s">
        <v>121</v>
      </c>
      <c r="CB53" s="1" t="s">
        <v>121</v>
      </c>
      <c r="CC53" s="1" t="s">
        <v>121</v>
      </c>
      <c r="CD53" s="1" t="s">
        <v>121</v>
      </c>
      <c r="CE53" s="1" t="s">
        <v>121</v>
      </c>
      <c r="CF53" s="1" t="s">
        <v>121</v>
      </c>
      <c r="CG53" s="1" t="s">
        <v>121</v>
      </c>
      <c r="CH53" s="1" t="s">
        <v>121</v>
      </c>
      <c r="CI53" s="1" t="s">
        <v>121</v>
      </c>
      <c r="CJ53" s="1" t="s">
        <v>121</v>
      </c>
      <c r="CK53" s="1" t="s">
        <v>121</v>
      </c>
      <c r="CL53" s="1" t="s">
        <v>121</v>
      </c>
      <c r="CM53" s="1" t="s">
        <v>121</v>
      </c>
      <c r="CN53" s="1" t="s">
        <v>121</v>
      </c>
      <c r="CO53" s="1" t="s">
        <v>121</v>
      </c>
      <c r="CP53" s="1" t="s">
        <v>121</v>
      </c>
      <c r="CQ53" s="1" t="s">
        <v>121</v>
      </c>
      <c r="CR53" s="1" t="s">
        <v>121</v>
      </c>
      <c r="CS53" s="1" t="s">
        <v>121</v>
      </c>
      <c r="CT53" s="1" t="s">
        <v>121</v>
      </c>
      <c r="CU53" s="1" t="s">
        <v>121</v>
      </c>
      <c r="CV53" s="1" t="s">
        <v>121</v>
      </c>
      <c r="CW53" s="1" t="s">
        <v>121</v>
      </c>
      <c r="CX53" s="1" t="s">
        <v>121</v>
      </c>
      <c r="CY53" s="1" t="s">
        <v>121</v>
      </c>
      <c r="CZ53" s="1" t="s">
        <v>121</v>
      </c>
      <c r="DA53" s="1" t="s">
        <v>121</v>
      </c>
      <c r="DB53" s="1" t="s">
        <v>121</v>
      </c>
      <c r="DC53" s="1" t="s">
        <v>121</v>
      </c>
      <c r="DD53" s="1" t="s">
        <v>121</v>
      </c>
      <c r="DE53" s="1" t="s">
        <v>121</v>
      </c>
      <c r="DF53" s="1" t="s">
        <v>121</v>
      </c>
      <c r="DG53" s="1" t="s">
        <v>121</v>
      </c>
      <c r="DH53" s="1" t="s">
        <v>121</v>
      </c>
      <c r="DI53" s="1" t="s">
        <v>121</v>
      </c>
      <c r="DJ53" s="1" t="s">
        <v>121</v>
      </c>
      <c r="DK53" s="1" t="s">
        <v>121</v>
      </c>
      <c r="DL53" s="1" t="s">
        <v>121</v>
      </c>
      <c r="DM53" s="1" t="s">
        <v>121</v>
      </c>
      <c r="DN53" s="1" t="s">
        <v>121</v>
      </c>
      <c r="DO53" s="1" t="s">
        <v>121</v>
      </c>
      <c r="DP53" s="1" t="s">
        <v>121</v>
      </c>
      <c r="DQ53" s="1" t="s">
        <v>121</v>
      </c>
      <c r="DR53" s="1" t="s">
        <v>121</v>
      </c>
      <c r="DS53" s="1" t="s">
        <v>121</v>
      </c>
      <c r="DT53" s="1" t="s">
        <v>121</v>
      </c>
      <c r="DU53" s="1" t="s">
        <v>121</v>
      </c>
      <c r="DV53" s="1" t="s">
        <v>121</v>
      </c>
      <c r="DW53" s="1" t="s">
        <v>121</v>
      </c>
      <c r="DX53" s="1" t="s">
        <v>121</v>
      </c>
      <c r="DY53" s="1" t="s">
        <v>121</v>
      </c>
      <c r="DZ53" s="1" t="s">
        <v>121</v>
      </c>
      <c r="EA53" s="1" t="s">
        <v>121</v>
      </c>
      <c r="EB53" s="1" t="s">
        <v>121</v>
      </c>
      <c r="EC53" s="1" t="s">
        <v>121</v>
      </c>
      <c r="ED53" s="1" t="s">
        <v>121</v>
      </c>
      <c r="EE53" s="1" t="s">
        <v>121</v>
      </c>
      <c r="EF53" s="1" t="s">
        <v>121</v>
      </c>
      <c r="EG53" s="1" t="s">
        <v>121</v>
      </c>
      <c r="EH53" s="1" t="s">
        <v>121</v>
      </c>
      <c r="EI53" s="1" t="s">
        <v>121</v>
      </c>
      <c r="EJ53" s="1" t="s">
        <v>121</v>
      </c>
      <c r="EK53" s="1" t="s">
        <v>121</v>
      </c>
      <c r="EL53" s="1" t="s">
        <v>121</v>
      </c>
      <c r="EM53" s="1" t="s">
        <v>121</v>
      </c>
      <c r="EN53" s="1" t="s">
        <v>121</v>
      </c>
      <c r="EO53" s="1" t="s">
        <v>121</v>
      </c>
      <c r="EP53" s="1" t="s">
        <v>121</v>
      </c>
    </row>
    <row r="54" spans="1:146" x14ac:dyDescent="0.25">
      <c r="A54" s="72">
        <v>54</v>
      </c>
      <c r="B54" s="12" t="s">
        <v>121</v>
      </c>
      <c r="C54" s="12" t="s">
        <v>121</v>
      </c>
      <c r="D54" s="1" t="s">
        <v>121</v>
      </c>
      <c r="E54" s="1" t="s">
        <v>121</v>
      </c>
      <c r="F54" s="1" t="s">
        <v>121</v>
      </c>
      <c r="G54" s="1" t="s">
        <v>121</v>
      </c>
      <c r="H54" s="1" t="s">
        <v>121</v>
      </c>
      <c r="I54" s="1" t="s">
        <v>121</v>
      </c>
      <c r="J54" s="12" t="s">
        <v>121</v>
      </c>
      <c r="K54" s="1" t="s">
        <v>121</v>
      </c>
      <c r="L54" s="1" t="s">
        <v>121</v>
      </c>
      <c r="M54" s="1" t="s">
        <v>121</v>
      </c>
      <c r="N54" s="1" t="s">
        <v>121</v>
      </c>
      <c r="O54" s="1" t="s">
        <v>121</v>
      </c>
      <c r="P54" s="1" t="s">
        <v>121</v>
      </c>
      <c r="Q54" s="1" t="s">
        <v>121</v>
      </c>
      <c r="R54" s="1" t="s">
        <v>121</v>
      </c>
      <c r="S54" s="1" t="s">
        <v>121</v>
      </c>
      <c r="T54" s="1" t="s">
        <v>121</v>
      </c>
      <c r="U54" s="1" t="s">
        <v>121</v>
      </c>
      <c r="V54" s="1" t="s">
        <v>121</v>
      </c>
      <c r="W54" s="12" t="s">
        <v>121</v>
      </c>
      <c r="X54" s="12" t="s">
        <v>121</v>
      </c>
      <c r="Y54" s="12" t="s">
        <v>121</v>
      </c>
      <c r="Z54" s="12" t="s">
        <v>121</v>
      </c>
      <c r="AA54" s="12" t="s">
        <v>121</v>
      </c>
      <c r="AB54" s="12" t="s">
        <v>121</v>
      </c>
      <c r="AC54" s="12" t="s">
        <v>121</v>
      </c>
      <c r="AD54" s="12" t="s">
        <v>121</v>
      </c>
      <c r="AE54" s="12" t="s">
        <v>121</v>
      </c>
      <c r="AF54" s="12" t="s">
        <v>121</v>
      </c>
      <c r="AG54" s="12" t="s">
        <v>121</v>
      </c>
      <c r="AH54" s="12" t="s">
        <v>121</v>
      </c>
      <c r="AI54" s="12" t="s">
        <v>121</v>
      </c>
      <c r="AJ54" s="12" t="s">
        <v>121</v>
      </c>
      <c r="AK54" s="12" t="s">
        <v>121</v>
      </c>
      <c r="AL54" s="12" t="s">
        <v>121</v>
      </c>
      <c r="AM54" s="12" t="s">
        <v>121</v>
      </c>
      <c r="AN54" s="12" t="s">
        <v>121</v>
      </c>
      <c r="AO54" s="12" t="s">
        <v>121</v>
      </c>
      <c r="AP54" s="12" t="s">
        <v>121</v>
      </c>
      <c r="AQ54" s="12" t="s">
        <v>121</v>
      </c>
      <c r="AR54" s="12" t="s">
        <v>121</v>
      </c>
      <c r="AS54" s="12" t="s">
        <v>121</v>
      </c>
      <c r="AT54" s="12" t="s">
        <v>121</v>
      </c>
      <c r="AU54" s="12" t="s">
        <v>121</v>
      </c>
      <c r="AV54" s="12" t="s">
        <v>121</v>
      </c>
      <c r="AW54" s="10" t="s">
        <v>121</v>
      </c>
      <c r="AX54" s="10" t="s">
        <v>121</v>
      </c>
      <c r="AY54" s="10" t="s">
        <v>121</v>
      </c>
      <c r="AZ54" s="10" t="s">
        <v>121</v>
      </c>
      <c r="BA54" s="10" t="s">
        <v>121</v>
      </c>
      <c r="BB54" s="10" t="s">
        <v>121</v>
      </c>
      <c r="BC54" s="10" t="s">
        <v>121</v>
      </c>
      <c r="BD54" s="10" t="s">
        <v>121</v>
      </c>
      <c r="BE54" s="10" t="s">
        <v>121</v>
      </c>
      <c r="BF54" s="10" t="s">
        <v>121</v>
      </c>
      <c r="BG54" s="10" t="s">
        <v>121</v>
      </c>
      <c r="BH54" s="1" t="s">
        <v>121</v>
      </c>
      <c r="BI54" s="1" t="s">
        <v>121</v>
      </c>
      <c r="BJ54" s="1" t="s">
        <v>121</v>
      </c>
      <c r="BK54" s="1" t="s">
        <v>121</v>
      </c>
      <c r="BL54" s="1" t="s">
        <v>121</v>
      </c>
      <c r="BM54" s="1" t="s">
        <v>121</v>
      </c>
      <c r="BN54" s="1" t="s">
        <v>121</v>
      </c>
      <c r="BO54" s="1" t="s">
        <v>121</v>
      </c>
      <c r="BP54" s="1" t="s">
        <v>121</v>
      </c>
      <c r="BQ54" s="1" t="s">
        <v>121</v>
      </c>
      <c r="BR54" s="1" t="s">
        <v>121</v>
      </c>
      <c r="BS54" s="1" t="s">
        <v>121</v>
      </c>
      <c r="BT54" s="1" t="s">
        <v>121</v>
      </c>
      <c r="BU54" s="1" t="s">
        <v>121</v>
      </c>
      <c r="BV54" s="1" t="s">
        <v>121</v>
      </c>
      <c r="BW54" s="1" t="s">
        <v>121</v>
      </c>
      <c r="BX54" s="1" t="s">
        <v>121</v>
      </c>
      <c r="BY54" s="1" t="s">
        <v>121</v>
      </c>
      <c r="BZ54" s="1" t="s">
        <v>121</v>
      </c>
      <c r="CA54" s="1" t="s">
        <v>121</v>
      </c>
      <c r="CB54" s="1" t="s">
        <v>121</v>
      </c>
      <c r="CC54" s="1" t="s">
        <v>121</v>
      </c>
      <c r="CD54" s="1" t="s">
        <v>121</v>
      </c>
      <c r="CE54" s="1" t="s">
        <v>121</v>
      </c>
      <c r="CF54" s="1" t="s">
        <v>121</v>
      </c>
      <c r="CG54" s="1" t="s">
        <v>121</v>
      </c>
      <c r="CH54" s="1" t="s">
        <v>121</v>
      </c>
      <c r="CI54" s="1" t="s">
        <v>121</v>
      </c>
      <c r="CJ54" s="1" t="s">
        <v>121</v>
      </c>
      <c r="CK54" s="1" t="s">
        <v>121</v>
      </c>
      <c r="CL54" s="1" t="s">
        <v>121</v>
      </c>
      <c r="CM54" s="1" t="s">
        <v>121</v>
      </c>
      <c r="CN54" s="1" t="s">
        <v>121</v>
      </c>
      <c r="CO54" s="1" t="s">
        <v>121</v>
      </c>
      <c r="CP54" s="1" t="s">
        <v>121</v>
      </c>
      <c r="CQ54" s="1" t="s">
        <v>121</v>
      </c>
      <c r="CR54" s="1" t="s">
        <v>121</v>
      </c>
      <c r="CS54" s="1" t="s">
        <v>121</v>
      </c>
      <c r="CT54" s="1" t="s">
        <v>121</v>
      </c>
      <c r="CU54" s="1" t="s">
        <v>121</v>
      </c>
      <c r="CV54" s="1" t="s">
        <v>121</v>
      </c>
      <c r="CW54" s="1" t="s">
        <v>121</v>
      </c>
      <c r="CX54" s="1" t="s">
        <v>121</v>
      </c>
      <c r="CY54" s="1" t="s">
        <v>121</v>
      </c>
      <c r="CZ54" s="1" t="s">
        <v>121</v>
      </c>
      <c r="DA54" s="1" t="s">
        <v>121</v>
      </c>
      <c r="DB54" s="1" t="s">
        <v>121</v>
      </c>
      <c r="DC54" s="1" t="s">
        <v>121</v>
      </c>
      <c r="DD54" s="1" t="s">
        <v>121</v>
      </c>
      <c r="DE54" s="1" t="s">
        <v>121</v>
      </c>
      <c r="DF54" s="1" t="s">
        <v>121</v>
      </c>
      <c r="DG54" s="1" t="s">
        <v>121</v>
      </c>
      <c r="DH54" s="1" t="s">
        <v>121</v>
      </c>
      <c r="DI54" s="1" t="s">
        <v>121</v>
      </c>
      <c r="DJ54" s="1" t="s">
        <v>121</v>
      </c>
      <c r="DK54" s="1" t="s">
        <v>121</v>
      </c>
      <c r="DL54" s="1" t="s">
        <v>121</v>
      </c>
      <c r="DM54" s="1" t="s">
        <v>121</v>
      </c>
      <c r="DN54" s="1" t="s">
        <v>121</v>
      </c>
      <c r="DO54" s="1" t="s">
        <v>121</v>
      </c>
      <c r="DP54" s="1" t="s">
        <v>121</v>
      </c>
      <c r="DQ54" s="1" t="s">
        <v>121</v>
      </c>
      <c r="DR54" s="1" t="s">
        <v>121</v>
      </c>
      <c r="DS54" s="1" t="s">
        <v>121</v>
      </c>
      <c r="DT54" s="1" t="s">
        <v>121</v>
      </c>
      <c r="DU54" s="1" t="s">
        <v>121</v>
      </c>
      <c r="DV54" s="1" t="s">
        <v>121</v>
      </c>
      <c r="DW54" s="1" t="s">
        <v>121</v>
      </c>
      <c r="DX54" s="1" t="s">
        <v>121</v>
      </c>
      <c r="DY54" s="1" t="s">
        <v>121</v>
      </c>
      <c r="DZ54" s="1" t="s">
        <v>121</v>
      </c>
      <c r="EA54" s="1" t="s">
        <v>121</v>
      </c>
      <c r="EB54" s="1" t="s">
        <v>121</v>
      </c>
      <c r="EC54" s="1" t="s">
        <v>121</v>
      </c>
      <c r="ED54" s="1" t="s">
        <v>121</v>
      </c>
      <c r="EE54" s="1" t="s">
        <v>121</v>
      </c>
      <c r="EF54" s="1" t="s">
        <v>121</v>
      </c>
      <c r="EG54" s="1" t="s">
        <v>121</v>
      </c>
      <c r="EH54" s="1" t="s">
        <v>121</v>
      </c>
      <c r="EI54" s="1" t="s">
        <v>121</v>
      </c>
      <c r="EJ54" s="1" t="s">
        <v>121</v>
      </c>
      <c r="EK54" s="1" t="s">
        <v>121</v>
      </c>
      <c r="EL54" s="1" t="s">
        <v>121</v>
      </c>
      <c r="EM54" s="1" t="s">
        <v>121</v>
      </c>
      <c r="EN54" s="1" t="s">
        <v>121</v>
      </c>
      <c r="EO54" s="1" t="s">
        <v>121</v>
      </c>
      <c r="EP54" s="1" t="s">
        <v>121</v>
      </c>
    </row>
    <row r="55" spans="1:146" x14ac:dyDescent="0.25">
      <c r="A55" s="307">
        <v>55</v>
      </c>
      <c r="B55" s="12" t="s">
        <v>121</v>
      </c>
      <c r="C55" s="12" t="s">
        <v>121</v>
      </c>
      <c r="D55" s="1" t="s">
        <v>121</v>
      </c>
      <c r="E55" s="1" t="s">
        <v>121</v>
      </c>
      <c r="F55" s="1" t="s">
        <v>121</v>
      </c>
      <c r="G55" s="1" t="s">
        <v>121</v>
      </c>
      <c r="H55" s="1" t="s">
        <v>121</v>
      </c>
      <c r="I55" s="1" t="s">
        <v>121</v>
      </c>
      <c r="J55" s="12" t="s">
        <v>121</v>
      </c>
      <c r="K55" s="1" t="s">
        <v>121</v>
      </c>
      <c r="L55" s="1" t="s">
        <v>121</v>
      </c>
      <c r="M55" s="1" t="s">
        <v>121</v>
      </c>
      <c r="N55" s="1" t="s">
        <v>121</v>
      </c>
      <c r="O55" s="1" t="s">
        <v>121</v>
      </c>
      <c r="P55" s="1" t="s">
        <v>121</v>
      </c>
      <c r="Q55" s="1" t="s">
        <v>121</v>
      </c>
      <c r="R55" s="1" t="s">
        <v>121</v>
      </c>
      <c r="S55" s="1" t="s">
        <v>121</v>
      </c>
      <c r="T55" s="1" t="s">
        <v>121</v>
      </c>
      <c r="U55" s="1" t="s">
        <v>121</v>
      </c>
      <c r="V55" s="1" t="s">
        <v>121</v>
      </c>
      <c r="W55" s="12" t="s">
        <v>121</v>
      </c>
      <c r="X55" s="12" t="s">
        <v>121</v>
      </c>
      <c r="Y55" s="12" t="s">
        <v>121</v>
      </c>
      <c r="Z55" s="12" t="s">
        <v>121</v>
      </c>
      <c r="AA55" s="12" t="s">
        <v>121</v>
      </c>
      <c r="AB55" s="12" t="s">
        <v>121</v>
      </c>
      <c r="AC55" s="12" t="s">
        <v>121</v>
      </c>
      <c r="AD55" s="12" t="s">
        <v>121</v>
      </c>
      <c r="AE55" s="12" t="s">
        <v>121</v>
      </c>
      <c r="AF55" s="12" t="s">
        <v>121</v>
      </c>
      <c r="AG55" s="12" t="s">
        <v>121</v>
      </c>
      <c r="AH55" s="12" t="s">
        <v>121</v>
      </c>
      <c r="AI55" s="12" t="s">
        <v>121</v>
      </c>
      <c r="AJ55" s="12" t="s">
        <v>121</v>
      </c>
      <c r="AK55" s="12" t="s">
        <v>121</v>
      </c>
      <c r="AL55" s="12" t="s">
        <v>121</v>
      </c>
      <c r="AM55" s="12" t="s">
        <v>121</v>
      </c>
      <c r="AN55" s="12" t="s">
        <v>121</v>
      </c>
      <c r="AO55" s="12" t="s">
        <v>121</v>
      </c>
      <c r="AP55" s="12" t="s">
        <v>121</v>
      </c>
      <c r="AQ55" s="12" t="s">
        <v>121</v>
      </c>
      <c r="AR55" s="12" t="s">
        <v>121</v>
      </c>
      <c r="AS55" s="12" t="s">
        <v>121</v>
      </c>
      <c r="AT55" s="12" t="s">
        <v>121</v>
      </c>
      <c r="AU55" s="12" t="s">
        <v>121</v>
      </c>
      <c r="AV55" s="12" t="s">
        <v>121</v>
      </c>
      <c r="AW55" s="10" t="s">
        <v>121</v>
      </c>
      <c r="AX55" s="10" t="s">
        <v>121</v>
      </c>
      <c r="AY55" s="10" t="s">
        <v>121</v>
      </c>
      <c r="AZ55" s="10" t="s">
        <v>121</v>
      </c>
      <c r="BA55" s="10" t="s">
        <v>121</v>
      </c>
      <c r="BB55" s="10" t="s">
        <v>121</v>
      </c>
      <c r="BC55" s="10" t="s">
        <v>121</v>
      </c>
      <c r="BD55" s="10" t="s">
        <v>121</v>
      </c>
      <c r="BE55" s="10" t="s">
        <v>121</v>
      </c>
      <c r="BF55" s="10" t="s">
        <v>121</v>
      </c>
      <c r="BG55" s="10" t="s">
        <v>121</v>
      </c>
      <c r="BH55" s="1" t="s">
        <v>121</v>
      </c>
      <c r="BI55" s="1" t="s">
        <v>121</v>
      </c>
      <c r="BJ55" s="1" t="s">
        <v>121</v>
      </c>
      <c r="BK55" s="1" t="s">
        <v>121</v>
      </c>
      <c r="BL55" s="1" t="s">
        <v>121</v>
      </c>
      <c r="BM55" s="1" t="s">
        <v>121</v>
      </c>
      <c r="BN55" s="1" t="s">
        <v>121</v>
      </c>
      <c r="BO55" s="1" t="s">
        <v>121</v>
      </c>
      <c r="BP55" s="1" t="s">
        <v>121</v>
      </c>
      <c r="BQ55" s="1" t="s">
        <v>121</v>
      </c>
      <c r="BR55" s="1" t="s">
        <v>121</v>
      </c>
      <c r="BS55" s="1" t="s">
        <v>121</v>
      </c>
      <c r="BT55" s="1" t="s">
        <v>121</v>
      </c>
      <c r="BU55" s="1" t="s">
        <v>121</v>
      </c>
      <c r="BV55" s="1" t="s">
        <v>121</v>
      </c>
      <c r="BW55" s="1" t="s">
        <v>121</v>
      </c>
      <c r="BX55" s="1" t="s">
        <v>121</v>
      </c>
      <c r="BY55" s="1" t="s">
        <v>121</v>
      </c>
      <c r="BZ55" s="1" t="s">
        <v>121</v>
      </c>
      <c r="CA55" s="1" t="s">
        <v>121</v>
      </c>
      <c r="CB55" s="1" t="s">
        <v>121</v>
      </c>
      <c r="CC55" s="1" t="s">
        <v>121</v>
      </c>
      <c r="CD55" s="1" t="s">
        <v>121</v>
      </c>
      <c r="CE55" s="1" t="s">
        <v>121</v>
      </c>
      <c r="CF55" s="1" t="s">
        <v>121</v>
      </c>
      <c r="CG55" s="1" t="s">
        <v>121</v>
      </c>
      <c r="CH55" s="1" t="s">
        <v>121</v>
      </c>
      <c r="CI55" s="1" t="s">
        <v>121</v>
      </c>
      <c r="CJ55" s="1" t="s">
        <v>121</v>
      </c>
      <c r="CK55" s="1" t="s">
        <v>121</v>
      </c>
      <c r="CL55" s="1" t="s">
        <v>121</v>
      </c>
      <c r="CM55" s="1" t="s">
        <v>121</v>
      </c>
      <c r="CN55" s="1" t="s">
        <v>121</v>
      </c>
      <c r="CO55" s="1" t="s">
        <v>121</v>
      </c>
      <c r="CP55" s="1" t="s">
        <v>121</v>
      </c>
      <c r="CQ55" s="1" t="s">
        <v>121</v>
      </c>
      <c r="CR55" s="1" t="s">
        <v>121</v>
      </c>
      <c r="CS55" s="1" t="s">
        <v>121</v>
      </c>
      <c r="CT55" s="1" t="s">
        <v>121</v>
      </c>
      <c r="CU55" s="1" t="s">
        <v>121</v>
      </c>
      <c r="CV55" s="1" t="s">
        <v>121</v>
      </c>
      <c r="CW55" s="1" t="s">
        <v>121</v>
      </c>
      <c r="CX55" s="1" t="s">
        <v>121</v>
      </c>
      <c r="CY55" s="1" t="s">
        <v>121</v>
      </c>
      <c r="CZ55" s="1" t="s">
        <v>121</v>
      </c>
      <c r="DA55" s="1" t="s">
        <v>121</v>
      </c>
      <c r="DB55" s="1" t="s">
        <v>121</v>
      </c>
      <c r="DC55" s="1" t="s">
        <v>121</v>
      </c>
      <c r="DD55" s="1" t="s">
        <v>121</v>
      </c>
      <c r="DE55" s="1" t="s">
        <v>121</v>
      </c>
      <c r="DF55" s="1" t="s">
        <v>121</v>
      </c>
      <c r="DG55" s="1" t="s">
        <v>121</v>
      </c>
      <c r="DH55" s="1" t="s">
        <v>121</v>
      </c>
      <c r="DI55" s="1" t="s">
        <v>121</v>
      </c>
      <c r="DJ55" s="1" t="s">
        <v>121</v>
      </c>
      <c r="DK55" s="1" t="s">
        <v>121</v>
      </c>
      <c r="DL55" s="1" t="s">
        <v>121</v>
      </c>
      <c r="DM55" s="1" t="s">
        <v>121</v>
      </c>
      <c r="DN55" s="1" t="s">
        <v>121</v>
      </c>
      <c r="DO55" s="1" t="s">
        <v>121</v>
      </c>
      <c r="DP55" s="1" t="s">
        <v>121</v>
      </c>
      <c r="DQ55" s="1" t="s">
        <v>121</v>
      </c>
      <c r="DR55" s="1" t="s">
        <v>121</v>
      </c>
      <c r="DS55" s="1" t="s">
        <v>121</v>
      </c>
      <c r="DT55" s="1" t="s">
        <v>121</v>
      </c>
      <c r="DU55" s="1" t="s">
        <v>121</v>
      </c>
      <c r="DV55" s="1" t="s">
        <v>121</v>
      </c>
      <c r="DW55" s="1" t="s">
        <v>121</v>
      </c>
      <c r="DX55" s="1" t="s">
        <v>121</v>
      </c>
      <c r="DY55" s="1" t="s">
        <v>121</v>
      </c>
      <c r="DZ55" s="1" t="s">
        <v>121</v>
      </c>
      <c r="EA55" s="1" t="s">
        <v>121</v>
      </c>
      <c r="EB55" s="1" t="s">
        <v>121</v>
      </c>
      <c r="EC55" s="1" t="s">
        <v>121</v>
      </c>
      <c r="ED55" s="1" t="s">
        <v>121</v>
      </c>
      <c r="EE55" s="1" t="s">
        <v>121</v>
      </c>
      <c r="EF55" s="1" t="s">
        <v>121</v>
      </c>
      <c r="EG55" s="1" t="s">
        <v>121</v>
      </c>
      <c r="EH55" s="1" t="s">
        <v>121</v>
      </c>
      <c r="EI55" s="1" t="s">
        <v>121</v>
      </c>
      <c r="EJ55" s="1" t="s">
        <v>121</v>
      </c>
      <c r="EK55" s="1" t="s">
        <v>121</v>
      </c>
      <c r="EL55" s="1" t="s">
        <v>121</v>
      </c>
      <c r="EM55" s="1" t="s">
        <v>121</v>
      </c>
      <c r="EN55" s="1" t="s">
        <v>121</v>
      </c>
      <c r="EO55" s="1" t="s">
        <v>121</v>
      </c>
      <c r="EP55" s="1" t="s">
        <v>121</v>
      </c>
    </row>
    <row r="56" spans="1:146" x14ac:dyDescent="0.25">
      <c r="A56" s="72">
        <v>56</v>
      </c>
      <c r="B56" s="426" t="s">
        <v>249</v>
      </c>
      <c r="C56" s="416">
        <v>45930</v>
      </c>
      <c r="D56" s="416">
        <v>45838</v>
      </c>
      <c r="E56" s="416">
        <v>45747</v>
      </c>
      <c r="F56" s="416">
        <v>45657</v>
      </c>
      <c r="G56" s="416">
        <v>45565</v>
      </c>
      <c r="H56" s="416">
        <v>45473</v>
      </c>
      <c r="I56" s="416">
        <v>45382</v>
      </c>
      <c r="J56" s="416">
        <v>45291</v>
      </c>
      <c r="K56" s="416">
        <v>45199</v>
      </c>
      <c r="L56" s="416">
        <v>45107</v>
      </c>
      <c r="M56" s="416">
        <v>45016</v>
      </c>
      <c r="N56" s="416">
        <v>44926</v>
      </c>
      <c r="O56" s="416">
        <v>44834</v>
      </c>
      <c r="P56" s="416">
        <v>44742</v>
      </c>
      <c r="Q56" s="416">
        <v>44651</v>
      </c>
      <c r="R56" s="416">
        <v>44561</v>
      </c>
      <c r="S56" s="416">
        <v>44469</v>
      </c>
      <c r="T56" s="416">
        <v>44377</v>
      </c>
      <c r="U56" s="416">
        <v>44286</v>
      </c>
      <c r="V56" s="416">
        <v>44196</v>
      </c>
      <c r="W56" s="416">
        <v>44104</v>
      </c>
      <c r="X56" s="416">
        <v>44012</v>
      </c>
      <c r="Y56" s="416">
        <v>43921</v>
      </c>
      <c r="Z56" s="416">
        <v>43830</v>
      </c>
      <c r="AA56" s="416">
        <v>43738</v>
      </c>
      <c r="AB56" s="416">
        <v>43646</v>
      </c>
      <c r="AC56" s="416">
        <v>43555</v>
      </c>
      <c r="AD56" s="416">
        <v>43465</v>
      </c>
      <c r="AE56" s="416">
        <v>43373</v>
      </c>
      <c r="AF56" s="416">
        <v>43281</v>
      </c>
      <c r="AG56" s="416">
        <v>43190</v>
      </c>
      <c r="AH56" s="416">
        <v>43100</v>
      </c>
      <c r="AI56" s="416">
        <v>43008</v>
      </c>
      <c r="AJ56" s="416">
        <v>42916</v>
      </c>
      <c r="AK56" s="416">
        <v>42825</v>
      </c>
      <c r="AL56" s="416">
        <v>42735</v>
      </c>
      <c r="AM56" s="416">
        <v>42643</v>
      </c>
      <c r="AN56" s="416">
        <v>42551</v>
      </c>
      <c r="AO56" s="416">
        <v>42460</v>
      </c>
      <c r="AP56" s="416">
        <v>42369</v>
      </c>
      <c r="AQ56" s="416">
        <v>42277</v>
      </c>
      <c r="AR56" s="416">
        <v>42185</v>
      </c>
      <c r="AS56" s="416">
        <v>42094</v>
      </c>
      <c r="AT56" s="416">
        <v>42004</v>
      </c>
      <c r="AU56" s="416">
        <v>41912</v>
      </c>
      <c r="AV56" s="416">
        <v>41820</v>
      </c>
      <c r="AW56" s="416">
        <v>41729</v>
      </c>
      <c r="AX56" s="416">
        <v>41639</v>
      </c>
      <c r="AY56" s="416">
        <v>41547</v>
      </c>
      <c r="AZ56" s="416">
        <v>41455</v>
      </c>
      <c r="BA56" s="416">
        <v>41364</v>
      </c>
      <c r="BB56" s="416">
        <v>41274</v>
      </c>
      <c r="BC56" s="416">
        <v>41182</v>
      </c>
      <c r="BD56" s="416">
        <v>41090</v>
      </c>
      <c r="BE56" s="416">
        <v>40999</v>
      </c>
      <c r="BF56" s="416">
        <v>40908</v>
      </c>
      <c r="BG56" s="416">
        <v>40816</v>
      </c>
      <c r="BH56" s="416">
        <v>40724</v>
      </c>
      <c r="BI56" s="416">
        <v>40633</v>
      </c>
      <c r="BJ56" s="416">
        <v>40543</v>
      </c>
      <c r="BK56" s="416">
        <v>40451</v>
      </c>
      <c r="BL56" s="1">
        <v>40359</v>
      </c>
      <c r="BM56" s="1">
        <v>40268</v>
      </c>
      <c r="BN56" s="1">
        <v>40178</v>
      </c>
      <c r="BO56" s="1" t="s">
        <v>121</v>
      </c>
      <c r="BP56" s="1" t="s">
        <v>121</v>
      </c>
      <c r="BQ56" s="1" t="s">
        <v>121</v>
      </c>
      <c r="BR56" s="1" t="s">
        <v>121</v>
      </c>
      <c r="BS56" s="1" t="s">
        <v>121</v>
      </c>
      <c r="BT56" s="1" t="s">
        <v>121</v>
      </c>
      <c r="BU56" s="1" t="s">
        <v>121</v>
      </c>
      <c r="BV56" s="1" t="s">
        <v>121</v>
      </c>
      <c r="BW56" s="1" t="s">
        <v>121</v>
      </c>
      <c r="BX56" s="1" t="s">
        <v>121</v>
      </c>
      <c r="BY56" s="1" t="s">
        <v>121</v>
      </c>
      <c r="BZ56" s="1" t="s">
        <v>121</v>
      </c>
      <c r="CA56" s="1" t="s">
        <v>121</v>
      </c>
      <c r="CB56" s="1" t="s">
        <v>121</v>
      </c>
      <c r="CC56" s="1" t="s">
        <v>121</v>
      </c>
      <c r="CD56" s="1" t="s">
        <v>121</v>
      </c>
      <c r="CE56" s="1" t="s">
        <v>121</v>
      </c>
      <c r="CF56" s="1" t="s">
        <v>121</v>
      </c>
      <c r="CG56" s="1" t="s">
        <v>121</v>
      </c>
      <c r="CH56" s="1" t="s">
        <v>121</v>
      </c>
      <c r="CI56" s="1" t="s">
        <v>121</v>
      </c>
      <c r="CJ56" s="1" t="s">
        <v>121</v>
      </c>
      <c r="CK56" s="1" t="s">
        <v>121</v>
      </c>
      <c r="CL56" s="1" t="s">
        <v>121</v>
      </c>
      <c r="CM56" s="1" t="s">
        <v>121</v>
      </c>
      <c r="CN56" s="1" t="s">
        <v>121</v>
      </c>
      <c r="CO56" s="1" t="s">
        <v>121</v>
      </c>
      <c r="CP56" s="1" t="s">
        <v>121</v>
      </c>
      <c r="CQ56" s="1" t="s">
        <v>121</v>
      </c>
      <c r="CR56" s="1" t="s">
        <v>121</v>
      </c>
      <c r="CS56" s="1" t="s">
        <v>121</v>
      </c>
      <c r="CT56" s="1" t="s">
        <v>121</v>
      </c>
      <c r="CU56" s="1" t="s">
        <v>121</v>
      </c>
      <c r="CV56" s="1" t="s">
        <v>121</v>
      </c>
      <c r="CW56" s="1" t="s">
        <v>121</v>
      </c>
      <c r="CX56" s="1" t="s">
        <v>121</v>
      </c>
      <c r="CY56" s="1" t="s">
        <v>121</v>
      </c>
      <c r="CZ56" s="1" t="s">
        <v>121</v>
      </c>
      <c r="DA56" s="1" t="s">
        <v>121</v>
      </c>
      <c r="DB56" s="1" t="s">
        <v>121</v>
      </c>
      <c r="DC56" s="1" t="s">
        <v>121</v>
      </c>
      <c r="DD56" s="1" t="s">
        <v>121</v>
      </c>
      <c r="DE56" s="1" t="s">
        <v>121</v>
      </c>
      <c r="DF56" s="1" t="s">
        <v>121</v>
      </c>
      <c r="DG56" s="1" t="s">
        <v>121</v>
      </c>
      <c r="DH56" s="1" t="s">
        <v>121</v>
      </c>
      <c r="DI56" s="1" t="s">
        <v>121</v>
      </c>
      <c r="DJ56" s="1" t="s">
        <v>121</v>
      </c>
      <c r="DK56" s="1" t="s">
        <v>121</v>
      </c>
      <c r="DL56" s="1" t="s">
        <v>121</v>
      </c>
      <c r="DM56" s="1" t="s">
        <v>121</v>
      </c>
      <c r="DN56" s="1" t="s">
        <v>121</v>
      </c>
      <c r="DO56" s="1" t="s">
        <v>121</v>
      </c>
      <c r="DP56" s="1" t="s">
        <v>121</v>
      </c>
      <c r="DQ56" s="1" t="s">
        <v>121</v>
      </c>
      <c r="DR56" s="1" t="s">
        <v>121</v>
      </c>
      <c r="DS56" s="1" t="s">
        <v>121</v>
      </c>
      <c r="DT56" s="1" t="s">
        <v>121</v>
      </c>
      <c r="DU56" s="1" t="s">
        <v>121</v>
      </c>
      <c r="DV56" s="1" t="s">
        <v>121</v>
      </c>
      <c r="DW56" s="1" t="s">
        <v>121</v>
      </c>
      <c r="DX56" s="1" t="s">
        <v>121</v>
      </c>
      <c r="DY56" s="1" t="s">
        <v>121</v>
      </c>
      <c r="DZ56" s="1" t="s">
        <v>121</v>
      </c>
      <c r="EA56" s="1" t="s">
        <v>121</v>
      </c>
      <c r="EB56" s="1" t="s">
        <v>121</v>
      </c>
      <c r="EC56" s="1" t="s">
        <v>121</v>
      </c>
      <c r="ED56" s="1" t="s">
        <v>121</v>
      </c>
      <c r="EE56" s="1" t="s">
        <v>121</v>
      </c>
      <c r="EF56" s="1" t="s">
        <v>121</v>
      </c>
      <c r="EG56" s="1" t="s">
        <v>121</v>
      </c>
      <c r="EH56" s="1" t="s">
        <v>121</v>
      </c>
      <c r="EI56" s="1" t="s">
        <v>121</v>
      </c>
      <c r="EJ56" s="1" t="s">
        <v>121</v>
      </c>
      <c r="EK56" s="1" t="s">
        <v>121</v>
      </c>
      <c r="EL56" s="1" t="s">
        <v>121</v>
      </c>
      <c r="EM56" s="1" t="s">
        <v>121</v>
      </c>
      <c r="EN56" s="1" t="s">
        <v>121</v>
      </c>
      <c r="EO56" s="1" t="s">
        <v>121</v>
      </c>
      <c r="EP56" s="1" t="s">
        <v>121</v>
      </c>
    </row>
    <row r="57" spans="1:146" x14ac:dyDescent="0.25">
      <c r="A57" s="72">
        <v>57</v>
      </c>
      <c r="B57" s="427"/>
      <c r="C57" s="417"/>
      <c r="D57" s="417"/>
      <c r="E57" s="417"/>
      <c r="F57" s="417"/>
      <c r="G57" s="417"/>
      <c r="H57" s="417"/>
      <c r="I57" s="417"/>
      <c r="J57" s="418"/>
      <c r="K57" s="418"/>
      <c r="L57" s="418"/>
      <c r="M57" s="417"/>
      <c r="N57" s="417"/>
      <c r="O57" s="418"/>
      <c r="P57" s="418"/>
      <c r="Q57" s="417"/>
      <c r="R57" s="418"/>
      <c r="S57" s="418"/>
      <c r="T57" s="418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8"/>
      <c r="AF57" s="418"/>
      <c r="AG57" s="418"/>
      <c r="AH57" s="418"/>
      <c r="AI57" s="418"/>
      <c r="AJ57" s="418"/>
      <c r="AK57" s="418"/>
      <c r="AL57" s="418"/>
      <c r="AM57" s="418"/>
      <c r="AN57" s="418"/>
      <c r="AO57" s="418"/>
      <c r="AP57" s="418"/>
      <c r="AQ57" s="418"/>
      <c r="AR57" s="418"/>
      <c r="AS57" s="418"/>
      <c r="AT57" s="418"/>
      <c r="AU57" s="418"/>
      <c r="AV57" s="418"/>
      <c r="AW57" s="418"/>
      <c r="AX57" s="418"/>
      <c r="AY57" s="418"/>
      <c r="AZ57" s="418"/>
      <c r="BA57" s="418"/>
      <c r="BB57" s="418"/>
      <c r="BC57" s="418"/>
      <c r="BD57" s="418"/>
      <c r="BE57" s="418"/>
      <c r="BF57" s="418"/>
      <c r="BG57" s="418"/>
      <c r="BH57" s="418"/>
      <c r="BI57" s="418"/>
      <c r="BJ57" s="418"/>
      <c r="BK57" s="418"/>
    </row>
    <row r="58" spans="1:146" ht="9" customHeight="1" x14ac:dyDescent="0.25">
      <c r="A58" s="307">
        <v>58</v>
      </c>
      <c r="B58" s="8" t="s">
        <v>4</v>
      </c>
      <c r="C58" s="8" t="s">
        <v>121</v>
      </c>
      <c r="D58" s="1" t="s">
        <v>121</v>
      </c>
      <c r="E58" s="1" t="s">
        <v>121</v>
      </c>
      <c r="F58" s="1" t="s">
        <v>121</v>
      </c>
      <c r="G58" s="1" t="s">
        <v>121</v>
      </c>
      <c r="H58" s="1" t="s">
        <v>121</v>
      </c>
      <c r="I58" s="1" t="s">
        <v>121</v>
      </c>
      <c r="J58" s="1" t="s">
        <v>121</v>
      </c>
      <c r="K58" s="1" t="s">
        <v>121</v>
      </c>
      <c r="L58" s="1" t="s">
        <v>121</v>
      </c>
      <c r="M58" s="1" t="s">
        <v>121</v>
      </c>
      <c r="N58" s="1" t="s">
        <v>121</v>
      </c>
      <c r="O58" s="1" t="s">
        <v>121</v>
      </c>
      <c r="P58" s="1" t="s">
        <v>121</v>
      </c>
      <c r="Q58" s="1" t="s">
        <v>121</v>
      </c>
      <c r="R58" s="1" t="s">
        <v>121</v>
      </c>
      <c r="S58" s="1" t="s">
        <v>121</v>
      </c>
      <c r="T58" s="1" t="s">
        <v>121</v>
      </c>
      <c r="U58" s="1" t="s">
        <v>121</v>
      </c>
      <c r="V58" s="1" t="s">
        <v>121</v>
      </c>
      <c r="W58" s="8" t="s">
        <v>121</v>
      </c>
      <c r="X58" s="8" t="s">
        <v>121</v>
      </c>
      <c r="Y58" s="8" t="s">
        <v>121</v>
      </c>
      <c r="Z58" s="8" t="s">
        <v>121</v>
      </c>
      <c r="AA58" s="8" t="s">
        <v>121</v>
      </c>
      <c r="AB58" s="8" t="s">
        <v>121</v>
      </c>
      <c r="AC58" s="8" t="s">
        <v>121</v>
      </c>
      <c r="AD58" s="8" t="s">
        <v>121</v>
      </c>
      <c r="AE58" s="8" t="s">
        <v>121</v>
      </c>
      <c r="AF58" s="8" t="s">
        <v>121</v>
      </c>
      <c r="AG58" s="8" t="s">
        <v>121</v>
      </c>
      <c r="AH58" s="8" t="s">
        <v>121</v>
      </c>
      <c r="AI58" s="8" t="s">
        <v>121</v>
      </c>
      <c r="AJ58" s="8" t="s">
        <v>121</v>
      </c>
      <c r="AK58" s="8" t="s">
        <v>121</v>
      </c>
      <c r="AL58" s="8" t="s">
        <v>121</v>
      </c>
      <c r="AM58" s="8" t="s">
        <v>121</v>
      </c>
      <c r="AN58" s="8" t="s">
        <v>121</v>
      </c>
      <c r="AO58" s="8" t="s">
        <v>121</v>
      </c>
      <c r="AP58" s="8" t="s">
        <v>121</v>
      </c>
      <c r="AQ58" s="8" t="s">
        <v>121</v>
      </c>
      <c r="AR58" s="8" t="s">
        <v>121</v>
      </c>
      <c r="AS58" s="8" t="s">
        <v>121</v>
      </c>
      <c r="AT58" s="8" t="s">
        <v>121</v>
      </c>
      <c r="AU58" s="8" t="s">
        <v>121</v>
      </c>
      <c r="AV58" s="8" t="s">
        <v>121</v>
      </c>
      <c r="AW58" s="8" t="s">
        <v>121</v>
      </c>
      <c r="AX58" s="10" t="s">
        <v>121</v>
      </c>
      <c r="AY58" s="10" t="s">
        <v>121</v>
      </c>
      <c r="AZ58" s="10" t="s">
        <v>121</v>
      </c>
      <c r="BA58" s="10" t="s">
        <v>121</v>
      </c>
      <c r="BB58" s="10" t="s">
        <v>121</v>
      </c>
      <c r="BC58" s="10" t="s">
        <v>121</v>
      </c>
      <c r="BD58" s="10" t="s">
        <v>121</v>
      </c>
      <c r="BE58" s="10" t="s">
        <v>121</v>
      </c>
      <c r="BF58" s="10" t="s">
        <v>121</v>
      </c>
      <c r="BG58" s="10" t="s">
        <v>121</v>
      </c>
      <c r="BH58" s="10" t="s">
        <v>121</v>
      </c>
      <c r="BI58" s="1" t="s">
        <v>121</v>
      </c>
      <c r="BJ58" s="1" t="s">
        <v>121</v>
      </c>
      <c r="BK58" s="1" t="s">
        <v>121</v>
      </c>
      <c r="BL58" s="1" t="s">
        <v>121</v>
      </c>
      <c r="BM58" s="1" t="s">
        <v>121</v>
      </c>
      <c r="BN58" s="1" t="s">
        <v>121</v>
      </c>
      <c r="BO58" s="1" t="s">
        <v>121</v>
      </c>
      <c r="BP58" s="1" t="s">
        <v>121</v>
      </c>
      <c r="BQ58" s="1" t="s">
        <v>121</v>
      </c>
      <c r="BR58" s="1" t="s">
        <v>121</v>
      </c>
      <c r="BS58" s="1" t="s">
        <v>121</v>
      </c>
      <c r="BT58" s="1" t="s">
        <v>121</v>
      </c>
      <c r="BU58" s="1" t="s">
        <v>121</v>
      </c>
      <c r="BV58" s="1" t="s">
        <v>121</v>
      </c>
      <c r="BW58" s="1" t="s">
        <v>121</v>
      </c>
      <c r="BX58" s="1" t="s">
        <v>121</v>
      </c>
      <c r="BY58" s="1" t="s">
        <v>121</v>
      </c>
      <c r="BZ58" s="1" t="s">
        <v>121</v>
      </c>
      <c r="CA58" s="1" t="s">
        <v>121</v>
      </c>
      <c r="CB58" s="1" t="s">
        <v>121</v>
      </c>
      <c r="CC58" s="1" t="s">
        <v>121</v>
      </c>
      <c r="CD58" s="1" t="s">
        <v>121</v>
      </c>
      <c r="CE58" s="1" t="s">
        <v>121</v>
      </c>
      <c r="CF58" s="1" t="s">
        <v>121</v>
      </c>
      <c r="CG58" s="1" t="s">
        <v>121</v>
      </c>
      <c r="CH58" s="1" t="s">
        <v>121</v>
      </c>
      <c r="CI58" s="1" t="s">
        <v>121</v>
      </c>
      <c r="CJ58" s="1" t="s">
        <v>121</v>
      </c>
      <c r="CK58" s="1" t="s">
        <v>121</v>
      </c>
      <c r="CL58" s="1" t="s">
        <v>121</v>
      </c>
      <c r="CM58" s="1" t="s">
        <v>121</v>
      </c>
      <c r="CN58" s="1" t="s">
        <v>121</v>
      </c>
      <c r="CO58" s="1" t="s">
        <v>121</v>
      </c>
      <c r="CP58" s="1" t="s">
        <v>121</v>
      </c>
      <c r="CQ58" s="1" t="s">
        <v>121</v>
      </c>
      <c r="CR58" s="1" t="s">
        <v>121</v>
      </c>
      <c r="CS58" s="1" t="s">
        <v>121</v>
      </c>
      <c r="CT58" s="1" t="s">
        <v>121</v>
      </c>
      <c r="CU58" s="1" t="s">
        <v>121</v>
      </c>
      <c r="CV58" s="1" t="s">
        <v>121</v>
      </c>
      <c r="CW58" s="1" t="s">
        <v>121</v>
      </c>
      <c r="CX58" s="1" t="s">
        <v>121</v>
      </c>
      <c r="CY58" s="1" t="s">
        <v>121</v>
      </c>
      <c r="CZ58" s="1" t="s">
        <v>121</v>
      </c>
      <c r="DA58" s="1" t="s">
        <v>121</v>
      </c>
      <c r="DB58" s="1" t="s">
        <v>121</v>
      </c>
      <c r="DC58" s="1" t="s">
        <v>121</v>
      </c>
      <c r="DD58" s="1" t="s">
        <v>121</v>
      </c>
      <c r="DE58" s="1" t="s">
        <v>121</v>
      </c>
      <c r="DF58" s="1" t="s">
        <v>121</v>
      </c>
      <c r="DG58" s="1" t="s">
        <v>121</v>
      </c>
      <c r="DH58" s="1" t="s">
        <v>121</v>
      </c>
      <c r="DI58" s="1" t="s">
        <v>121</v>
      </c>
      <c r="DJ58" s="1" t="s">
        <v>121</v>
      </c>
      <c r="DK58" s="1" t="s">
        <v>121</v>
      </c>
      <c r="DL58" s="1" t="s">
        <v>121</v>
      </c>
      <c r="DM58" s="1" t="s">
        <v>121</v>
      </c>
      <c r="DN58" s="1" t="s">
        <v>121</v>
      </c>
      <c r="DO58" s="1" t="s">
        <v>121</v>
      </c>
      <c r="DP58" s="1" t="s">
        <v>121</v>
      </c>
      <c r="DQ58" s="1" t="s">
        <v>121</v>
      </c>
      <c r="DR58" s="1" t="s">
        <v>121</v>
      </c>
      <c r="DS58" s="1" t="s">
        <v>121</v>
      </c>
      <c r="DT58" s="1" t="s">
        <v>121</v>
      </c>
      <c r="DU58" s="1" t="s">
        <v>121</v>
      </c>
      <c r="DV58" s="1" t="s">
        <v>121</v>
      </c>
      <c r="DW58" s="1" t="s">
        <v>121</v>
      </c>
      <c r="DX58" s="1" t="s">
        <v>121</v>
      </c>
      <c r="DY58" s="1" t="s">
        <v>121</v>
      </c>
      <c r="DZ58" s="1" t="s">
        <v>121</v>
      </c>
      <c r="EA58" s="1" t="s">
        <v>121</v>
      </c>
      <c r="EB58" s="1" t="s">
        <v>121</v>
      </c>
      <c r="EC58" s="1" t="s">
        <v>121</v>
      </c>
      <c r="ED58" s="1" t="s">
        <v>121</v>
      </c>
      <c r="EE58" s="1" t="s">
        <v>121</v>
      </c>
      <c r="EF58" s="1" t="s">
        <v>121</v>
      </c>
      <c r="EG58" s="1" t="s">
        <v>121</v>
      </c>
      <c r="EH58" s="1" t="s">
        <v>121</v>
      </c>
      <c r="EI58" s="1" t="s">
        <v>121</v>
      </c>
      <c r="EJ58" s="1" t="s">
        <v>121</v>
      </c>
      <c r="EK58" s="1" t="s">
        <v>121</v>
      </c>
      <c r="EL58" s="1" t="s">
        <v>121</v>
      </c>
      <c r="EM58" s="1" t="s">
        <v>121</v>
      </c>
      <c r="EN58" s="1" t="s">
        <v>121</v>
      </c>
      <c r="EO58" s="1" t="s">
        <v>121</v>
      </c>
      <c r="EP58" s="1" t="s">
        <v>121</v>
      </c>
    </row>
    <row r="59" spans="1:146" ht="15" customHeight="1" x14ac:dyDescent="0.25">
      <c r="A59" s="72">
        <v>59</v>
      </c>
      <c r="B59" s="61" t="s">
        <v>57</v>
      </c>
      <c r="C59" s="11">
        <f>'Loan Portfolio IFRS 9'!F55</f>
        <v>953355</v>
      </c>
      <c r="D59" s="11">
        <f>'Loan Portfolio IFRS 9'!G55</f>
        <v>857799</v>
      </c>
      <c r="E59" s="11">
        <f>'Loan Portfolio IFRS 9'!H55</f>
        <v>760409</v>
      </c>
      <c r="F59" s="11">
        <f>'Loan Portfolio IFRS 9'!I55</f>
        <v>751045</v>
      </c>
      <c r="G59" s="11">
        <f>'Loan Portfolio IFRS 9'!J55</f>
        <v>739663</v>
      </c>
      <c r="H59" s="11">
        <f>'Loan Portfolio IFRS 9'!K55</f>
        <v>716341</v>
      </c>
      <c r="I59" s="11">
        <f>'Loan Portfolio IFRS 9'!L55</f>
        <v>705750</v>
      </c>
      <c r="J59" s="11">
        <f>'Loan Portfolio IFRS 9'!M55</f>
        <v>686310</v>
      </c>
      <c r="K59" s="11">
        <f>'Loan Portfolio IFRS 9'!N55</f>
        <v>660295</v>
      </c>
      <c r="L59" s="11">
        <f>'Loan Portfolio IFRS 9'!O55</f>
        <v>575790</v>
      </c>
      <c r="M59" s="11">
        <f>'Loan Portfolio IFRS 9'!P55</f>
        <v>597588</v>
      </c>
      <c r="N59" s="11">
        <f>'Loan Portfolio IFRS 9'!Q55</f>
        <v>557845</v>
      </c>
      <c r="O59" s="402"/>
      <c r="P59" s="402"/>
      <c r="Q59" s="402"/>
      <c r="R59" s="11">
        <f>'Loan Portfolio IFRS 9'!U55</f>
        <v>513914</v>
      </c>
      <c r="S59" s="11">
        <f>'Loan Portfolio IFRS 9'!V55</f>
        <v>515308.64</v>
      </c>
      <c r="T59" s="11">
        <f>'Loan Portfolio IFRS 9'!W55</f>
        <v>507319.48700000002</v>
      </c>
      <c r="U59" s="11">
        <f>'Loan Portfolio IFRS 9'!X55</f>
        <v>482693.64899999998</v>
      </c>
      <c r="V59" s="11">
        <f>'Loan Portfolio IFRS 9'!Y55</f>
        <v>459272.58100000001</v>
      </c>
      <c r="W59" s="11">
        <f>'Loan Portfolio IFRS 9'!Z55</f>
        <v>468654.17300000001</v>
      </c>
      <c r="X59" s="11">
        <f>'Loan Portfolio IFRS 9'!AA55</f>
        <v>417219.90100000001</v>
      </c>
      <c r="Y59" s="11">
        <f>'Loan Portfolio IFRS 9'!AB55</f>
        <v>434348.51799999998</v>
      </c>
      <c r="Z59" s="11">
        <f>'Loan Portfolio IFRS 9'!AC55</f>
        <v>401446.239</v>
      </c>
      <c r="AA59" s="11">
        <f>'Loan Portfolio IFRS 9'!AD55</f>
        <v>390770.47600000002</v>
      </c>
      <c r="AB59" s="11">
        <f>'Loan Portfolio IFRS 9'!AE55</f>
        <v>365681.66499999998</v>
      </c>
      <c r="AC59" s="11">
        <f>'Loan Portfolio IAS 39'!E50</f>
        <v>357710.44199999998</v>
      </c>
      <c r="AD59" s="11">
        <f>'Loan Portfolio IAS 39'!F50</f>
        <v>350251.42099999997</v>
      </c>
      <c r="AE59" s="11">
        <f>'Loan Portfolio IAS 39'!G50</f>
        <v>355123.67399999994</v>
      </c>
      <c r="AF59" s="11">
        <f>'Loan Portfolio IAS 39'!H50</f>
        <v>347513.22699999996</v>
      </c>
      <c r="AG59" s="11">
        <f>'Loan Portfolio IAS 39'!I50</f>
        <v>354313.87099999998</v>
      </c>
      <c r="AH59" s="11">
        <f>'Loan Portfolio IAS 39'!J50</f>
        <v>356792.32800000004</v>
      </c>
      <c r="AI59" s="11">
        <f>'Loan Portfolio IAS 39'!K50</f>
        <v>368685.23099999997</v>
      </c>
      <c r="AJ59" s="11">
        <f>'Loan Portfolio IAS 39'!L50</f>
        <v>367076.89</v>
      </c>
      <c r="AK59" s="11">
        <f>'Loan Portfolio IAS 39'!M50</f>
        <v>370266.69899999996</v>
      </c>
      <c r="AL59" s="11">
        <f>'Loan Portfolio IAS 39'!N50</f>
        <v>352667.41799999995</v>
      </c>
      <c r="AM59" s="11">
        <f>'Loan Portfolio IAS 39'!O50</f>
        <v>334385.82899999997</v>
      </c>
      <c r="AN59" s="11">
        <f>'Loan Portfolio IAS 39'!P50</f>
        <v>337736.13599999994</v>
      </c>
      <c r="AO59" s="11">
        <f>'Loan Portfolio IAS 39'!Q50</f>
        <v>343744.11300000001</v>
      </c>
      <c r="AP59" s="11">
        <f>'Loan Portfolio IAS 39'!R50</f>
        <v>302658.56</v>
      </c>
      <c r="AQ59" s="11">
        <f>'Loan Portfolio IAS 39'!S50</f>
        <v>286088.39300000004</v>
      </c>
      <c r="AR59" s="11">
        <f>'Loan Portfolio IAS 39'!T50</f>
        <v>290986.98700000002</v>
      </c>
      <c r="AS59" s="11">
        <f>'Loan Portfolio IAS 39'!U50</f>
        <v>276832.391</v>
      </c>
      <c r="AT59" s="11">
        <f>'Loan Portfolio IAS 39'!V50</f>
        <v>283979.37700000004</v>
      </c>
      <c r="AU59" s="11">
        <f>'Loan Portfolio IAS 39'!W50</f>
        <v>269177.01700000005</v>
      </c>
      <c r="AV59" s="11">
        <f>'Loan Portfolio IAS 39'!X50</f>
        <v>256085.89599999998</v>
      </c>
      <c r="AW59" s="11">
        <f>'Loan Portfolio IAS 39'!Y50</f>
        <v>246503.43100000001</v>
      </c>
      <c r="AX59" s="11">
        <f>'Loan Portfolio IAS 39'!Z50</f>
        <v>246888.75899999999</v>
      </c>
      <c r="AY59" s="11">
        <f>'Loan Portfolio IAS 39'!AA50</f>
        <v>244057.33</v>
      </c>
      <c r="AZ59" s="11">
        <f>'Loan Portfolio IAS 39'!AB50</f>
        <v>232105.81599999999</v>
      </c>
      <c r="BA59" s="11">
        <f>'Loan Portfolio IAS 39'!AC50</f>
        <v>231257.342</v>
      </c>
      <c r="BB59" s="11">
        <f>'Loan Portfolio IAS 39'!AD50</f>
        <v>223700.82</v>
      </c>
      <c r="BC59" s="11">
        <f>'Loan Portfolio IAS 39'!AE50</f>
        <v>217960.52</v>
      </c>
      <c r="BD59" s="11">
        <f>'Loan Portfolio IAS 39'!AF50</f>
        <v>212752.16800000001</v>
      </c>
      <c r="BE59" s="11">
        <f>'Loan Portfolio IAS 39'!AG50</f>
        <v>202254.28099999999</v>
      </c>
      <c r="BF59" s="11">
        <f>'Loan Portfolio IAS 39'!AH50</f>
        <v>196487.84400000001</v>
      </c>
      <c r="BG59" s="11">
        <f>'Loan Portfolio IAS 39'!AI50</f>
        <v>177207.25899999999</v>
      </c>
      <c r="BH59" s="11">
        <f>'Loan Portfolio IAS 39'!AJ50</f>
        <v>178066.82699999999</v>
      </c>
      <c r="BI59" s="11">
        <f>'Loan Portfolio IAS 39'!AK50</f>
        <v>174110.23699999999</v>
      </c>
      <c r="BJ59" s="11">
        <v>202254.28099999999</v>
      </c>
      <c r="BK59" s="11">
        <v>196487.84400000001</v>
      </c>
      <c r="BL59" s="1">
        <v>177207.25899999999</v>
      </c>
      <c r="BM59" s="1">
        <v>178066.82699999999</v>
      </c>
      <c r="BN59" s="1">
        <v>174110.23699999999</v>
      </c>
      <c r="BO59" s="1" t="s">
        <v>121</v>
      </c>
      <c r="BP59" s="1" t="s">
        <v>121</v>
      </c>
      <c r="BQ59" s="1" t="s">
        <v>121</v>
      </c>
      <c r="BR59" s="1" t="s">
        <v>121</v>
      </c>
      <c r="BS59" s="1" t="s">
        <v>121</v>
      </c>
      <c r="BT59" s="1" t="s">
        <v>121</v>
      </c>
      <c r="BU59" s="1" t="s">
        <v>121</v>
      </c>
      <c r="BV59" s="1" t="s">
        <v>121</v>
      </c>
      <c r="BW59" s="1" t="s">
        <v>121</v>
      </c>
      <c r="BX59" s="1" t="s">
        <v>121</v>
      </c>
      <c r="BY59" s="1" t="s">
        <v>121</v>
      </c>
      <c r="BZ59" s="1" t="s">
        <v>121</v>
      </c>
      <c r="CA59" s="1" t="s">
        <v>121</v>
      </c>
      <c r="CB59" s="1" t="s">
        <v>121</v>
      </c>
      <c r="CC59" s="1" t="s">
        <v>121</v>
      </c>
      <c r="CD59" s="1" t="s">
        <v>121</v>
      </c>
      <c r="CE59" s="1" t="s">
        <v>121</v>
      </c>
      <c r="CF59" s="1" t="s">
        <v>121</v>
      </c>
      <c r="CG59" s="1" t="s">
        <v>121</v>
      </c>
      <c r="CH59" s="1" t="s">
        <v>121</v>
      </c>
      <c r="CI59" s="1" t="s">
        <v>121</v>
      </c>
      <c r="CJ59" s="1" t="s">
        <v>121</v>
      </c>
      <c r="CK59" s="1" t="s">
        <v>121</v>
      </c>
      <c r="CL59" s="1" t="s">
        <v>121</v>
      </c>
      <c r="CM59" s="1" t="s">
        <v>121</v>
      </c>
      <c r="CN59" s="1" t="s">
        <v>121</v>
      </c>
      <c r="CO59" s="1" t="s">
        <v>121</v>
      </c>
      <c r="CP59" s="1" t="s">
        <v>121</v>
      </c>
      <c r="CQ59" s="1" t="s">
        <v>121</v>
      </c>
      <c r="CR59" s="1" t="s">
        <v>121</v>
      </c>
      <c r="CS59" s="1" t="s">
        <v>121</v>
      </c>
      <c r="CT59" s="1" t="s">
        <v>121</v>
      </c>
      <c r="CU59" s="1" t="s">
        <v>121</v>
      </c>
      <c r="CV59" s="1" t="s">
        <v>121</v>
      </c>
      <c r="CW59" s="1" t="s">
        <v>121</v>
      </c>
      <c r="CX59" s="1" t="s">
        <v>121</v>
      </c>
      <c r="CY59" s="1" t="s">
        <v>121</v>
      </c>
      <c r="CZ59" s="1" t="s">
        <v>121</v>
      </c>
      <c r="DA59" s="1" t="s">
        <v>121</v>
      </c>
      <c r="DB59" s="1" t="s">
        <v>121</v>
      </c>
      <c r="DC59" s="1" t="s">
        <v>121</v>
      </c>
      <c r="DD59" s="1" t="s">
        <v>121</v>
      </c>
      <c r="DE59" s="1" t="s">
        <v>121</v>
      </c>
      <c r="DF59" s="1" t="s">
        <v>121</v>
      </c>
      <c r="DG59" s="1" t="s">
        <v>121</v>
      </c>
      <c r="DH59" s="1" t="s">
        <v>121</v>
      </c>
      <c r="DI59" s="1" t="s">
        <v>121</v>
      </c>
      <c r="DJ59" s="1" t="s">
        <v>121</v>
      </c>
      <c r="DK59" s="1" t="s">
        <v>121</v>
      </c>
      <c r="DL59" s="1" t="s">
        <v>121</v>
      </c>
      <c r="DM59" s="1" t="s">
        <v>121</v>
      </c>
      <c r="DN59" s="1" t="s">
        <v>121</v>
      </c>
      <c r="DO59" s="1" t="s">
        <v>121</v>
      </c>
      <c r="DP59" s="1" t="s">
        <v>121</v>
      </c>
      <c r="DQ59" s="1" t="s">
        <v>121</v>
      </c>
      <c r="DR59" s="1" t="s">
        <v>121</v>
      </c>
      <c r="DS59" s="1" t="s">
        <v>121</v>
      </c>
      <c r="DT59" s="1" t="s">
        <v>121</v>
      </c>
      <c r="DU59" s="1" t="s">
        <v>121</v>
      </c>
      <c r="DV59" s="1" t="s">
        <v>121</v>
      </c>
      <c r="DW59" s="1" t="s">
        <v>121</v>
      </c>
      <c r="DX59" s="1" t="s">
        <v>121</v>
      </c>
      <c r="DY59" s="1" t="s">
        <v>121</v>
      </c>
      <c r="DZ59" s="1" t="s">
        <v>121</v>
      </c>
      <c r="EA59" s="1" t="s">
        <v>121</v>
      </c>
      <c r="EB59" s="1" t="s">
        <v>121</v>
      </c>
      <c r="EC59" s="1" t="s">
        <v>121</v>
      </c>
      <c r="ED59" s="1" t="s">
        <v>121</v>
      </c>
      <c r="EE59" s="1" t="s">
        <v>121</v>
      </c>
      <c r="EF59" s="1" t="s">
        <v>121</v>
      </c>
      <c r="EG59" s="1" t="s">
        <v>121</v>
      </c>
      <c r="EH59" s="1" t="s">
        <v>121</v>
      </c>
      <c r="EI59" s="1" t="s">
        <v>121</v>
      </c>
      <c r="EJ59" s="1" t="s">
        <v>121</v>
      </c>
      <c r="EK59" s="1" t="s">
        <v>121</v>
      </c>
      <c r="EL59" s="1" t="s">
        <v>121</v>
      </c>
      <c r="EM59" s="1" t="s">
        <v>121</v>
      </c>
      <c r="EN59" s="1" t="s">
        <v>121</v>
      </c>
      <c r="EO59" s="1" t="s">
        <v>121</v>
      </c>
      <c r="EP59" s="1" t="s">
        <v>121</v>
      </c>
    </row>
    <row r="60" spans="1:146" ht="8.25" customHeight="1" x14ac:dyDescent="0.25">
      <c r="A60" s="72">
        <v>60</v>
      </c>
      <c r="B60" s="8" t="s">
        <v>124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403"/>
      <c r="P60" s="403"/>
      <c r="Q60" s="403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J60" s="1" t="s">
        <v>121</v>
      </c>
      <c r="BK60" s="1" t="s">
        <v>121</v>
      </c>
      <c r="BL60" s="1" t="s">
        <v>121</v>
      </c>
      <c r="BM60" s="1" t="s">
        <v>121</v>
      </c>
      <c r="BN60" s="1" t="s">
        <v>121</v>
      </c>
      <c r="BO60" s="1" t="s">
        <v>121</v>
      </c>
      <c r="BP60" s="1" t="s">
        <v>121</v>
      </c>
      <c r="BQ60" s="1" t="s">
        <v>121</v>
      </c>
      <c r="BR60" s="1" t="s">
        <v>121</v>
      </c>
      <c r="BS60" s="1" t="s">
        <v>121</v>
      </c>
      <c r="BT60" s="1" t="s">
        <v>121</v>
      </c>
      <c r="BU60" s="1" t="s">
        <v>121</v>
      </c>
      <c r="BV60" s="1" t="s">
        <v>121</v>
      </c>
      <c r="BW60" s="1" t="s">
        <v>121</v>
      </c>
      <c r="BX60" s="1" t="s">
        <v>121</v>
      </c>
      <c r="BY60" s="1" t="s">
        <v>121</v>
      </c>
      <c r="BZ60" s="1" t="s">
        <v>121</v>
      </c>
      <c r="CA60" s="1" t="s">
        <v>121</v>
      </c>
      <c r="CB60" s="1" t="s">
        <v>121</v>
      </c>
      <c r="CC60" s="1" t="s">
        <v>121</v>
      </c>
      <c r="CD60" s="1" t="s">
        <v>121</v>
      </c>
      <c r="CE60" s="1" t="s">
        <v>121</v>
      </c>
      <c r="CF60" s="1" t="s">
        <v>121</v>
      </c>
      <c r="CG60" s="1" t="s">
        <v>121</v>
      </c>
      <c r="CH60" s="1" t="s">
        <v>121</v>
      </c>
      <c r="CI60" s="1" t="s">
        <v>121</v>
      </c>
      <c r="CJ60" s="1" t="s">
        <v>121</v>
      </c>
      <c r="CK60" s="1" t="s">
        <v>121</v>
      </c>
      <c r="CL60" s="1" t="s">
        <v>121</v>
      </c>
      <c r="CM60" s="1" t="s">
        <v>121</v>
      </c>
      <c r="CN60" s="1" t="s">
        <v>121</v>
      </c>
      <c r="CO60" s="1" t="s">
        <v>121</v>
      </c>
      <c r="CP60" s="1" t="s">
        <v>121</v>
      </c>
      <c r="CQ60" s="1" t="s">
        <v>121</v>
      </c>
      <c r="CR60" s="1" t="s">
        <v>121</v>
      </c>
      <c r="CS60" s="1" t="s">
        <v>121</v>
      </c>
      <c r="CT60" s="1" t="s">
        <v>121</v>
      </c>
      <c r="CU60" s="1" t="s">
        <v>121</v>
      </c>
      <c r="CV60" s="1" t="s">
        <v>121</v>
      </c>
      <c r="CW60" s="1" t="s">
        <v>121</v>
      </c>
      <c r="CX60" s="1" t="s">
        <v>121</v>
      </c>
      <c r="CY60" s="1" t="s">
        <v>121</v>
      </c>
      <c r="CZ60" s="1" t="s">
        <v>121</v>
      </c>
      <c r="DA60" s="1" t="s">
        <v>121</v>
      </c>
      <c r="DB60" s="1" t="s">
        <v>121</v>
      </c>
      <c r="DC60" s="1" t="s">
        <v>121</v>
      </c>
      <c r="DD60" s="1" t="s">
        <v>121</v>
      </c>
      <c r="DE60" s="1" t="s">
        <v>121</v>
      </c>
      <c r="DF60" s="1" t="s">
        <v>121</v>
      </c>
      <c r="DG60" s="1" t="s">
        <v>121</v>
      </c>
      <c r="DH60" s="1" t="s">
        <v>121</v>
      </c>
      <c r="DI60" s="1" t="s">
        <v>121</v>
      </c>
      <c r="DJ60" s="1" t="s">
        <v>121</v>
      </c>
      <c r="DK60" s="1" t="s">
        <v>121</v>
      </c>
      <c r="DL60" s="1" t="s">
        <v>121</v>
      </c>
      <c r="DM60" s="1" t="s">
        <v>121</v>
      </c>
      <c r="DN60" s="1" t="s">
        <v>121</v>
      </c>
      <c r="DO60" s="1" t="s">
        <v>121</v>
      </c>
      <c r="DP60" s="1" t="s">
        <v>121</v>
      </c>
      <c r="DQ60" s="1" t="s">
        <v>121</v>
      </c>
      <c r="DR60" s="1" t="s">
        <v>121</v>
      </c>
      <c r="DS60" s="1" t="s">
        <v>121</v>
      </c>
      <c r="DT60" s="1" t="s">
        <v>121</v>
      </c>
      <c r="DU60" s="1" t="s">
        <v>121</v>
      </c>
      <c r="DV60" s="1" t="s">
        <v>121</v>
      </c>
      <c r="DW60" s="1" t="s">
        <v>121</v>
      </c>
      <c r="DX60" s="1" t="s">
        <v>121</v>
      </c>
      <c r="DY60" s="1" t="s">
        <v>121</v>
      </c>
      <c r="DZ60" s="1" t="s">
        <v>121</v>
      </c>
      <c r="EA60" s="1" t="s">
        <v>121</v>
      </c>
      <c r="EB60" s="1" t="s">
        <v>121</v>
      </c>
      <c r="EC60" s="1" t="s">
        <v>121</v>
      </c>
      <c r="ED60" s="1" t="s">
        <v>121</v>
      </c>
      <c r="EE60" s="1" t="s">
        <v>121</v>
      </c>
      <c r="EF60" s="1" t="s">
        <v>121</v>
      </c>
      <c r="EG60" s="1" t="s">
        <v>121</v>
      </c>
      <c r="EH60" s="1" t="s">
        <v>121</v>
      </c>
      <c r="EI60" s="1" t="s">
        <v>121</v>
      </c>
      <c r="EJ60" s="1" t="s">
        <v>121</v>
      </c>
      <c r="EK60" s="1" t="s">
        <v>121</v>
      </c>
      <c r="EL60" s="1" t="s">
        <v>121</v>
      </c>
      <c r="EM60" s="1" t="s">
        <v>121</v>
      </c>
      <c r="EN60" s="1" t="s">
        <v>121</v>
      </c>
      <c r="EO60" s="1" t="s">
        <v>121</v>
      </c>
      <c r="EP60" s="1" t="s">
        <v>121</v>
      </c>
    </row>
    <row r="61" spans="1:146" x14ac:dyDescent="0.25">
      <c r="A61" s="307">
        <v>61</v>
      </c>
      <c r="B61" s="5" t="s">
        <v>51</v>
      </c>
      <c r="C61" s="13">
        <f>'Loan Portfolio IFRS 9'!F216</f>
        <v>3.6800562224984394E-2</v>
      </c>
      <c r="D61" s="13">
        <f>'Loan Portfolio IFRS 9'!G216</f>
        <v>4.1925905719171971E-2</v>
      </c>
      <c r="E61" s="13">
        <f>'Loan Portfolio IFRS 9'!H216</f>
        <v>4.084643921889404E-2</v>
      </c>
      <c r="F61" s="13">
        <f>'Loan Portfolio IFRS 9'!I216</f>
        <v>4.4315586948851265E-2</v>
      </c>
      <c r="G61" s="13">
        <f>'Loan Portfolio IFRS 9'!J216</f>
        <v>4.17487423326569E-2</v>
      </c>
      <c r="H61" s="13">
        <f>'Loan Portfolio IFRS 9'!K216</f>
        <v>4.1026550204441736E-2</v>
      </c>
      <c r="I61" s="13">
        <f>'Loan Portfolio IFRS 9'!L216</f>
        <v>4.2710591569252568E-2</v>
      </c>
      <c r="J61" s="13">
        <f>'Loan Portfolio IFRS 9'!M216</f>
        <v>5.0346053532660168E-2</v>
      </c>
      <c r="K61" s="13">
        <f>'Loan Portfolio IFRS 9'!N216</f>
        <v>5.5700860978804931E-2</v>
      </c>
      <c r="L61" s="13">
        <f>'Loan Portfolio IFRS 9'!O216</f>
        <v>6.4608624672189516E-2</v>
      </c>
      <c r="M61" s="13">
        <f>'Loan Portfolio IFRS 9'!P216</f>
        <v>6.0556771554984373E-2</v>
      </c>
      <c r="N61" s="13">
        <f>'Loan Portfolio IFRS 9'!Q216</f>
        <v>7.6322275901011927E-2</v>
      </c>
      <c r="O61" s="335"/>
      <c r="P61" s="335"/>
      <c r="Q61" s="335"/>
      <c r="R61" s="13">
        <f>'Loan Portfolio IFRS 9'!U216</f>
        <v>7.8057807337414437E-2</v>
      </c>
      <c r="S61" s="13">
        <f>'Loan Portfolio IFRS 9'!V216</f>
        <v>8.2756246819381873E-2</v>
      </c>
      <c r="T61" s="13">
        <f>'Loan Portfolio IFRS 9'!W216</f>
        <v>8.3745040529066062E-2</v>
      </c>
      <c r="U61" s="13">
        <f>'Loan Portfolio IFRS 9'!X216</f>
        <v>8.7518804292368066E-2</v>
      </c>
      <c r="V61" s="13">
        <f>'Loan Portfolio IFRS 9'!Y216</f>
        <v>8.6676195459619659E-2</v>
      </c>
      <c r="W61" s="13">
        <f>'Loan Portfolio IFRS 9'!Z216</f>
        <v>8.8491323430507474E-2</v>
      </c>
      <c r="X61" s="13">
        <f>'Loan Portfolio IFRS 9'!AA216</f>
        <v>9.2871224280358572E-2</v>
      </c>
      <c r="Y61" s="13">
        <f>'Loan Portfolio IFRS 9'!AB216</f>
        <v>8.6896932845066138E-2</v>
      </c>
      <c r="Z61" s="13">
        <f>'Loan Portfolio IFRS 9'!AC216</f>
        <v>8.3140858619427743E-2</v>
      </c>
      <c r="AA61" s="13">
        <f>'Loan Portfolio IFRS 9'!AD216</f>
        <v>9.1676101958122327E-2</v>
      </c>
      <c r="AB61" s="13">
        <f>'Loan Portfolio IFRS 9'!AE216</f>
        <v>9.9207667412037195E-2</v>
      </c>
      <c r="AC61" s="13">
        <f>'Loan Portfolio IAS 39'!E102</f>
        <v>0.11040922311124482</v>
      </c>
      <c r="AD61" s="13">
        <f>'Loan Portfolio IAS 39'!F102</f>
        <v>0.12777965574620753</v>
      </c>
      <c r="AE61" s="13">
        <f>'Loan Portfolio IAS 39'!G102</f>
        <v>0.12399172238795887</v>
      </c>
      <c r="AF61" s="13">
        <f>'Loan Portfolio IAS 39'!H102</f>
        <v>0.1209208477120786</v>
      </c>
      <c r="AG61" s="13">
        <f>'Loan Portfolio IAS 39'!I102</f>
        <v>0.11177323057724714</v>
      </c>
      <c r="AH61" s="13">
        <f>'Loan Portfolio IAS 39'!J102</f>
        <v>0.11858259743746506</v>
      </c>
      <c r="AI61" s="13">
        <f>'Loan Portfolio IAS 39'!K102</f>
        <v>0.11049279052894853</v>
      </c>
      <c r="AJ61" s="13">
        <f>'Loan Portfolio IAS 39'!L102</f>
        <v>0.10272133448662485</v>
      </c>
      <c r="AK61" s="13">
        <f>'Loan Portfolio IAS 39'!M102</f>
        <v>9.443084969410119E-2</v>
      </c>
      <c r="AL61" s="13">
        <f>'Loan Portfolio IAS 39'!N102</f>
        <v>8.9741633007900959E-2</v>
      </c>
      <c r="AM61" s="13">
        <f>'Loan Portfolio IAS 39'!O102</f>
        <v>8.5154389123350077E-2</v>
      </c>
      <c r="AN61" s="13">
        <f>'Loan Portfolio IAS 39'!P102</f>
        <v>8.3014640754935407E-2</v>
      </c>
      <c r="AO61" s="13">
        <f>'Loan Portfolio IAS 39'!Q102</f>
        <v>8.2634485728632676E-2</v>
      </c>
      <c r="AP61" s="13">
        <f>'Loan Portfolio IAS 39'!R102</f>
        <v>8.4739873208938818E-2</v>
      </c>
      <c r="AQ61" s="13">
        <f>'Loan Portfolio IAS 39'!S102</f>
        <v>8.5658938284853783E-2</v>
      </c>
      <c r="AR61" s="13">
        <f>'Loan Portfolio IAS 39'!T102</f>
        <v>9.0595821042677757E-2</v>
      </c>
      <c r="AS61" s="13">
        <f>'Loan Portfolio IAS 39'!U102</f>
        <v>9.3732846457263014E-2</v>
      </c>
      <c r="AT61" s="13">
        <f>'Loan Portfolio IAS 39'!V102</f>
        <v>9.3303307021481346E-2</v>
      </c>
      <c r="AU61" s="13">
        <f>'Loan Portfolio IAS 39'!W102</f>
        <v>9.4548532722613529E-2</v>
      </c>
      <c r="AV61" s="13">
        <f>'Loan Portfolio IAS 39'!X102</f>
        <v>9.8078982061550163E-2</v>
      </c>
      <c r="AW61" s="13">
        <f>'Loan Portfolio IAS 39'!Y102</f>
        <v>9.7866836587763351E-2</v>
      </c>
      <c r="AX61" s="13">
        <f>'Loan Portfolio IAS 39'!Z102</f>
        <v>9.6710903715142418E-2</v>
      </c>
      <c r="AY61" s="13">
        <f>'Loan Portfolio IAS 39'!AA102</f>
        <v>9.146029336631685E-2</v>
      </c>
      <c r="AZ61" s="13">
        <f>'Loan Portfolio IAS 39'!AB102</f>
        <v>9.9581468479876437E-2</v>
      </c>
      <c r="BA61" s="13">
        <f>'Loan Portfolio IAS 39'!AC102</f>
        <v>9.2322578022193139E-2</v>
      </c>
      <c r="BB61" s="13">
        <f>'Loan Portfolio IAS 39'!AD102</f>
        <v>9.0902085204694366E-2</v>
      </c>
      <c r="BC61" s="13">
        <f>'Loan Portfolio IAS 39'!AE102</f>
        <v>8.9987815224518652E-2</v>
      </c>
      <c r="BD61" s="13">
        <f>'Loan Portfolio IAS 39'!AF102</f>
        <v>9.4838055892337611E-2</v>
      </c>
      <c r="BE61" s="13">
        <f>'Loan Portfolio IAS 39'!AG102</f>
        <v>9.6096566677864287E-2</v>
      </c>
      <c r="BF61" s="13">
        <f>'Loan Portfolio IAS 39'!AH102</f>
        <v>0.10300115054445809</v>
      </c>
      <c r="BG61" s="13">
        <f>'Loan Portfolio IAS 39'!AI102</f>
        <v>0.11050714350251307</v>
      </c>
      <c r="BH61" s="13">
        <f>'Loan Portfolio IAS 39'!AJ102</f>
        <v>0.10367109534669253</v>
      </c>
      <c r="BI61" s="13">
        <f>'Loan Portfolio IAS 39'!AK102</f>
        <v>9.137744152286692E-2</v>
      </c>
      <c r="BJ61" s="13">
        <v>9.6096566677864287E-2</v>
      </c>
      <c r="BK61" s="13">
        <v>0.10300115054445809</v>
      </c>
      <c r="BL61" s="1">
        <v>0.11050714350251307</v>
      </c>
      <c r="BM61" s="1">
        <v>0.10367109534669253</v>
      </c>
      <c r="BN61" s="1">
        <v>9.137744152286692E-2</v>
      </c>
      <c r="BO61" s="1" t="s">
        <v>121</v>
      </c>
      <c r="BP61" s="1" t="s">
        <v>121</v>
      </c>
      <c r="BQ61" s="1" t="s">
        <v>121</v>
      </c>
      <c r="BR61" s="1" t="s">
        <v>121</v>
      </c>
      <c r="BS61" s="1" t="s">
        <v>121</v>
      </c>
      <c r="BT61" s="1" t="s">
        <v>121</v>
      </c>
      <c r="BU61" s="1" t="s">
        <v>121</v>
      </c>
      <c r="BV61" s="1" t="s">
        <v>121</v>
      </c>
      <c r="BW61" s="1" t="s">
        <v>121</v>
      </c>
      <c r="BX61" s="1" t="s">
        <v>121</v>
      </c>
      <c r="BY61" s="1" t="s">
        <v>121</v>
      </c>
      <c r="BZ61" s="1" t="s">
        <v>121</v>
      </c>
      <c r="CA61" s="1" t="s">
        <v>121</v>
      </c>
      <c r="CB61" s="1" t="s">
        <v>121</v>
      </c>
      <c r="CC61" s="1" t="s">
        <v>121</v>
      </c>
      <c r="CD61" s="1" t="s">
        <v>121</v>
      </c>
      <c r="CE61" s="1" t="s">
        <v>121</v>
      </c>
      <c r="CF61" s="1" t="s">
        <v>121</v>
      </c>
      <c r="CG61" s="1" t="s">
        <v>121</v>
      </c>
      <c r="CH61" s="1" t="s">
        <v>121</v>
      </c>
      <c r="CI61" s="1" t="s">
        <v>121</v>
      </c>
      <c r="CJ61" s="1" t="s">
        <v>121</v>
      </c>
      <c r="CK61" s="1" t="s">
        <v>121</v>
      </c>
      <c r="CL61" s="1" t="s">
        <v>121</v>
      </c>
      <c r="CM61" s="1" t="s">
        <v>121</v>
      </c>
      <c r="CN61" s="1" t="s">
        <v>121</v>
      </c>
      <c r="CO61" s="1" t="s">
        <v>121</v>
      </c>
      <c r="CP61" s="1" t="s">
        <v>121</v>
      </c>
      <c r="CQ61" s="1" t="s">
        <v>121</v>
      </c>
      <c r="CR61" s="1" t="s">
        <v>121</v>
      </c>
      <c r="CS61" s="1" t="s">
        <v>121</v>
      </c>
      <c r="CT61" s="1" t="s">
        <v>121</v>
      </c>
      <c r="CU61" s="1" t="s">
        <v>121</v>
      </c>
      <c r="CV61" s="1" t="s">
        <v>121</v>
      </c>
      <c r="CW61" s="1" t="s">
        <v>121</v>
      </c>
      <c r="CX61" s="1" t="s">
        <v>121</v>
      </c>
      <c r="CY61" s="1" t="s">
        <v>121</v>
      </c>
      <c r="CZ61" s="1" t="s">
        <v>121</v>
      </c>
      <c r="DA61" s="1" t="s">
        <v>121</v>
      </c>
      <c r="DB61" s="1" t="s">
        <v>121</v>
      </c>
      <c r="DC61" s="1" t="s">
        <v>121</v>
      </c>
      <c r="DD61" s="1" t="s">
        <v>121</v>
      </c>
      <c r="DE61" s="1" t="s">
        <v>121</v>
      </c>
      <c r="DF61" s="1" t="s">
        <v>121</v>
      </c>
      <c r="DG61" s="1" t="s">
        <v>121</v>
      </c>
      <c r="DH61" s="1" t="s">
        <v>121</v>
      </c>
      <c r="DI61" s="1" t="s">
        <v>121</v>
      </c>
      <c r="DJ61" s="1" t="s">
        <v>121</v>
      </c>
      <c r="DK61" s="1" t="s">
        <v>121</v>
      </c>
      <c r="DL61" s="1" t="s">
        <v>121</v>
      </c>
      <c r="DM61" s="1" t="s">
        <v>121</v>
      </c>
      <c r="DN61" s="1" t="s">
        <v>121</v>
      </c>
      <c r="DO61" s="1" t="s">
        <v>121</v>
      </c>
      <c r="DP61" s="1" t="s">
        <v>121</v>
      </c>
      <c r="DQ61" s="1" t="s">
        <v>121</v>
      </c>
      <c r="DR61" s="1" t="s">
        <v>121</v>
      </c>
      <c r="DS61" s="1" t="s">
        <v>121</v>
      </c>
      <c r="DT61" s="1" t="s">
        <v>121</v>
      </c>
      <c r="DU61" s="1" t="s">
        <v>121</v>
      </c>
      <c r="DV61" s="1" t="s">
        <v>121</v>
      </c>
      <c r="DW61" s="1" t="s">
        <v>121</v>
      </c>
      <c r="DX61" s="1" t="s">
        <v>121</v>
      </c>
      <c r="DY61" s="1" t="s">
        <v>121</v>
      </c>
      <c r="DZ61" s="1" t="s">
        <v>121</v>
      </c>
      <c r="EA61" s="1" t="s">
        <v>121</v>
      </c>
      <c r="EB61" s="1" t="s">
        <v>121</v>
      </c>
      <c r="EC61" s="1" t="s">
        <v>121</v>
      </c>
      <c r="ED61" s="1" t="s">
        <v>121</v>
      </c>
      <c r="EE61" s="1" t="s">
        <v>121</v>
      </c>
      <c r="EF61" s="1" t="s">
        <v>121</v>
      </c>
      <c r="EG61" s="1" t="s">
        <v>121</v>
      </c>
      <c r="EH61" s="1" t="s">
        <v>121</v>
      </c>
      <c r="EI61" s="1" t="s">
        <v>121</v>
      </c>
      <c r="EJ61" s="1" t="s">
        <v>121</v>
      </c>
      <c r="EK61" s="1" t="s">
        <v>121</v>
      </c>
      <c r="EL61" s="1" t="s">
        <v>121</v>
      </c>
      <c r="EM61" s="1" t="s">
        <v>121</v>
      </c>
      <c r="EN61" s="1" t="s">
        <v>121</v>
      </c>
      <c r="EO61" s="1" t="s">
        <v>121</v>
      </c>
      <c r="EP61" s="1" t="s">
        <v>121</v>
      </c>
    </row>
    <row r="62" spans="1:146" x14ac:dyDescent="0.25">
      <c r="A62" s="72">
        <v>62</v>
      </c>
      <c r="B62" s="5" t="s">
        <v>250</v>
      </c>
      <c r="C62" s="13">
        <f>'Loan Portfolio IFRS 9'!F218</f>
        <v>3.6210016205925392E-2</v>
      </c>
      <c r="D62" s="13">
        <f>'Loan Portfolio IFRS 9'!G218</f>
        <v>4.8759674469193832E-2</v>
      </c>
      <c r="E62" s="13">
        <f>'Loan Portfolio IFRS 9'!H218</f>
        <v>4.3662029250048327E-2</v>
      </c>
      <c r="F62" s="13">
        <f>'Loan Portfolio IFRS 9'!I218</f>
        <v>4.7424588406819831E-2</v>
      </c>
      <c r="G62" s="13">
        <f>'Loan Portfolio IFRS 9'!J218</f>
        <v>4.7975902539399699E-2</v>
      </c>
      <c r="H62" s="13">
        <f>'Loan Portfolio IFRS 9'!K218</f>
        <v>4.6188896070446898E-2</v>
      </c>
      <c r="I62" s="13">
        <f>'Loan Portfolio IFRS 9'!L218</f>
        <v>4.422954303931987E-2</v>
      </c>
      <c r="J62" s="13">
        <f>'Loan Portfolio IFRS 9'!M218</f>
        <v>5.2001282219405226E-2</v>
      </c>
      <c r="K62" s="13">
        <f>'Loan Portfolio IFRS 9'!N218</f>
        <v>5.7348609333706904E-2</v>
      </c>
      <c r="L62" s="13">
        <f>'Loan Portfolio IFRS 9'!O218</f>
        <v>6.8377359801316456E-2</v>
      </c>
      <c r="M62" s="13">
        <f>'Loan Portfolio IFRS 9'!P218</f>
        <v>6.4715154922789619E-2</v>
      </c>
      <c r="N62" s="13">
        <f>'Loan Portfolio IFRS 9'!Q218</f>
        <v>8.4618487214190324E-2</v>
      </c>
      <c r="O62" s="335"/>
      <c r="P62" s="335"/>
      <c r="Q62" s="335"/>
      <c r="R62" s="13">
        <f>'Loan Portfolio IFRS 9'!U218</f>
        <v>8.9462439240806824E-2</v>
      </c>
      <c r="S62" s="13">
        <f>'Loan Portfolio IFRS 9'!V218</f>
        <v>9.494128217993783E-2</v>
      </c>
      <c r="T62" s="13">
        <f>'Loan Portfolio IFRS 9'!W218</f>
        <v>0.1014298155670886</v>
      </c>
      <c r="U62" s="13">
        <f>'Loan Portfolio IFRS 9'!X218</f>
        <v>0.1057245109930999</v>
      </c>
      <c r="V62" s="13">
        <f>'Loan Portfolio IFRS 9'!Y218</f>
        <v>0.10429661160198893</v>
      </c>
      <c r="W62" s="13">
        <f>'Loan Portfolio IFRS 9'!Z218</f>
        <v>9.4410173959978805E-2</v>
      </c>
      <c r="X62" s="13">
        <f>'Loan Portfolio IFRS 9'!AA218</f>
        <v>0.10538069467592341</v>
      </c>
      <c r="Y62" s="13">
        <f>'Loan Portfolio IFRS 9'!AB218</f>
        <v>9.8046295164290184E-2</v>
      </c>
      <c r="Z62" s="13">
        <f>'Loan Portfolio IFRS 9'!AC218</f>
        <v>9.2282005411937623E-2</v>
      </c>
      <c r="AA62" s="13">
        <f>'Loan Portfolio IFRS 9'!AD218</f>
        <v>0.10660533115608255</v>
      </c>
      <c r="AB62" s="13">
        <f>'Loan Portfolio IFRS 9'!AE218</f>
        <v>0.10374328174205837</v>
      </c>
      <c r="AC62" s="13">
        <f t="shared" ref="AC62:BI62" si="0">AC63+AC64</f>
        <v>0.14263708018900942</v>
      </c>
      <c r="AD62" s="13">
        <f t="shared" si="0"/>
        <v>0.15604190796416501</v>
      </c>
      <c r="AE62" s="13">
        <f t="shared" si="0"/>
        <v>0.15397578647488314</v>
      </c>
      <c r="AF62" s="13">
        <f t="shared" si="0"/>
        <v>0.15642326327912695</v>
      </c>
      <c r="AG62" s="13">
        <f t="shared" si="0"/>
        <v>0.15208973006873899</v>
      </c>
      <c r="AH62" s="13">
        <f t="shared" si="0"/>
        <v>0.16362178056698573</v>
      </c>
      <c r="AI62" s="13">
        <f t="shared" si="0"/>
        <v>0.15256138643644235</v>
      </c>
      <c r="AJ62" s="13">
        <f t="shared" si="0"/>
        <v>0.13434582874449003</v>
      </c>
      <c r="AK62" s="13">
        <f t="shared" si="0"/>
        <v>0.12443861985006652</v>
      </c>
      <c r="AL62" s="13">
        <f t="shared" si="0"/>
        <v>0.11336780479108508</v>
      </c>
      <c r="AM62" s="13">
        <f t="shared" si="0"/>
        <v>9.8761341348589271E-2</v>
      </c>
      <c r="AN62" s="13">
        <f t="shared" si="0"/>
        <v>0.11162783599798159</v>
      </c>
      <c r="AO62" s="13">
        <f t="shared" si="0"/>
        <v>9.9575107487004433E-2</v>
      </c>
      <c r="AP62" s="13">
        <f t="shared" si="0"/>
        <v>9.590792674094531E-2</v>
      </c>
      <c r="AQ62" s="13">
        <f t="shared" si="0"/>
        <v>9.9490631904105231E-2</v>
      </c>
      <c r="AR62" s="13">
        <f t="shared" si="0"/>
        <v>0.12119599011484317</v>
      </c>
      <c r="AS62" s="13">
        <f t="shared" si="0"/>
        <v>0.12859749493692738</v>
      </c>
      <c r="AT62" s="13">
        <f t="shared" si="0"/>
        <v>0.12398087978057645</v>
      </c>
      <c r="AU62" s="13">
        <f t="shared" si="0"/>
        <v>0.13687516271123545</v>
      </c>
      <c r="AV62" s="13">
        <f t="shared" si="0"/>
        <v>0.13873396604395583</v>
      </c>
      <c r="AW62" s="13">
        <f t="shared" si="0"/>
        <v>0.13563191337486902</v>
      </c>
      <c r="AX62" s="13">
        <f t="shared" si="0"/>
        <v>0.13107122062207782</v>
      </c>
      <c r="AY62" s="13">
        <f t="shared" si="0"/>
        <v>0.13226392339865392</v>
      </c>
      <c r="AZ62" s="13">
        <f t="shared" si="0"/>
        <v>0.14324288625322512</v>
      </c>
      <c r="BA62" s="13">
        <f t="shared" si="0"/>
        <v>0.1232491809924893</v>
      </c>
      <c r="BB62" s="13">
        <f t="shared" si="0"/>
        <v>0.11379709739106007</v>
      </c>
      <c r="BC62" s="13">
        <f t="shared" si="0"/>
        <v>0.10807298954874947</v>
      </c>
      <c r="BD62" s="13">
        <f t="shared" si="0"/>
        <v>0.1144866641264967</v>
      </c>
      <c r="BE62" s="13">
        <f t="shared" si="0"/>
        <v>0.10960066155534182</v>
      </c>
      <c r="BF62" s="13">
        <f t="shared" si="0"/>
        <v>0.11749225565323013</v>
      </c>
      <c r="BG62" s="13">
        <f t="shared" si="0"/>
        <v>0.14006242825526691</v>
      </c>
      <c r="BH62" s="13">
        <f t="shared" si="0"/>
        <v>0.14905615743913941</v>
      </c>
      <c r="BI62" s="13">
        <f t="shared" si="0"/>
        <v>0.14493248894951535</v>
      </c>
      <c r="BJ62" s="13">
        <v>0.10960066155534182</v>
      </c>
      <c r="BK62" s="13">
        <v>0.11749225565323013</v>
      </c>
      <c r="BL62" s="1">
        <v>0.14006242825526691</v>
      </c>
      <c r="BM62" s="1">
        <v>0.14905615743913941</v>
      </c>
      <c r="BN62" s="1">
        <v>0.14493248894951535</v>
      </c>
      <c r="BO62" s="1" t="s">
        <v>121</v>
      </c>
      <c r="BP62" s="1" t="s">
        <v>121</v>
      </c>
      <c r="BQ62" s="1" t="s">
        <v>121</v>
      </c>
      <c r="BR62" s="1" t="s">
        <v>121</v>
      </c>
      <c r="BS62" s="1" t="s">
        <v>121</v>
      </c>
      <c r="BT62" s="1" t="s">
        <v>121</v>
      </c>
      <c r="BU62" s="1" t="s">
        <v>121</v>
      </c>
      <c r="BV62" s="1" t="s">
        <v>121</v>
      </c>
      <c r="BW62" s="1" t="s">
        <v>121</v>
      </c>
      <c r="BX62" s="1" t="s">
        <v>121</v>
      </c>
      <c r="BY62" s="1" t="s">
        <v>121</v>
      </c>
      <c r="BZ62" s="1" t="s">
        <v>121</v>
      </c>
      <c r="CA62" s="1" t="s">
        <v>121</v>
      </c>
      <c r="CB62" s="1" t="s">
        <v>121</v>
      </c>
      <c r="CC62" s="1" t="s">
        <v>121</v>
      </c>
      <c r="CD62" s="1" t="s">
        <v>121</v>
      </c>
      <c r="CE62" s="1" t="s">
        <v>121</v>
      </c>
      <c r="CF62" s="1" t="s">
        <v>121</v>
      </c>
      <c r="CG62" s="1" t="s">
        <v>121</v>
      </c>
      <c r="CH62" s="1" t="s">
        <v>121</v>
      </c>
      <c r="CI62" s="1" t="s">
        <v>121</v>
      </c>
      <c r="CJ62" s="1" t="s">
        <v>121</v>
      </c>
      <c r="CK62" s="1" t="s">
        <v>121</v>
      </c>
      <c r="CL62" s="1" t="s">
        <v>121</v>
      </c>
      <c r="CM62" s="1" t="s">
        <v>121</v>
      </c>
      <c r="CN62" s="1" t="s">
        <v>121</v>
      </c>
      <c r="CO62" s="1" t="s">
        <v>121</v>
      </c>
      <c r="CP62" s="1" t="s">
        <v>121</v>
      </c>
      <c r="CQ62" s="1" t="s">
        <v>121</v>
      </c>
      <c r="CR62" s="1" t="s">
        <v>121</v>
      </c>
      <c r="CS62" s="1" t="s">
        <v>121</v>
      </c>
      <c r="CT62" s="1" t="s">
        <v>121</v>
      </c>
      <c r="CU62" s="1" t="s">
        <v>121</v>
      </c>
      <c r="CV62" s="1" t="s">
        <v>121</v>
      </c>
      <c r="CW62" s="1" t="s">
        <v>121</v>
      </c>
      <c r="CX62" s="1" t="s">
        <v>121</v>
      </c>
      <c r="CY62" s="1" t="s">
        <v>121</v>
      </c>
      <c r="CZ62" s="1" t="s">
        <v>121</v>
      </c>
      <c r="DA62" s="1" t="s">
        <v>121</v>
      </c>
      <c r="DB62" s="1" t="s">
        <v>121</v>
      </c>
      <c r="DC62" s="1" t="s">
        <v>121</v>
      </c>
      <c r="DD62" s="1" t="s">
        <v>121</v>
      </c>
      <c r="DE62" s="1" t="s">
        <v>121</v>
      </c>
      <c r="DF62" s="1" t="s">
        <v>121</v>
      </c>
      <c r="DG62" s="1" t="s">
        <v>121</v>
      </c>
      <c r="DH62" s="1" t="s">
        <v>121</v>
      </c>
      <c r="DI62" s="1" t="s">
        <v>121</v>
      </c>
      <c r="DJ62" s="1" t="s">
        <v>121</v>
      </c>
      <c r="DK62" s="1" t="s">
        <v>121</v>
      </c>
      <c r="DL62" s="1" t="s">
        <v>121</v>
      </c>
      <c r="DM62" s="1" t="s">
        <v>121</v>
      </c>
      <c r="DN62" s="1" t="s">
        <v>121</v>
      </c>
      <c r="DO62" s="1" t="s">
        <v>121</v>
      </c>
      <c r="DP62" s="1" t="s">
        <v>121</v>
      </c>
      <c r="DQ62" s="1" t="s">
        <v>121</v>
      </c>
      <c r="DR62" s="1" t="s">
        <v>121</v>
      </c>
      <c r="DS62" s="1" t="s">
        <v>121</v>
      </c>
      <c r="DT62" s="1" t="s">
        <v>121</v>
      </c>
      <c r="DU62" s="1" t="s">
        <v>121</v>
      </c>
      <c r="DV62" s="1" t="s">
        <v>121</v>
      </c>
      <c r="DW62" s="1" t="s">
        <v>121</v>
      </c>
      <c r="DX62" s="1" t="s">
        <v>121</v>
      </c>
      <c r="DY62" s="1" t="s">
        <v>121</v>
      </c>
      <c r="DZ62" s="1" t="s">
        <v>121</v>
      </c>
      <c r="EA62" s="1" t="s">
        <v>121</v>
      </c>
      <c r="EB62" s="1" t="s">
        <v>121</v>
      </c>
      <c r="EC62" s="1" t="s">
        <v>121</v>
      </c>
      <c r="ED62" s="1" t="s">
        <v>121</v>
      </c>
      <c r="EE62" s="1" t="s">
        <v>121</v>
      </c>
      <c r="EF62" s="1" t="s">
        <v>121</v>
      </c>
      <c r="EG62" s="1" t="s">
        <v>121</v>
      </c>
      <c r="EH62" s="1" t="s">
        <v>121</v>
      </c>
      <c r="EI62" s="1" t="s">
        <v>121</v>
      </c>
      <c r="EJ62" s="1" t="s">
        <v>121</v>
      </c>
      <c r="EK62" s="1" t="s">
        <v>121</v>
      </c>
      <c r="EL62" s="1" t="s">
        <v>121</v>
      </c>
      <c r="EM62" s="1" t="s">
        <v>121</v>
      </c>
      <c r="EN62" s="1" t="s">
        <v>121</v>
      </c>
      <c r="EO62" s="1" t="s">
        <v>121</v>
      </c>
      <c r="EP62" s="1" t="s">
        <v>121</v>
      </c>
    </row>
    <row r="63" spans="1:146" x14ac:dyDescent="0.25">
      <c r="A63" s="72">
        <v>63</v>
      </c>
      <c r="B63" s="5" t="s">
        <v>44</v>
      </c>
      <c r="C63" s="222" t="s">
        <v>80</v>
      </c>
      <c r="D63" s="222" t="s">
        <v>80</v>
      </c>
      <c r="E63" s="222" t="s">
        <v>80</v>
      </c>
      <c r="F63" s="222" t="s">
        <v>80</v>
      </c>
      <c r="G63" s="222" t="s">
        <v>80</v>
      </c>
      <c r="H63" s="222" t="s">
        <v>80</v>
      </c>
      <c r="I63" s="222" t="s">
        <v>80</v>
      </c>
      <c r="J63" s="222" t="s">
        <v>80</v>
      </c>
      <c r="K63" s="222" t="s">
        <v>80</v>
      </c>
      <c r="L63" s="222" t="s">
        <v>80</v>
      </c>
      <c r="M63" s="222" t="s">
        <v>80</v>
      </c>
      <c r="N63" s="222" t="s">
        <v>80</v>
      </c>
      <c r="O63" s="222" t="s">
        <v>80</v>
      </c>
      <c r="P63" s="222" t="s">
        <v>80</v>
      </c>
      <c r="Q63" s="222" t="s">
        <v>80</v>
      </c>
      <c r="R63" s="222" t="s">
        <v>80</v>
      </c>
      <c r="S63" s="222" t="s">
        <v>80</v>
      </c>
      <c r="T63" s="222" t="s">
        <v>80</v>
      </c>
      <c r="U63" s="222" t="s">
        <v>80</v>
      </c>
      <c r="V63" s="222" t="s">
        <v>80</v>
      </c>
      <c r="W63" s="222" t="s">
        <v>80</v>
      </c>
      <c r="X63" s="222" t="s">
        <v>80</v>
      </c>
      <c r="Y63" s="222" t="s">
        <v>80</v>
      </c>
      <c r="Z63" s="222" t="s">
        <v>80</v>
      </c>
      <c r="AA63" s="222" t="s">
        <v>80</v>
      </c>
      <c r="AB63" s="222" t="s">
        <v>80</v>
      </c>
      <c r="AC63" s="13">
        <f>'Loan Portfolio IAS 39'!E104</f>
        <v>8.3491582837271497E-2</v>
      </c>
      <c r="AD63" s="13">
        <f>'Loan Portfolio IAS 39'!F104</f>
        <v>7.9341456833090199E-2</v>
      </c>
      <c r="AE63" s="13">
        <f>'Loan Portfolio IAS 39'!G104</f>
        <v>7.5636951199147609E-2</v>
      </c>
      <c r="AF63" s="13">
        <f>'Loan Portfolio IAS 39'!H104</f>
        <v>8.5566475430876199E-2</v>
      </c>
      <c r="AG63" s="13">
        <f>'Loan Portfolio IAS 39'!I104</f>
        <v>9.1755013452465145E-2</v>
      </c>
      <c r="AH63" s="13">
        <f>'Loan Portfolio IAS 39'!J104</f>
        <v>9.2005935733012731E-2</v>
      </c>
      <c r="AI63" s="13">
        <f>'Loan Portfolio IAS 39'!K104</f>
        <v>8.7713163644463979E-2</v>
      </c>
      <c r="AJ63" s="13">
        <f>'Loan Portfolio IAS 39'!L104</f>
        <v>7.0209015337358877E-2</v>
      </c>
      <c r="AK63" s="13">
        <f>'Loan Portfolio IAS 39'!M104</f>
        <v>6.5874263242884826E-2</v>
      </c>
      <c r="AL63" s="13">
        <f>'Loan Portfolio IAS 39'!N104</f>
        <v>6.4864574475660811E-2</v>
      </c>
      <c r="AM63" s="13">
        <f>'Loan Portfolio IAS 39'!O104</f>
        <v>5.2935661337490482E-2</v>
      </c>
      <c r="AN63" s="13">
        <f>'Loan Portfolio IAS 39'!P104</f>
        <v>7.0592715610390017E-2</v>
      </c>
      <c r="AO63" s="13">
        <f>'Loan Portfolio IAS 39'!Q104</f>
        <v>5.4071270742024315E-2</v>
      </c>
      <c r="AP63" s="13">
        <f>'Loan Portfolio IAS 39'!R104</f>
        <v>4.9343061699626142E-2</v>
      </c>
      <c r="AQ63" s="13">
        <f>'Loan Portfolio IAS 39'!S104</f>
        <v>4.4552359731700124E-2</v>
      </c>
      <c r="AR63" s="13">
        <f>'Loan Portfolio IAS 39'!T104</f>
        <v>5.7160253698905095E-2</v>
      </c>
      <c r="AS63" s="13">
        <f>'Loan Portfolio IAS 39'!U104</f>
        <v>5.6925889138457066E-2</v>
      </c>
      <c r="AT63" s="13">
        <f>'Loan Portfolio IAS 39'!V104</f>
        <v>5.9986021449719568E-2</v>
      </c>
      <c r="AU63" s="13">
        <f>'Loan Portfolio IAS 39'!W104</f>
        <v>8.7432550008532103E-2</v>
      </c>
      <c r="AV63" s="13">
        <f>'Loan Portfolio IAS 39'!X104</f>
        <v>8.483889327509081E-2</v>
      </c>
      <c r="AW63" s="13">
        <f>'Loan Portfolio IAS 39'!Y104</f>
        <v>8.4042659836243816E-2</v>
      </c>
      <c r="AX63" s="13">
        <f>'Loan Portfolio IAS 39'!Z104</f>
        <v>7.9072178413760824E-2</v>
      </c>
      <c r="AY63" s="13">
        <f>'Loan Portfolio IAS 39'!AA104</f>
        <v>7.9055921000201063E-2</v>
      </c>
      <c r="AZ63" s="13">
        <f>'Loan Portfolio IAS 39'!AB104</f>
        <v>8.3515274774501991E-2</v>
      </c>
      <c r="BA63" s="13">
        <f>'Loan Portfolio IAS 39'!AC104</f>
        <v>6.6159006532212059E-2</v>
      </c>
      <c r="BB63" s="13">
        <f>'Loan Portfolio IAS 39'!AD104</f>
        <v>6.818781442106471E-2</v>
      </c>
      <c r="BC63" s="13">
        <f>'Loan Portfolio IAS 39'!AE104</f>
        <v>6.1909881661137534E-2</v>
      </c>
      <c r="BD63" s="13">
        <f>'Loan Portfolio IAS 39'!AF104</f>
        <v>6.2525600209159801E-2</v>
      </c>
      <c r="BE63" s="13">
        <f>'Loan Portfolio IAS 39'!AG104</f>
        <v>5.8801850527950013E-2</v>
      </c>
      <c r="BF63" s="13">
        <f>'Loan Portfolio IAS 39'!AH104</f>
        <v>5.9256317149064958E-2</v>
      </c>
      <c r="BG63" s="13">
        <f>'Loan Portfolio IAS 39'!AI104</f>
        <v>6.8696486073406282E-2</v>
      </c>
      <c r="BH63" s="13">
        <f>'Loan Portfolio IAS 39'!AJ104</f>
        <v>6.3399461821150999E-2</v>
      </c>
      <c r="BI63" s="13">
        <f>'Loan Portfolio IAS 39'!AK104</f>
        <v>7.1355632006864705E-2</v>
      </c>
      <c r="BJ63" s="13">
        <v>5.8801850527950013E-2</v>
      </c>
      <c r="BK63" s="13">
        <v>5.9256317149064958E-2</v>
      </c>
      <c r="BL63" s="1">
        <v>6.8696486073406282E-2</v>
      </c>
      <c r="BM63" s="1">
        <v>6.3399461821150999E-2</v>
      </c>
      <c r="BN63" s="1">
        <v>7.1355632006864705E-2</v>
      </c>
      <c r="BO63" s="1" t="s">
        <v>121</v>
      </c>
      <c r="BP63" s="1" t="s">
        <v>121</v>
      </c>
      <c r="BQ63" s="1" t="s">
        <v>121</v>
      </c>
      <c r="BR63" s="1" t="s">
        <v>121</v>
      </c>
      <c r="BS63" s="1" t="s">
        <v>121</v>
      </c>
      <c r="BT63" s="1" t="s">
        <v>121</v>
      </c>
      <c r="BU63" s="1" t="s">
        <v>121</v>
      </c>
      <c r="BV63" s="1" t="s">
        <v>121</v>
      </c>
      <c r="BW63" s="1" t="s">
        <v>121</v>
      </c>
      <c r="BX63" s="1" t="s">
        <v>121</v>
      </c>
      <c r="BY63" s="1" t="s">
        <v>121</v>
      </c>
      <c r="BZ63" s="1" t="s">
        <v>121</v>
      </c>
      <c r="CA63" s="1" t="s">
        <v>121</v>
      </c>
      <c r="CB63" s="1" t="s">
        <v>121</v>
      </c>
      <c r="CC63" s="1" t="s">
        <v>121</v>
      </c>
      <c r="CD63" s="1" t="s">
        <v>121</v>
      </c>
      <c r="CE63" s="1" t="s">
        <v>121</v>
      </c>
      <c r="CF63" s="1" t="s">
        <v>121</v>
      </c>
      <c r="CG63" s="1" t="s">
        <v>121</v>
      </c>
      <c r="CH63" s="1" t="s">
        <v>121</v>
      </c>
      <c r="CI63" s="1" t="s">
        <v>121</v>
      </c>
      <c r="CJ63" s="1" t="s">
        <v>121</v>
      </c>
      <c r="CK63" s="1" t="s">
        <v>121</v>
      </c>
      <c r="CL63" s="1" t="s">
        <v>121</v>
      </c>
      <c r="CM63" s="1" t="s">
        <v>121</v>
      </c>
      <c r="CN63" s="1" t="s">
        <v>121</v>
      </c>
      <c r="CO63" s="1" t="s">
        <v>121</v>
      </c>
      <c r="CP63" s="1" t="s">
        <v>121</v>
      </c>
      <c r="CQ63" s="1" t="s">
        <v>121</v>
      </c>
      <c r="CR63" s="1" t="s">
        <v>121</v>
      </c>
      <c r="CS63" s="1" t="s">
        <v>121</v>
      </c>
      <c r="CT63" s="1" t="s">
        <v>121</v>
      </c>
      <c r="CU63" s="1" t="s">
        <v>121</v>
      </c>
      <c r="CV63" s="1" t="s">
        <v>121</v>
      </c>
      <c r="CW63" s="1" t="s">
        <v>121</v>
      </c>
      <c r="CX63" s="1" t="s">
        <v>121</v>
      </c>
      <c r="CY63" s="1" t="s">
        <v>121</v>
      </c>
      <c r="CZ63" s="1" t="s">
        <v>121</v>
      </c>
      <c r="DA63" s="1" t="s">
        <v>121</v>
      </c>
      <c r="DB63" s="1" t="s">
        <v>121</v>
      </c>
      <c r="DC63" s="1" t="s">
        <v>121</v>
      </c>
      <c r="DD63" s="1" t="s">
        <v>121</v>
      </c>
      <c r="DE63" s="1" t="s">
        <v>121</v>
      </c>
      <c r="DF63" s="1" t="s">
        <v>121</v>
      </c>
      <c r="DG63" s="1" t="s">
        <v>121</v>
      </c>
      <c r="DH63" s="1" t="s">
        <v>121</v>
      </c>
      <c r="DI63" s="1" t="s">
        <v>121</v>
      </c>
      <c r="DJ63" s="1" t="s">
        <v>121</v>
      </c>
      <c r="DK63" s="1" t="s">
        <v>121</v>
      </c>
      <c r="DL63" s="1" t="s">
        <v>121</v>
      </c>
      <c r="DM63" s="1" t="s">
        <v>121</v>
      </c>
      <c r="DN63" s="1" t="s">
        <v>121</v>
      </c>
      <c r="DO63" s="1" t="s">
        <v>121</v>
      </c>
      <c r="DP63" s="1" t="s">
        <v>121</v>
      </c>
      <c r="DQ63" s="1" t="s">
        <v>121</v>
      </c>
      <c r="DR63" s="1" t="s">
        <v>121</v>
      </c>
      <c r="DS63" s="1" t="s">
        <v>121</v>
      </c>
      <c r="DT63" s="1" t="s">
        <v>121</v>
      </c>
      <c r="DU63" s="1" t="s">
        <v>121</v>
      </c>
      <c r="DV63" s="1" t="s">
        <v>121</v>
      </c>
      <c r="DW63" s="1" t="s">
        <v>121</v>
      </c>
      <c r="DX63" s="1" t="s">
        <v>121</v>
      </c>
      <c r="DY63" s="1" t="s">
        <v>121</v>
      </c>
      <c r="DZ63" s="1" t="s">
        <v>121</v>
      </c>
      <c r="EA63" s="1" t="s">
        <v>121</v>
      </c>
      <c r="EB63" s="1" t="s">
        <v>121</v>
      </c>
      <c r="EC63" s="1" t="s">
        <v>121</v>
      </c>
      <c r="ED63" s="1" t="s">
        <v>121</v>
      </c>
      <c r="EE63" s="1" t="s">
        <v>121</v>
      </c>
      <c r="EF63" s="1" t="s">
        <v>121</v>
      </c>
      <c r="EG63" s="1" t="s">
        <v>121</v>
      </c>
      <c r="EH63" s="1" t="s">
        <v>121</v>
      </c>
      <c r="EI63" s="1" t="s">
        <v>121</v>
      </c>
      <c r="EJ63" s="1" t="s">
        <v>121</v>
      </c>
      <c r="EK63" s="1" t="s">
        <v>121</v>
      </c>
      <c r="EL63" s="1" t="s">
        <v>121</v>
      </c>
      <c r="EM63" s="1" t="s">
        <v>121</v>
      </c>
      <c r="EN63" s="1" t="s">
        <v>121</v>
      </c>
      <c r="EO63" s="1" t="s">
        <v>121</v>
      </c>
      <c r="EP63" s="1" t="s">
        <v>121</v>
      </c>
    </row>
    <row r="64" spans="1:146" x14ac:dyDescent="0.25">
      <c r="A64" s="307">
        <v>64</v>
      </c>
      <c r="B64" s="5" t="s">
        <v>55</v>
      </c>
      <c r="C64" s="222" t="s">
        <v>80</v>
      </c>
      <c r="D64" s="222" t="s">
        <v>80</v>
      </c>
      <c r="E64" s="222" t="s">
        <v>80</v>
      </c>
      <c r="F64" s="222" t="s">
        <v>80</v>
      </c>
      <c r="G64" s="222" t="s">
        <v>80</v>
      </c>
      <c r="H64" s="222" t="s">
        <v>80</v>
      </c>
      <c r="I64" s="222" t="s">
        <v>80</v>
      </c>
      <c r="J64" s="222" t="s">
        <v>80</v>
      </c>
      <c r="K64" s="222" t="s">
        <v>80</v>
      </c>
      <c r="L64" s="222" t="s">
        <v>80</v>
      </c>
      <c r="M64" s="222" t="s">
        <v>80</v>
      </c>
      <c r="N64" s="222" t="s">
        <v>80</v>
      </c>
      <c r="O64" s="222" t="s">
        <v>80</v>
      </c>
      <c r="P64" s="222" t="s">
        <v>80</v>
      </c>
      <c r="Q64" s="222" t="s">
        <v>80</v>
      </c>
      <c r="R64" s="222" t="s">
        <v>80</v>
      </c>
      <c r="S64" s="222" t="s">
        <v>80</v>
      </c>
      <c r="T64" s="222" t="s">
        <v>80</v>
      </c>
      <c r="U64" s="222" t="s">
        <v>80</v>
      </c>
      <c r="V64" s="222" t="s">
        <v>80</v>
      </c>
      <c r="W64" s="222" t="s">
        <v>80</v>
      </c>
      <c r="X64" s="222" t="s">
        <v>80</v>
      </c>
      <c r="Y64" s="222" t="s">
        <v>80</v>
      </c>
      <c r="Z64" s="222" t="s">
        <v>80</v>
      </c>
      <c r="AA64" s="222" t="s">
        <v>80</v>
      </c>
      <c r="AB64" s="222" t="s">
        <v>80</v>
      </c>
      <c r="AC64" s="13">
        <f>'Loan Portfolio IAS 39'!E105</f>
        <v>5.9145497351737922E-2</v>
      </c>
      <c r="AD64" s="13">
        <f>'Loan Portfolio IAS 39'!F105</f>
        <v>7.6700451131074793E-2</v>
      </c>
      <c r="AE64" s="13">
        <f>'Loan Portfolio IAS 39'!G105</f>
        <v>7.8338835275735541E-2</v>
      </c>
      <c r="AF64" s="13">
        <f>'Loan Portfolio IAS 39'!H105</f>
        <v>7.0856787848250752E-2</v>
      </c>
      <c r="AG64" s="13">
        <f>'Loan Portfolio IAS 39'!I105</f>
        <v>6.0334716616273834E-2</v>
      </c>
      <c r="AH64" s="13">
        <f>'Loan Portfolio IAS 39'!J105</f>
        <v>7.1615844833972986E-2</v>
      </c>
      <c r="AI64" s="13">
        <f>'Loan Portfolio IAS 39'!K105</f>
        <v>6.4848222791978355E-2</v>
      </c>
      <c r="AJ64" s="13">
        <f>'Loan Portfolio IAS 39'!L105</f>
        <v>6.4136813407131135E-2</v>
      </c>
      <c r="AK64" s="13">
        <f>'Loan Portfolio IAS 39'!M105</f>
        <v>5.8564356607181685E-2</v>
      </c>
      <c r="AL64" s="13">
        <f>'Loan Portfolio IAS 39'!N105</f>
        <v>4.8503230315424271E-2</v>
      </c>
      <c r="AM64" s="13">
        <f>'Loan Portfolio IAS 39'!O105</f>
        <v>4.5825680011098796E-2</v>
      </c>
      <c r="AN64" s="13">
        <f>'Loan Portfolio IAS 39'!P105</f>
        <v>4.1035120387591578E-2</v>
      </c>
      <c r="AO64" s="13">
        <f>'Loan Portfolio IAS 39'!Q105</f>
        <v>4.5503836744980118E-2</v>
      </c>
      <c r="AP64" s="13">
        <f>'Loan Portfolio IAS 39'!R105</f>
        <v>4.6564865041319174E-2</v>
      </c>
      <c r="AQ64" s="13">
        <f>'Loan Portfolio IAS 39'!S105</f>
        <v>5.4938272172405114E-2</v>
      </c>
      <c r="AR64" s="13">
        <f>'Loan Portfolio IAS 39'!T105</f>
        <v>6.4035736415938072E-2</v>
      </c>
      <c r="AS64" s="13">
        <f>'Loan Portfolio IAS 39'!U105</f>
        <v>7.1671605798470317E-2</v>
      </c>
      <c r="AT64" s="13">
        <f>'Loan Portfolio IAS 39'!V105</f>
        <v>6.3994858330856885E-2</v>
      </c>
      <c r="AU64" s="13">
        <f>'Loan Portfolio IAS 39'!W105</f>
        <v>4.9442612702703365E-2</v>
      </c>
      <c r="AV64" s="13">
        <f>'Loan Portfolio IAS 39'!X105</f>
        <v>5.3895072768865029E-2</v>
      </c>
      <c r="AW64" s="13">
        <f>'Loan Portfolio IAS 39'!Y105</f>
        <v>5.1589253538625188E-2</v>
      </c>
      <c r="AX64" s="13">
        <f>'Loan Portfolio IAS 39'!Z105</f>
        <v>5.1999042208316984E-2</v>
      </c>
      <c r="AY64" s="13">
        <f>'Loan Portfolio IAS 39'!AA105</f>
        <v>5.3208002398452858E-2</v>
      </c>
      <c r="AZ64" s="13">
        <f>'Loan Portfolio IAS 39'!AB105</f>
        <v>5.9727611478723137E-2</v>
      </c>
      <c r="BA64" s="13">
        <f>'Loan Portfolio IAS 39'!AC105</f>
        <v>5.7090174460277247E-2</v>
      </c>
      <c r="BB64" s="13">
        <f>'Loan Portfolio IAS 39'!AD105</f>
        <v>4.5609282969995363E-2</v>
      </c>
      <c r="BC64" s="13">
        <f>'Loan Portfolio IAS 39'!AE105</f>
        <v>4.6163107887611937E-2</v>
      </c>
      <c r="BD64" s="13">
        <f>'Loan Portfolio IAS 39'!AF105</f>
        <v>5.1961063917336903E-2</v>
      </c>
      <c r="BE64" s="13">
        <f>'Loan Portfolio IAS 39'!AG105</f>
        <v>5.0798811027391796E-2</v>
      </c>
      <c r="BF64" s="13">
        <f>'Loan Portfolio IAS 39'!AH105</f>
        <v>5.8235938504165162E-2</v>
      </c>
      <c r="BG64" s="13">
        <f>'Loan Portfolio IAS 39'!AI105</f>
        <v>7.1365942181860625E-2</v>
      </c>
      <c r="BH64" s="13">
        <f>'Loan Portfolio IAS 39'!AJ105</f>
        <v>8.5656695617988429E-2</v>
      </c>
      <c r="BI64" s="13">
        <f>'Loan Portfolio IAS 39'!AK105</f>
        <v>7.3576856942650648E-2</v>
      </c>
      <c r="BJ64" s="13">
        <v>5.0798811027391796E-2</v>
      </c>
      <c r="BK64" s="13">
        <v>5.8235938504165162E-2</v>
      </c>
      <c r="BL64" s="1">
        <v>7.1365942181860625E-2</v>
      </c>
      <c r="BM64" s="1">
        <v>8.5656695617988429E-2</v>
      </c>
      <c r="BN64" s="1">
        <v>7.3576856942650648E-2</v>
      </c>
      <c r="BO64" s="1" t="s">
        <v>121</v>
      </c>
      <c r="BP64" s="1" t="s">
        <v>121</v>
      </c>
      <c r="BQ64" s="1" t="s">
        <v>121</v>
      </c>
      <c r="BR64" s="1" t="s">
        <v>121</v>
      </c>
      <c r="BS64" s="1" t="s">
        <v>121</v>
      </c>
      <c r="BT64" s="1" t="s">
        <v>121</v>
      </c>
      <c r="BU64" s="1" t="s">
        <v>121</v>
      </c>
      <c r="BV64" s="1" t="s">
        <v>121</v>
      </c>
      <c r="BW64" s="1" t="s">
        <v>121</v>
      </c>
      <c r="BX64" s="1" t="s">
        <v>121</v>
      </c>
      <c r="BY64" s="1" t="s">
        <v>121</v>
      </c>
      <c r="BZ64" s="1" t="s">
        <v>121</v>
      </c>
      <c r="CA64" s="1" t="s">
        <v>121</v>
      </c>
      <c r="CB64" s="1" t="s">
        <v>121</v>
      </c>
      <c r="CC64" s="1" t="s">
        <v>121</v>
      </c>
      <c r="CD64" s="1" t="s">
        <v>121</v>
      </c>
      <c r="CE64" s="1" t="s">
        <v>121</v>
      </c>
      <c r="CF64" s="1" t="s">
        <v>121</v>
      </c>
      <c r="CG64" s="1" t="s">
        <v>121</v>
      </c>
      <c r="CH64" s="1" t="s">
        <v>121</v>
      </c>
      <c r="CI64" s="1" t="s">
        <v>121</v>
      </c>
      <c r="CJ64" s="1" t="s">
        <v>121</v>
      </c>
      <c r="CK64" s="1" t="s">
        <v>121</v>
      </c>
      <c r="CL64" s="1" t="s">
        <v>121</v>
      </c>
      <c r="CM64" s="1" t="s">
        <v>121</v>
      </c>
      <c r="CN64" s="1" t="s">
        <v>121</v>
      </c>
      <c r="CO64" s="1" t="s">
        <v>121</v>
      </c>
      <c r="CP64" s="1" t="s">
        <v>121</v>
      </c>
      <c r="CQ64" s="1" t="s">
        <v>121</v>
      </c>
      <c r="CR64" s="1" t="s">
        <v>121</v>
      </c>
      <c r="CS64" s="1" t="s">
        <v>121</v>
      </c>
      <c r="CT64" s="1" t="s">
        <v>121</v>
      </c>
      <c r="CU64" s="1" t="s">
        <v>121</v>
      </c>
      <c r="CV64" s="1" t="s">
        <v>121</v>
      </c>
      <c r="CW64" s="1" t="s">
        <v>121</v>
      </c>
      <c r="CX64" s="1" t="s">
        <v>121</v>
      </c>
      <c r="CY64" s="1" t="s">
        <v>121</v>
      </c>
      <c r="CZ64" s="1" t="s">
        <v>121</v>
      </c>
      <c r="DA64" s="1" t="s">
        <v>121</v>
      </c>
      <c r="DB64" s="1" t="s">
        <v>121</v>
      </c>
      <c r="DC64" s="1" t="s">
        <v>121</v>
      </c>
      <c r="DD64" s="1" t="s">
        <v>121</v>
      </c>
      <c r="DE64" s="1" t="s">
        <v>121</v>
      </c>
      <c r="DF64" s="1" t="s">
        <v>121</v>
      </c>
      <c r="DG64" s="1" t="s">
        <v>121</v>
      </c>
      <c r="DH64" s="1" t="s">
        <v>121</v>
      </c>
      <c r="DI64" s="1" t="s">
        <v>121</v>
      </c>
      <c r="DJ64" s="1" t="s">
        <v>121</v>
      </c>
      <c r="DK64" s="1" t="s">
        <v>121</v>
      </c>
      <c r="DL64" s="1" t="s">
        <v>121</v>
      </c>
      <c r="DM64" s="1" t="s">
        <v>121</v>
      </c>
      <c r="DN64" s="1" t="s">
        <v>121</v>
      </c>
      <c r="DO64" s="1" t="s">
        <v>121</v>
      </c>
      <c r="DP64" s="1" t="s">
        <v>121</v>
      </c>
      <c r="DQ64" s="1" t="s">
        <v>121</v>
      </c>
      <c r="DR64" s="1" t="s">
        <v>121</v>
      </c>
      <c r="DS64" s="1" t="s">
        <v>121</v>
      </c>
      <c r="DT64" s="1" t="s">
        <v>121</v>
      </c>
      <c r="DU64" s="1" t="s">
        <v>121</v>
      </c>
      <c r="DV64" s="1" t="s">
        <v>121</v>
      </c>
      <c r="DW64" s="1" t="s">
        <v>121</v>
      </c>
      <c r="DX64" s="1" t="s">
        <v>121</v>
      </c>
      <c r="DY64" s="1" t="s">
        <v>121</v>
      </c>
      <c r="DZ64" s="1" t="s">
        <v>121</v>
      </c>
      <c r="EA64" s="1" t="s">
        <v>121</v>
      </c>
      <c r="EB64" s="1" t="s">
        <v>121</v>
      </c>
      <c r="EC64" s="1" t="s">
        <v>121</v>
      </c>
      <c r="ED64" s="1" t="s">
        <v>121</v>
      </c>
      <c r="EE64" s="1" t="s">
        <v>121</v>
      </c>
      <c r="EF64" s="1" t="s">
        <v>121</v>
      </c>
      <c r="EG64" s="1" t="s">
        <v>121</v>
      </c>
      <c r="EH64" s="1" t="s">
        <v>121</v>
      </c>
      <c r="EI64" s="1" t="s">
        <v>121</v>
      </c>
      <c r="EJ64" s="1" t="s">
        <v>121</v>
      </c>
      <c r="EK64" s="1" t="s">
        <v>121</v>
      </c>
      <c r="EL64" s="1" t="s">
        <v>121</v>
      </c>
      <c r="EM64" s="1" t="s">
        <v>121</v>
      </c>
      <c r="EN64" s="1" t="s">
        <v>121</v>
      </c>
      <c r="EO64" s="1" t="s">
        <v>121</v>
      </c>
      <c r="EP64" s="1" t="s">
        <v>121</v>
      </c>
    </row>
    <row r="65" spans="1:146" x14ac:dyDescent="0.25">
      <c r="A65" s="72">
        <v>65</v>
      </c>
      <c r="B65" s="5" t="s">
        <v>121</v>
      </c>
      <c r="C65" s="5" t="s">
        <v>121</v>
      </c>
      <c r="D65" s="1" t="s">
        <v>121</v>
      </c>
      <c r="E65" s="1" t="s">
        <v>121</v>
      </c>
      <c r="F65" s="1" t="s">
        <v>121</v>
      </c>
      <c r="G65" s="1" t="s">
        <v>121</v>
      </c>
      <c r="H65" s="1" t="s">
        <v>121</v>
      </c>
      <c r="I65" s="1" t="s">
        <v>121</v>
      </c>
      <c r="J65" s="5" t="s">
        <v>121</v>
      </c>
      <c r="K65" s="1" t="s">
        <v>121</v>
      </c>
      <c r="L65" s="1" t="s">
        <v>121</v>
      </c>
      <c r="M65" s="1" t="s">
        <v>121</v>
      </c>
      <c r="N65" s="1" t="s">
        <v>121</v>
      </c>
      <c r="O65" s="1" t="s">
        <v>121</v>
      </c>
      <c r="P65" s="1" t="s">
        <v>121</v>
      </c>
      <c r="Q65" s="1" t="s">
        <v>121</v>
      </c>
      <c r="R65" s="1" t="s">
        <v>121</v>
      </c>
      <c r="S65" s="1" t="s">
        <v>121</v>
      </c>
      <c r="T65" s="1" t="s">
        <v>121</v>
      </c>
      <c r="U65" s="1" t="s">
        <v>121</v>
      </c>
      <c r="V65" s="1" t="s">
        <v>121</v>
      </c>
      <c r="W65" s="5" t="s">
        <v>121</v>
      </c>
      <c r="X65" s="5" t="s">
        <v>121</v>
      </c>
      <c r="Y65" s="5" t="s">
        <v>121</v>
      </c>
      <c r="Z65" s="5" t="s">
        <v>121</v>
      </c>
      <c r="AA65" s="5" t="s">
        <v>121</v>
      </c>
      <c r="AB65" s="5" t="s">
        <v>121</v>
      </c>
      <c r="AC65" s="5" t="s">
        <v>121</v>
      </c>
      <c r="AD65" s="5" t="s">
        <v>121</v>
      </c>
      <c r="AE65" s="5" t="s">
        <v>121</v>
      </c>
      <c r="AF65" s="5" t="s">
        <v>121</v>
      </c>
      <c r="AG65" s="5" t="s">
        <v>121</v>
      </c>
      <c r="AH65" s="5" t="s">
        <v>121</v>
      </c>
      <c r="AI65" s="5" t="s">
        <v>121</v>
      </c>
      <c r="AJ65" s="5" t="s">
        <v>121</v>
      </c>
      <c r="AK65" s="5" t="s">
        <v>121</v>
      </c>
      <c r="AL65" s="5" t="s">
        <v>121</v>
      </c>
      <c r="AM65" s="5" t="s">
        <v>121</v>
      </c>
      <c r="AN65" s="5" t="s">
        <v>121</v>
      </c>
      <c r="AO65" s="5" t="s">
        <v>121</v>
      </c>
      <c r="AP65" s="5" t="s">
        <v>121</v>
      </c>
      <c r="AQ65" s="5" t="s">
        <v>121</v>
      </c>
      <c r="AR65" s="5" t="s">
        <v>121</v>
      </c>
      <c r="AS65" s="5" t="s">
        <v>121</v>
      </c>
      <c r="AT65" s="5" t="s">
        <v>121</v>
      </c>
      <c r="AU65" s="5" t="s">
        <v>121</v>
      </c>
      <c r="AV65" s="5" t="s">
        <v>121</v>
      </c>
      <c r="AW65" s="5" t="s">
        <v>121</v>
      </c>
      <c r="AX65" s="10" t="s">
        <v>121</v>
      </c>
      <c r="AY65" s="10" t="s">
        <v>121</v>
      </c>
      <c r="AZ65" s="10" t="s">
        <v>121</v>
      </c>
      <c r="BA65" s="10" t="s">
        <v>121</v>
      </c>
      <c r="BB65" s="10" t="s">
        <v>121</v>
      </c>
      <c r="BC65" s="10" t="s">
        <v>121</v>
      </c>
      <c r="BD65" s="10" t="s">
        <v>121</v>
      </c>
      <c r="BE65" s="10" t="s">
        <v>121</v>
      </c>
      <c r="BF65" s="10" t="s">
        <v>121</v>
      </c>
      <c r="BG65" s="10" t="s">
        <v>121</v>
      </c>
      <c r="BH65" s="10" t="s">
        <v>121</v>
      </c>
      <c r="BI65" s="1" t="s">
        <v>121</v>
      </c>
      <c r="BJ65" s="1" t="s">
        <v>121</v>
      </c>
      <c r="BK65" s="1" t="s">
        <v>121</v>
      </c>
      <c r="BL65" s="1" t="s">
        <v>121</v>
      </c>
      <c r="BM65" s="1" t="s">
        <v>121</v>
      </c>
      <c r="BN65" s="1" t="s">
        <v>121</v>
      </c>
      <c r="BO65" s="1" t="s">
        <v>121</v>
      </c>
      <c r="BP65" s="1" t="s">
        <v>121</v>
      </c>
      <c r="BQ65" s="1" t="s">
        <v>121</v>
      </c>
      <c r="BR65" s="1" t="s">
        <v>121</v>
      </c>
      <c r="BS65" s="1" t="s">
        <v>121</v>
      </c>
      <c r="BT65" s="1" t="s">
        <v>121</v>
      </c>
      <c r="BU65" s="1" t="s">
        <v>121</v>
      </c>
      <c r="BV65" s="1" t="s">
        <v>121</v>
      </c>
      <c r="BW65" s="1" t="s">
        <v>121</v>
      </c>
      <c r="BX65" s="1" t="s">
        <v>121</v>
      </c>
      <c r="BY65" s="1" t="s">
        <v>121</v>
      </c>
      <c r="BZ65" s="1" t="s">
        <v>121</v>
      </c>
      <c r="CA65" s="1" t="s">
        <v>121</v>
      </c>
      <c r="CB65" s="1" t="s">
        <v>121</v>
      </c>
      <c r="CC65" s="1" t="s">
        <v>121</v>
      </c>
      <c r="CD65" s="1" t="s">
        <v>121</v>
      </c>
      <c r="CE65" s="1" t="s">
        <v>121</v>
      </c>
      <c r="CF65" s="1" t="s">
        <v>121</v>
      </c>
      <c r="CG65" s="1" t="s">
        <v>121</v>
      </c>
      <c r="CH65" s="1" t="s">
        <v>121</v>
      </c>
      <c r="CI65" s="1" t="s">
        <v>121</v>
      </c>
      <c r="CJ65" s="1" t="s">
        <v>121</v>
      </c>
      <c r="CK65" s="1" t="s">
        <v>121</v>
      </c>
      <c r="CL65" s="1" t="s">
        <v>121</v>
      </c>
      <c r="CM65" s="1" t="s">
        <v>121</v>
      </c>
      <c r="CN65" s="1" t="s">
        <v>121</v>
      </c>
      <c r="CO65" s="1" t="s">
        <v>121</v>
      </c>
      <c r="CP65" s="1" t="s">
        <v>121</v>
      </c>
      <c r="CQ65" s="1" t="s">
        <v>121</v>
      </c>
      <c r="CR65" s="1" t="s">
        <v>121</v>
      </c>
      <c r="CS65" s="1" t="s">
        <v>121</v>
      </c>
      <c r="CT65" s="1" t="s">
        <v>121</v>
      </c>
      <c r="CU65" s="1" t="s">
        <v>121</v>
      </c>
      <c r="CV65" s="1" t="s">
        <v>121</v>
      </c>
      <c r="CW65" s="1" t="s">
        <v>121</v>
      </c>
      <c r="CX65" s="1" t="s">
        <v>121</v>
      </c>
      <c r="CY65" s="1" t="s">
        <v>121</v>
      </c>
      <c r="CZ65" s="1" t="s">
        <v>121</v>
      </c>
      <c r="DA65" s="1" t="s">
        <v>121</v>
      </c>
      <c r="DB65" s="1" t="s">
        <v>121</v>
      </c>
      <c r="DC65" s="1" t="s">
        <v>121</v>
      </c>
      <c r="DD65" s="1" t="s">
        <v>121</v>
      </c>
      <c r="DE65" s="1" t="s">
        <v>121</v>
      </c>
      <c r="DF65" s="1" t="s">
        <v>121</v>
      </c>
      <c r="DG65" s="1" t="s">
        <v>121</v>
      </c>
      <c r="DH65" s="1" t="s">
        <v>121</v>
      </c>
      <c r="DI65" s="1" t="s">
        <v>121</v>
      </c>
      <c r="DJ65" s="1" t="s">
        <v>121</v>
      </c>
      <c r="DK65" s="1" t="s">
        <v>121</v>
      </c>
      <c r="DL65" s="1" t="s">
        <v>121</v>
      </c>
      <c r="DM65" s="1" t="s">
        <v>121</v>
      </c>
      <c r="DN65" s="1" t="s">
        <v>121</v>
      </c>
      <c r="DO65" s="1" t="s">
        <v>121</v>
      </c>
      <c r="DP65" s="1" t="s">
        <v>121</v>
      </c>
      <c r="DQ65" s="1" t="s">
        <v>121</v>
      </c>
      <c r="DR65" s="1" t="s">
        <v>121</v>
      </c>
      <c r="DS65" s="1" t="s">
        <v>121</v>
      </c>
      <c r="DT65" s="1" t="s">
        <v>121</v>
      </c>
      <c r="DU65" s="1" t="s">
        <v>121</v>
      </c>
      <c r="DV65" s="1" t="s">
        <v>121</v>
      </c>
      <c r="DW65" s="1" t="s">
        <v>121</v>
      </c>
      <c r="DX65" s="1" t="s">
        <v>121</v>
      </c>
      <c r="DY65" s="1" t="s">
        <v>121</v>
      </c>
      <c r="DZ65" s="1" t="s">
        <v>121</v>
      </c>
      <c r="EA65" s="1" t="s">
        <v>121</v>
      </c>
      <c r="EB65" s="1" t="s">
        <v>121</v>
      </c>
      <c r="EC65" s="1" t="s">
        <v>121</v>
      </c>
      <c r="ED65" s="1" t="s">
        <v>121</v>
      </c>
      <c r="EE65" s="1" t="s">
        <v>121</v>
      </c>
      <c r="EF65" s="1" t="s">
        <v>121</v>
      </c>
      <c r="EG65" s="1" t="s">
        <v>121</v>
      </c>
      <c r="EH65" s="1" t="s">
        <v>121</v>
      </c>
      <c r="EI65" s="1" t="s">
        <v>121</v>
      </c>
      <c r="EJ65" s="1" t="s">
        <v>121</v>
      </c>
      <c r="EK65" s="1" t="s">
        <v>121</v>
      </c>
      <c r="EL65" s="1" t="s">
        <v>121</v>
      </c>
      <c r="EM65" s="1" t="s">
        <v>121</v>
      </c>
      <c r="EN65" s="1" t="s">
        <v>121</v>
      </c>
      <c r="EO65" s="1" t="s">
        <v>121</v>
      </c>
      <c r="EP65" s="1" t="s">
        <v>121</v>
      </c>
    </row>
    <row r="66" spans="1:146" x14ac:dyDescent="0.25">
      <c r="A66" s="72">
        <v>66</v>
      </c>
      <c r="B66" s="1" t="s">
        <v>121</v>
      </c>
      <c r="C66" s="1" t="s">
        <v>121</v>
      </c>
      <c r="D66" s="1" t="s">
        <v>121</v>
      </c>
      <c r="E66" s="1" t="s">
        <v>121</v>
      </c>
      <c r="F66" s="1" t="s">
        <v>121</v>
      </c>
      <c r="G66" s="1" t="s">
        <v>121</v>
      </c>
      <c r="H66" s="1" t="s">
        <v>121</v>
      </c>
      <c r="I66" s="1" t="s">
        <v>121</v>
      </c>
      <c r="J66" s="1" t="s">
        <v>121</v>
      </c>
      <c r="K66" s="1" t="s">
        <v>121</v>
      </c>
      <c r="L66" s="1" t="s">
        <v>121</v>
      </c>
      <c r="M66" s="1" t="s">
        <v>121</v>
      </c>
      <c r="N66" s="1" t="s">
        <v>121</v>
      </c>
      <c r="O66" s="1" t="s">
        <v>121</v>
      </c>
      <c r="P66" s="1" t="s">
        <v>121</v>
      </c>
      <c r="Q66" s="1" t="s">
        <v>121</v>
      </c>
      <c r="R66" s="1" t="s">
        <v>121</v>
      </c>
      <c r="S66" s="1" t="s">
        <v>121</v>
      </c>
      <c r="T66" s="1" t="s">
        <v>121</v>
      </c>
      <c r="U66" s="1" t="s">
        <v>121</v>
      </c>
      <c r="V66" s="1" t="s">
        <v>121</v>
      </c>
      <c r="W66" s="1" t="s">
        <v>121</v>
      </c>
      <c r="X66" s="1" t="s">
        <v>121</v>
      </c>
      <c r="Y66" s="1" t="s">
        <v>121</v>
      </c>
      <c r="Z66" s="1" t="s">
        <v>121</v>
      </c>
      <c r="AA66" s="1" t="s">
        <v>121</v>
      </c>
      <c r="AB66" s="1" t="s">
        <v>121</v>
      </c>
      <c r="AC66" s="1" t="s">
        <v>121</v>
      </c>
      <c r="AD66" s="1" t="s">
        <v>121</v>
      </c>
      <c r="AE66" s="1" t="s">
        <v>121</v>
      </c>
      <c r="AF66" s="1" t="s">
        <v>121</v>
      </c>
      <c r="AG66" s="1" t="s">
        <v>121</v>
      </c>
      <c r="AH66" s="1" t="s">
        <v>121</v>
      </c>
      <c r="AI66" s="1" t="s">
        <v>121</v>
      </c>
      <c r="AJ66" s="1" t="s">
        <v>121</v>
      </c>
      <c r="AK66" s="1" t="s">
        <v>121</v>
      </c>
      <c r="AL66" s="1" t="s">
        <v>121</v>
      </c>
      <c r="AM66" s="1" t="s">
        <v>121</v>
      </c>
      <c r="AN66" s="1" t="s">
        <v>121</v>
      </c>
      <c r="AO66" s="1" t="s">
        <v>121</v>
      </c>
      <c r="AP66" s="1" t="s">
        <v>121</v>
      </c>
      <c r="AQ66" s="1" t="s">
        <v>121</v>
      </c>
      <c r="AR66" s="1" t="s">
        <v>121</v>
      </c>
      <c r="AS66" s="1" t="s">
        <v>121</v>
      </c>
      <c r="AT66" s="1" t="s">
        <v>121</v>
      </c>
      <c r="AU66" s="1" t="s">
        <v>121</v>
      </c>
      <c r="AV66" s="1" t="s">
        <v>121</v>
      </c>
      <c r="AW66" s="1" t="s">
        <v>121</v>
      </c>
      <c r="AX66" s="10" t="s">
        <v>121</v>
      </c>
      <c r="AY66" s="10" t="s">
        <v>121</v>
      </c>
      <c r="AZ66" s="10" t="s">
        <v>121</v>
      </c>
      <c r="BA66" s="10" t="s">
        <v>121</v>
      </c>
      <c r="BB66" s="10" t="s">
        <v>121</v>
      </c>
      <c r="BC66" s="10" t="s">
        <v>121</v>
      </c>
      <c r="BD66" s="10" t="s">
        <v>121</v>
      </c>
      <c r="BE66" s="10" t="s">
        <v>121</v>
      </c>
      <c r="BF66" s="10" t="s">
        <v>121</v>
      </c>
      <c r="BG66" s="10" t="s">
        <v>121</v>
      </c>
      <c r="BH66" s="10" t="s">
        <v>121</v>
      </c>
      <c r="BI66" s="1" t="s">
        <v>121</v>
      </c>
      <c r="BJ66" s="1" t="s">
        <v>121</v>
      </c>
      <c r="BK66" s="1" t="s">
        <v>121</v>
      </c>
      <c r="BL66" s="1" t="s">
        <v>121</v>
      </c>
      <c r="BM66" s="1" t="s">
        <v>121</v>
      </c>
      <c r="BN66" s="1" t="s">
        <v>121</v>
      </c>
      <c r="BO66" s="1" t="s">
        <v>121</v>
      </c>
      <c r="BP66" s="1" t="s">
        <v>121</v>
      </c>
      <c r="BQ66" s="1" t="s">
        <v>121</v>
      </c>
      <c r="BR66" s="1" t="s">
        <v>121</v>
      </c>
      <c r="BS66" s="1" t="s">
        <v>121</v>
      </c>
      <c r="BT66" s="1" t="s">
        <v>121</v>
      </c>
      <c r="BU66" s="1" t="s">
        <v>121</v>
      </c>
      <c r="BV66" s="1" t="s">
        <v>121</v>
      </c>
      <c r="BW66" s="1" t="s">
        <v>121</v>
      </c>
      <c r="BX66" s="1" t="s">
        <v>121</v>
      </c>
      <c r="BY66" s="1" t="s">
        <v>121</v>
      </c>
      <c r="BZ66" s="1" t="s">
        <v>121</v>
      </c>
      <c r="CA66" s="1" t="s">
        <v>121</v>
      </c>
      <c r="CB66" s="1" t="s">
        <v>121</v>
      </c>
      <c r="CC66" s="1" t="s">
        <v>121</v>
      </c>
      <c r="CD66" s="1" t="s">
        <v>121</v>
      </c>
      <c r="CE66" s="1" t="s">
        <v>121</v>
      </c>
      <c r="CF66" s="1" t="s">
        <v>121</v>
      </c>
      <c r="CG66" s="1" t="s">
        <v>121</v>
      </c>
      <c r="CH66" s="1" t="s">
        <v>121</v>
      </c>
      <c r="CI66" s="1" t="s">
        <v>121</v>
      </c>
      <c r="CJ66" s="1" t="s">
        <v>121</v>
      </c>
      <c r="CK66" s="1" t="s">
        <v>121</v>
      </c>
      <c r="CL66" s="1" t="s">
        <v>121</v>
      </c>
      <c r="CM66" s="1" t="s">
        <v>121</v>
      </c>
      <c r="CN66" s="1" t="s">
        <v>121</v>
      </c>
      <c r="CO66" s="1" t="s">
        <v>121</v>
      </c>
      <c r="CP66" s="1" t="s">
        <v>121</v>
      </c>
      <c r="CQ66" s="1" t="s">
        <v>121</v>
      </c>
      <c r="CR66" s="1" t="s">
        <v>121</v>
      </c>
      <c r="CS66" s="1" t="s">
        <v>121</v>
      </c>
      <c r="CT66" s="1" t="s">
        <v>121</v>
      </c>
      <c r="CU66" s="1" t="s">
        <v>121</v>
      </c>
      <c r="CV66" s="1" t="s">
        <v>121</v>
      </c>
      <c r="CW66" s="1" t="s">
        <v>121</v>
      </c>
      <c r="CX66" s="1" t="s">
        <v>121</v>
      </c>
      <c r="CY66" s="1" t="s">
        <v>121</v>
      </c>
      <c r="CZ66" s="1" t="s">
        <v>121</v>
      </c>
      <c r="DA66" s="1" t="s">
        <v>121</v>
      </c>
      <c r="DB66" s="1" t="s">
        <v>121</v>
      </c>
      <c r="DC66" s="1" t="s">
        <v>121</v>
      </c>
      <c r="DD66" s="1" t="s">
        <v>121</v>
      </c>
      <c r="DE66" s="1" t="s">
        <v>121</v>
      </c>
      <c r="DF66" s="1" t="s">
        <v>121</v>
      </c>
      <c r="DG66" s="1" t="s">
        <v>121</v>
      </c>
      <c r="DH66" s="1" t="s">
        <v>121</v>
      </c>
      <c r="DI66" s="1" t="s">
        <v>121</v>
      </c>
      <c r="DJ66" s="1" t="s">
        <v>121</v>
      </c>
      <c r="DK66" s="1" t="s">
        <v>121</v>
      </c>
      <c r="DL66" s="1" t="s">
        <v>121</v>
      </c>
      <c r="DM66" s="1" t="s">
        <v>121</v>
      </c>
      <c r="DN66" s="1" t="s">
        <v>121</v>
      </c>
      <c r="DO66" s="1" t="s">
        <v>121</v>
      </c>
      <c r="DP66" s="1" t="s">
        <v>121</v>
      </c>
      <c r="DQ66" s="1" t="s">
        <v>121</v>
      </c>
      <c r="DR66" s="1" t="s">
        <v>121</v>
      </c>
      <c r="DS66" s="1" t="s">
        <v>121</v>
      </c>
      <c r="DT66" s="1" t="s">
        <v>121</v>
      </c>
      <c r="DU66" s="1" t="s">
        <v>121</v>
      </c>
      <c r="DV66" s="1" t="s">
        <v>121</v>
      </c>
      <c r="DW66" s="1" t="s">
        <v>121</v>
      </c>
      <c r="DX66" s="1" t="s">
        <v>121</v>
      </c>
      <c r="DY66" s="1" t="s">
        <v>121</v>
      </c>
      <c r="DZ66" s="1" t="s">
        <v>121</v>
      </c>
      <c r="EA66" s="1" t="s">
        <v>121</v>
      </c>
      <c r="EB66" s="1" t="s">
        <v>121</v>
      </c>
      <c r="EC66" s="1" t="s">
        <v>121</v>
      </c>
      <c r="ED66" s="1" t="s">
        <v>121</v>
      </c>
      <c r="EE66" s="1" t="s">
        <v>121</v>
      </c>
      <c r="EF66" s="1" t="s">
        <v>121</v>
      </c>
      <c r="EG66" s="1" t="s">
        <v>121</v>
      </c>
      <c r="EH66" s="1" t="s">
        <v>121</v>
      </c>
      <c r="EI66" s="1" t="s">
        <v>121</v>
      </c>
      <c r="EJ66" s="1" t="s">
        <v>121</v>
      </c>
      <c r="EK66" s="1" t="s">
        <v>121</v>
      </c>
      <c r="EL66" s="1" t="s">
        <v>121</v>
      </c>
      <c r="EM66" s="1" t="s">
        <v>121</v>
      </c>
      <c r="EN66" s="1" t="s">
        <v>121</v>
      </c>
      <c r="EO66" s="1" t="s">
        <v>121</v>
      </c>
      <c r="EP66" s="1" t="s">
        <v>121</v>
      </c>
    </row>
    <row r="67" spans="1:146" x14ac:dyDescent="0.25">
      <c r="A67" s="307">
        <v>67</v>
      </c>
      <c r="B67" s="1" t="s">
        <v>121</v>
      </c>
      <c r="C67" s="1" t="s">
        <v>121</v>
      </c>
      <c r="D67" s="1" t="s">
        <v>121</v>
      </c>
      <c r="E67" s="1" t="s">
        <v>121</v>
      </c>
      <c r="F67" s="1" t="s">
        <v>121</v>
      </c>
      <c r="G67" s="1" t="s">
        <v>121</v>
      </c>
      <c r="H67" s="1" t="s">
        <v>121</v>
      </c>
      <c r="I67" s="1" t="s">
        <v>121</v>
      </c>
      <c r="J67" s="1" t="s">
        <v>121</v>
      </c>
      <c r="K67" s="1" t="s">
        <v>121</v>
      </c>
      <c r="L67" s="1" t="s">
        <v>121</v>
      </c>
      <c r="M67" s="1" t="s">
        <v>121</v>
      </c>
      <c r="N67" s="1" t="s">
        <v>121</v>
      </c>
      <c r="O67" s="1" t="s">
        <v>121</v>
      </c>
      <c r="P67" s="1" t="s">
        <v>121</v>
      </c>
      <c r="Q67" s="1" t="s">
        <v>121</v>
      </c>
      <c r="R67" s="1" t="s">
        <v>121</v>
      </c>
      <c r="S67" s="1" t="s">
        <v>121</v>
      </c>
      <c r="T67" s="1" t="s">
        <v>121</v>
      </c>
      <c r="U67" s="1" t="s">
        <v>121</v>
      </c>
      <c r="V67" s="1" t="s">
        <v>121</v>
      </c>
      <c r="W67" s="1" t="s">
        <v>121</v>
      </c>
      <c r="X67" s="1" t="s">
        <v>121</v>
      </c>
      <c r="Y67" s="1" t="s">
        <v>121</v>
      </c>
      <c r="Z67" s="1" t="s">
        <v>121</v>
      </c>
      <c r="AA67" s="1" t="s">
        <v>121</v>
      </c>
      <c r="AB67" s="1" t="s">
        <v>121</v>
      </c>
      <c r="AC67" s="1" t="s">
        <v>121</v>
      </c>
      <c r="AD67" s="1" t="s">
        <v>121</v>
      </c>
      <c r="AE67" s="1" t="s">
        <v>121</v>
      </c>
      <c r="AF67" s="1" t="s">
        <v>121</v>
      </c>
      <c r="AG67" s="1" t="s">
        <v>121</v>
      </c>
      <c r="AH67" s="1" t="s">
        <v>121</v>
      </c>
      <c r="AI67" s="1" t="s">
        <v>121</v>
      </c>
      <c r="AJ67" s="1" t="s">
        <v>121</v>
      </c>
      <c r="AK67" s="1" t="s">
        <v>121</v>
      </c>
      <c r="AL67" s="1" t="s">
        <v>121</v>
      </c>
      <c r="AM67" s="1" t="s">
        <v>121</v>
      </c>
      <c r="AN67" s="1" t="s">
        <v>121</v>
      </c>
      <c r="AO67" s="1" t="s">
        <v>121</v>
      </c>
      <c r="AP67" s="1" t="s">
        <v>121</v>
      </c>
      <c r="AQ67" s="1" t="s">
        <v>121</v>
      </c>
      <c r="AR67" s="1" t="s">
        <v>121</v>
      </c>
      <c r="AS67" s="1" t="s">
        <v>121</v>
      </c>
      <c r="AT67" s="1" t="s">
        <v>121</v>
      </c>
      <c r="AU67" s="1" t="s">
        <v>121</v>
      </c>
      <c r="AV67" s="1" t="s">
        <v>121</v>
      </c>
      <c r="AW67" s="1" t="s">
        <v>121</v>
      </c>
      <c r="AX67" s="9" t="s">
        <v>121</v>
      </c>
      <c r="AY67" s="9" t="s">
        <v>121</v>
      </c>
      <c r="AZ67" s="9" t="s">
        <v>121</v>
      </c>
      <c r="BA67" s="9" t="s">
        <v>121</v>
      </c>
      <c r="BB67" s="9" t="s">
        <v>121</v>
      </c>
      <c r="BC67" s="1" t="s">
        <v>121</v>
      </c>
      <c r="BD67" s="1" t="s">
        <v>121</v>
      </c>
      <c r="BE67" s="1" t="s">
        <v>121</v>
      </c>
      <c r="BF67" s="1" t="s">
        <v>121</v>
      </c>
      <c r="BG67" s="1" t="s">
        <v>121</v>
      </c>
      <c r="BH67" s="1" t="s">
        <v>121</v>
      </c>
      <c r="BI67" s="1" t="s">
        <v>121</v>
      </c>
      <c r="BJ67" s="1" t="s">
        <v>121</v>
      </c>
      <c r="BK67" s="1" t="s">
        <v>121</v>
      </c>
      <c r="BL67" s="1" t="s">
        <v>121</v>
      </c>
      <c r="BM67" s="1" t="s">
        <v>121</v>
      </c>
      <c r="BN67" s="1" t="s">
        <v>121</v>
      </c>
      <c r="BO67" s="1" t="s">
        <v>121</v>
      </c>
      <c r="BP67" s="1" t="s">
        <v>121</v>
      </c>
      <c r="BQ67" s="1" t="s">
        <v>121</v>
      </c>
      <c r="BR67" s="1" t="s">
        <v>121</v>
      </c>
      <c r="BS67" s="1" t="s">
        <v>121</v>
      </c>
      <c r="BT67" s="1" t="s">
        <v>121</v>
      </c>
      <c r="BU67" s="1" t="s">
        <v>121</v>
      </c>
      <c r="BV67" s="1" t="s">
        <v>121</v>
      </c>
      <c r="BW67" s="1" t="s">
        <v>121</v>
      </c>
      <c r="BX67" s="1" t="s">
        <v>121</v>
      </c>
      <c r="BY67" s="1" t="s">
        <v>121</v>
      </c>
      <c r="BZ67" s="1" t="s">
        <v>121</v>
      </c>
      <c r="CA67" s="1" t="s">
        <v>121</v>
      </c>
      <c r="CB67" s="1" t="s">
        <v>121</v>
      </c>
      <c r="CC67" s="1" t="s">
        <v>121</v>
      </c>
      <c r="CD67" s="1" t="s">
        <v>121</v>
      </c>
      <c r="CE67" s="1" t="s">
        <v>121</v>
      </c>
      <c r="CF67" s="1" t="s">
        <v>121</v>
      </c>
      <c r="CG67" s="1" t="s">
        <v>121</v>
      </c>
      <c r="CH67" s="1" t="s">
        <v>121</v>
      </c>
      <c r="CI67" s="1" t="s">
        <v>121</v>
      </c>
      <c r="CJ67" s="1" t="s">
        <v>121</v>
      </c>
      <c r="CK67" s="1" t="s">
        <v>121</v>
      </c>
      <c r="CL67" s="1" t="s">
        <v>121</v>
      </c>
      <c r="CM67" s="1" t="s">
        <v>121</v>
      </c>
      <c r="CN67" s="1" t="s">
        <v>121</v>
      </c>
      <c r="CO67" s="1" t="s">
        <v>121</v>
      </c>
      <c r="CP67" s="1" t="s">
        <v>121</v>
      </c>
      <c r="CQ67" s="1" t="s">
        <v>121</v>
      </c>
      <c r="CR67" s="1" t="s">
        <v>121</v>
      </c>
      <c r="CS67" s="1" t="s">
        <v>121</v>
      </c>
      <c r="CT67" s="1" t="s">
        <v>121</v>
      </c>
      <c r="CU67" s="1" t="s">
        <v>121</v>
      </c>
      <c r="CV67" s="1" t="s">
        <v>121</v>
      </c>
      <c r="CW67" s="1" t="s">
        <v>121</v>
      </c>
      <c r="CX67" s="1" t="s">
        <v>121</v>
      </c>
      <c r="CY67" s="1" t="s">
        <v>121</v>
      </c>
      <c r="CZ67" s="1" t="s">
        <v>121</v>
      </c>
      <c r="DA67" s="1" t="s">
        <v>121</v>
      </c>
      <c r="DB67" s="1" t="s">
        <v>121</v>
      </c>
      <c r="DC67" s="1" t="s">
        <v>121</v>
      </c>
      <c r="DD67" s="1" t="s">
        <v>121</v>
      </c>
      <c r="DE67" s="1" t="s">
        <v>121</v>
      </c>
      <c r="DF67" s="1" t="s">
        <v>121</v>
      </c>
      <c r="DG67" s="1" t="s">
        <v>121</v>
      </c>
      <c r="DH67" s="1" t="s">
        <v>121</v>
      </c>
      <c r="DI67" s="1" t="s">
        <v>121</v>
      </c>
      <c r="DJ67" s="1" t="s">
        <v>121</v>
      </c>
      <c r="DK67" s="1" t="s">
        <v>121</v>
      </c>
      <c r="DL67" s="1" t="s">
        <v>121</v>
      </c>
      <c r="DM67" s="1" t="s">
        <v>121</v>
      </c>
      <c r="DN67" s="1" t="s">
        <v>121</v>
      </c>
      <c r="DO67" s="1" t="s">
        <v>121</v>
      </c>
      <c r="DP67" s="1" t="s">
        <v>121</v>
      </c>
      <c r="DQ67" s="1" t="s">
        <v>121</v>
      </c>
      <c r="DR67" s="1" t="s">
        <v>121</v>
      </c>
      <c r="DS67" s="1" t="s">
        <v>121</v>
      </c>
      <c r="DT67" s="1" t="s">
        <v>121</v>
      </c>
      <c r="DU67" s="1" t="s">
        <v>121</v>
      </c>
      <c r="DV67" s="1" t="s">
        <v>121</v>
      </c>
      <c r="DW67" s="1" t="s">
        <v>121</v>
      </c>
      <c r="DX67" s="1" t="s">
        <v>121</v>
      </c>
      <c r="DY67" s="1" t="s">
        <v>121</v>
      </c>
      <c r="DZ67" s="1" t="s">
        <v>121</v>
      </c>
      <c r="EA67" s="1" t="s">
        <v>121</v>
      </c>
      <c r="EB67" s="1" t="s">
        <v>121</v>
      </c>
      <c r="EC67" s="1" t="s">
        <v>121</v>
      </c>
      <c r="ED67" s="1" t="s">
        <v>121</v>
      </c>
      <c r="EE67" s="1" t="s">
        <v>121</v>
      </c>
      <c r="EF67" s="1" t="s">
        <v>121</v>
      </c>
      <c r="EG67" s="1" t="s">
        <v>121</v>
      </c>
      <c r="EH67" s="1" t="s">
        <v>121</v>
      </c>
      <c r="EI67" s="1" t="s">
        <v>121</v>
      </c>
      <c r="EJ67" s="1" t="s">
        <v>121</v>
      </c>
      <c r="EK67" s="1" t="s">
        <v>121</v>
      </c>
      <c r="EL67" s="1" t="s">
        <v>121</v>
      </c>
      <c r="EM67" s="1" t="s">
        <v>121</v>
      </c>
      <c r="EN67" s="1" t="s">
        <v>121</v>
      </c>
      <c r="EO67" s="1" t="s">
        <v>121</v>
      </c>
      <c r="EP67" s="1" t="s">
        <v>121</v>
      </c>
    </row>
    <row r="68" spans="1:146" ht="15" customHeight="1" x14ac:dyDescent="0.25">
      <c r="A68" s="72">
        <v>68</v>
      </c>
      <c r="B68" s="426" t="s">
        <v>251</v>
      </c>
      <c r="C68" s="416">
        <v>45930</v>
      </c>
      <c r="D68" s="416">
        <v>45838</v>
      </c>
      <c r="E68" s="416">
        <v>45747</v>
      </c>
      <c r="F68" s="416">
        <v>45657</v>
      </c>
      <c r="G68" s="416">
        <v>45565</v>
      </c>
      <c r="H68" s="416">
        <v>45473</v>
      </c>
      <c r="I68" s="416">
        <v>45382</v>
      </c>
      <c r="J68" s="416">
        <v>45291</v>
      </c>
      <c r="K68" s="416">
        <v>45199</v>
      </c>
      <c r="L68" s="416">
        <v>45107</v>
      </c>
      <c r="M68" s="416">
        <v>45016</v>
      </c>
      <c r="N68" s="416">
        <v>44926</v>
      </c>
      <c r="O68" s="416">
        <v>44834</v>
      </c>
      <c r="P68" s="416">
        <v>44742</v>
      </c>
      <c r="Q68" s="416">
        <v>44651</v>
      </c>
      <c r="R68" s="416">
        <v>44561</v>
      </c>
      <c r="S68" s="416">
        <v>44469</v>
      </c>
      <c r="T68" s="416">
        <v>44377</v>
      </c>
      <c r="U68" s="416">
        <v>44286</v>
      </c>
      <c r="V68" s="416">
        <v>44196</v>
      </c>
      <c r="W68" s="416">
        <v>44104</v>
      </c>
      <c r="X68" s="416">
        <v>44012</v>
      </c>
      <c r="Y68" s="416">
        <v>43921</v>
      </c>
      <c r="Z68" s="416">
        <v>43830</v>
      </c>
      <c r="AA68" s="416">
        <v>43738</v>
      </c>
      <c r="AB68" s="416">
        <v>43646</v>
      </c>
      <c r="AC68" s="416">
        <v>43555</v>
      </c>
      <c r="AD68" s="416">
        <v>43465</v>
      </c>
      <c r="AE68" s="416">
        <v>43373</v>
      </c>
      <c r="AF68" s="416">
        <v>43281</v>
      </c>
      <c r="AG68" s="416">
        <v>43190</v>
      </c>
      <c r="AH68" s="416">
        <v>43100</v>
      </c>
      <c r="AI68" s="416">
        <v>43008</v>
      </c>
      <c r="AJ68" s="416">
        <v>42916</v>
      </c>
      <c r="AK68" s="416">
        <v>42825</v>
      </c>
      <c r="AL68" s="416">
        <v>42735</v>
      </c>
      <c r="AM68" s="416">
        <v>42643</v>
      </c>
      <c r="AN68" s="416">
        <v>42551</v>
      </c>
      <c r="AO68" s="416">
        <v>42460</v>
      </c>
      <c r="AP68" s="416">
        <v>42369</v>
      </c>
      <c r="AQ68" s="416">
        <v>42277</v>
      </c>
      <c r="AR68" s="416">
        <v>42185</v>
      </c>
      <c r="AS68" s="416">
        <v>42094</v>
      </c>
      <c r="AT68" s="416">
        <v>42004</v>
      </c>
      <c r="AU68" s="416">
        <v>41912</v>
      </c>
      <c r="AV68" s="416">
        <v>41820</v>
      </c>
      <c r="AW68" s="416">
        <v>41729</v>
      </c>
      <c r="AX68" s="416">
        <v>41639</v>
      </c>
      <c r="AY68" s="416">
        <v>41547</v>
      </c>
      <c r="AZ68" s="416">
        <v>41455</v>
      </c>
      <c r="BA68" s="416">
        <v>41364</v>
      </c>
      <c r="BB68" s="416">
        <v>41274</v>
      </c>
      <c r="BC68" s="416">
        <v>41182</v>
      </c>
      <c r="BD68" s="416">
        <v>41090</v>
      </c>
      <c r="BE68" s="416">
        <v>40999</v>
      </c>
      <c r="BF68" s="416">
        <v>40908</v>
      </c>
      <c r="BG68" s="416">
        <v>40816</v>
      </c>
      <c r="BH68" s="416">
        <v>40724</v>
      </c>
      <c r="BI68" s="416">
        <v>40633</v>
      </c>
      <c r="BJ68" s="416">
        <v>40543</v>
      </c>
      <c r="BK68" s="416">
        <v>40451</v>
      </c>
      <c r="BL68" s="1">
        <v>40359</v>
      </c>
      <c r="BM68" s="1">
        <v>40268</v>
      </c>
      <c r="BN68" s="1">
        <v>40178</v>
      </c>
      <c r="BO68" s="1" t="s">
        <v>121</v>
      </c>
      <c r="BP68" s="1" t="s">
        <v>121</v>
      </c>
      <c r="BQ68" s="1" t="s">
        <v>121</v>
      </c>
      <c r="BR68" s="1" t="s">
        <v>121</v>
      </c>
      <c r="BS68" s="1" t="s">
        <v>121</v>
      </c>
      <c r="BT68" s="1" t="s">
        <v>121</v>
      </c>
      <c r="BU68" s="1" t="s">
        <v>121</v>
      </c>
      <c r="BV68" s="1" t="s">
        <v>121</v>
      </c>
      <c r="BW68" s="1" t="s">
        <v>121</v>
      </c>
      <c r="BX68" s="1" t="s">
        <v>121</v>
      </c>
      <c r="BY68" s="1" t="s">
        <v>121</v>
      </c>
      <c r="BZ68" s="1" t="s">
        <v>121</v>
      </c>
      <c r="CA68" s="1" t="s">
        <v>121</v>
      </c>
      <c r="CB68" s="1" t="s">
        <v>121</v>
      </c>
      <c r="CC68" s="1" t="s">
        <v>121</v>
      </c>
      <c r="CD68" s="1" t="s">
        <v>121</v>
      </c>
      <c r="CE68" s="1" t="s">
        <v>121</v>
      </c>
      <c r="CF68" s="1" t="s">
        <v>121</v>
      </c>
      <c r="CG68" s="1" t="s">
        <v>121</v>
      </c>
      <c r="CH68" s="1" t="s">
        <v>121</v>
      </c>
      <c r="CI68" s="1" t="s">
        <v>121</v>
      </c>
      <c r="CJ68" s="1" t="s">
        <v>121</v>
      </c>
      <c r="CK68" s="1" t="s">
        <v>121</v>
      </c>
      <c r="CL68" s="1" t="s">
        <v>121</v>
      </c>
      <c r="CM68" s="1" t="s">
        <v>121</v>
      </c>
      <c r="CN68" s="1" t="s">
        <v>121</v>
      </c>
      <c r="CO68" s="1" t="s">
        <v>121</v>
      </c>
      <c r="CP68" s="1" t="s">
        <v>121</v>
      </c>
      <c r="CQ68" s="1" t="s">
        <v>121</v>
      </c>
      <c r="CR68" s="1" t="s">
        <v>121</v>
      </c>
      <c r="CS68" s="1" t="s">
        <v>121</v>
      </c>
      <c r="CT68" s="1" t="s">
        <v>121</v>
      </c>
      <c r="CU68" s="1" t="s">
        <v>121</v>
      </c>
      <c r="CV68" s="1" t="s">
        <v>121</v>
      </c>
      <c r="CW68" s="1" t="s">
        <v>121</v>
      </c>
      <c r="CX68" s="1" t="s">
        <v>121</v>
      </c>
      <c r="CY68" s="1" t="s">
        <v>121</v>
      </c>
      <c r="CZ68" s="1" t="s">
        <v>121</v>
      </c>
      <c r="DA68" s="1" t="s">
        <v>121</v>
      </c>
      <c r="DB68" s="1" t="s">
        <v>121</v>
      </c>
      <c r="DC68" s="1" t="s">
        <v>121</v>
      </c>
      <c r="DD68" s="1" t="s">
        <v>121</v>
      </c>
      <c r="DE68" s="1" t="s">
        <v>121</v>
      </c>
      <c r="DF68" s="1" t="s">
        <v>121</v>
      </c>
      <c r="DG68" s="1" t="s">
        <v>121</v>
      </c>
      <c r="DH68" s="1" t="s">
        <v>121</v>
      </c>
      <c r="DI68" s="1" t="s">
        <v>121</v>
      </c>
      <c r="DJ68" s="1" t="s">
        <v>121</v>
      </c>
      <c r="DK68" s="1" t="s">
        <v>121</v>
      </c>
      <c r="DL68" s="1" t="s">
        <v>121</v>
      </c>
      <c r="DM68" s="1" t="s">
        <v>121</v>
      </c>
      <c r="DN68" s="1" t="s">
        <v>121</v>
      </c>
      <c r="DO68" s="1" t="s">
        <v>121</v>
      </c>
      <c r="DP68" s="1" t="s">
        <v>121</v>
      </c>
      <c r="DQ68" s="1" t="s">
        <v>121</v>
      </c>
      <c r="DR68" s="1" t="s">
        <v>121</v>
      </c>
      <c r="DS68" s="1" t="s">
        <v>121</v>
      </c>
      <c r="DT68" s="1" t="s">
        <v>121</v>
      </c>
      <c r="DU68" s="1" t="s">
        <v>121</v>
      </c>
      <c r="DV68" s="1" t="s">
        <v>121</v>
      </c>
      <c r="DW68" s="1" t="s">
        <v>121</v>
      </c>
      <c r="DX68" s="1" t="s">
        <v>121</v>
      </c>
      <c r="DY68" s="1" t="s">
        <v>121</v>
      </c>
      <c r="DZ68" s="1" t="s">
        <v>121</v>
      </c>
      <c r="EA68" s="1" t="s">
        <v>121</v>
      </c>
      <c r="EB68" s="1" t="s">
        <v>121</v>
      </c>
      <c r="EC68" s="1" t="s">
        <v>121</v>
      </c>
      <c r="ED68" s="1" t="s">
        <v>121</v>
      </c>
      <c r="EE68" s="1" t="s">
        <v>121</v>
      </c>
      <c r="EF68" s="1" t="s">
        <v>121</v>
      </c>
      <c r="EG68" s="1" t="s">
        <v>121</v>
      </c>
      <c r="EH68" s="1" t="s">
        <v>121</v>
      </c>
      <c r="EI68" s="1" t="s">
        <v>121</v>
      </c>
      <c r="EJ68" s="1" t="s">
        <v>121</v>
      </c>
      <c r="EK68" s="1" t="s">
        <v>121</v>
      </c>
      <c r="EL68" s="1" t="s">
        <v>121</v>
      </c>
      <c r="EM68" s="1" t="s">
        <v>121</v>
      </c>
      <c r="EN68" s="1" t="s">
        <v>121</v>
      </c>
      <c r="EO68" s="1" t="s">
        <v>121</v>
      </c>
      <c r="EP68" s="1" t="s">
        <v>121</v>
      </c>
    </row>
    <row r="69" spans="1:146" ht="15" customHeight="1" x14ac:dyDescent="0.25">
      <c r="A69" s="72">
        <v>69</v>
      </c>
      <c r="B69" s="427"/>
      <c r="C69" s="417"/>
      <c r="D69" s="417"/>
      <c r="E69" s="417"/>
      <c r="F69" s="417"/>
      <c r="G69" s="417"/>
      <c r="H69" s="417"/>
      <c r="I69" s="417"/>
      <c r="J69" s="418"/>
      <c r="K69" s="418"/>
      <c r="L69" s="418"/>
      <c r="M69" s="417"/>
      <c r="N69" s="417"/>
      <c r="O69" s="418"/>
      <c r="P69" s="418"/>
      <c r="Q69" s="418"/>
      <c r="R69" s="418"/>
      <c r="S69" s="418"/>
      <c r="T69" s="418"/>
      <c r="U69" s="418"/>
      <c r="V69" s="418"/>
      <c r="W69" s="418"/>
      <c r="X69" s="418"/>
      <c r="Y69" s="418"/>
      <c r="Z69" s="418"/>
      <c r="AA69" s="418"/>
      <c r="AB69" s="418"/>
      <c r="AC69" s="418"/>
      <c r="AD69" s="418"/>
      <c r="AE69" s="418"/>
      <c r="AF69" s="418"/>
      <c r="AG69" s="418"/>
      <c r="AH69" s="418"/>
      <c r="AI69" s="418"/>
      <c r="AJ69" s="418"/>
      <c r="AK69" s="418"/>
      <c r="AL69" s="418"/>
      <c r="AM69" s="418"/>
      <c r="AN69" s="418"/>
      <c r="AO69" s="418"/>
      <c r="AP69" s="418"/>
      <c r="AQ69" s="418"/>
      <c r="AR69" s="418"/>
      <c r="AS69" s="418"/>
      <c r="AT69" s="418"/>
      <c r="AU69" s="418"/>
      <c r="AV69" s="418"/>
      <c r="AW69" s="418"/>
      <c r="AX69" s="418"/>
      <c r="AY69" s="418"/>
      <c r="AZ69" s="418"/>
      <c r="BA69" s="418"/>
      <c r="BB69" s="418"/>
      <c r="BC69" s="418"/>
      <c r="BD69" s="418"/>
      <c r="BE69" s="418"/>
      <c r="BF69" s="418"/>
      <c r="BG69" s="418"/>
      <c r="BH69" s="418"/>
      <c r="BI69" s="418"/>
      <c r="BJ69" s="418"/>
      <c r="BK69" s="418"/>
    </row>
    <row r="70" spans="1:146" ht="9.75" customHeight="1" x14ac:dyDescent="0.25">
      <c r="A70" s="307">
        <v>70</v>
      </c>
      <c r="B70" s="8" t="s">
        <v>121</v>
      </c>
      <c r="C70" s="8" t="s">
        <v>121</v>
      </c>
      <c r="D70" s="1" t="s">
        <v>121</v>
      </c>
      <c r="E70" s="1" t="s">
        <v>121</v>
      </c>
      <c r="F70" s="1" t="s">
        <v>121</v>
      </c>
      <c r="G70" s="1" t="s">
        <v>121</v>
      </c>
      <c r="H70" s="1" t="s">
        <v>121</v>
      </c>
      <c r="I70" s="1" t="s">
        <v>121</v>
      </c>
      <c r="J70" s="8" t="s">
        <v>121</v>
      </c>
      <c r="K70" s="1" t="s">
        <v>121</v>
      </c>
      <c r="L70" s="1" t="s">
        <v>121</v>
      </c>
      <c r="M70" s="1" t="s">
        <v>121</v>
      </c>
      <c r="N70" s="1" t="s">
        <v>121</v>
      </c>
      <c r="O70" s="1" t="s">
        <v>121</v>
      </c>
      <c r="P70" s="1" t="s">
        <v>121</v>
      </c>
      <c r="Q70" s="1" t="s">
        <v>121</v>
      </c>
      <c r="R70" s="1" t="s">
        <v>121</v>
      </c>
      <c r="S70" s="1" t="s">
        <v>121</v>
      </c>
      <c r="T70" s="1" t="s">
        <v>121</v>
      </c>
      <c r="U70" s="1" t="s">
        <v>121</v>
      </c>
      <c r="V70" s="1" t="s">
        <v>121</v>
      </c>
      <c r="W70" s="8" t="s">
        <v>121</v>
      </c>
      <c r="X70" s="8" t="s">
        <v>121</v>
      </c>
      <c r="Y70" s="8" t="s">
        <v>121</v>
      </c>
      <c r="Z70" s="8" t="s">
        <v>121</v>
      </c>
      <c r="AA70" s="8" t="s">
        <v>121</v>
      </c>
      <c r="AB70" s="8" t="s">
        <v>121</v>
      </c>
      <c r="AC70" s="8" t="s">
        <v>121</v>
      </c>
      <c r="AD70" s="8" t="s">
        <v>121</v>
      </c>
      <c r="AE70" s="8" t="s">
        <v>121</v>
      </c>
      <c r="AF70" s="8" t="s">
        <v>121</v>
      </c>
      <c r="AG70" s="8" t="s">
        <v>121</v>
      </c>
      <c r="AH70" s="8" t="s">
        <v>121</v>
      </c>
      <c r="AI70" s="8" t="s">
        <v>121</v>
      </c>
      <c r="AJ70" s="8" t="s">
        <v>121</v>
      </c>
      <c r="AK70" s="8" t="s">
        <v>121</v>
      </c>
      <c r="AL70" s="8" t="s">
        <v>121</v>
      </c>
      <c r="AM70" s="8" t="s">
        <v>121</v>
      </c>
      <c r="AN70" s="8" t="s">
        <v>121</v>
      </c>
      <c r="AO70" s="8" t="s">
        <v>121</v>
      </c>
      <c r="AP70" s="8" t="s">
        <v>121</v>
      </c>
      <c r="AQ70" s="8" t="s">
        <v>121</v>
      </c>
      <c r="AR70" s="8" t="s">
        <v>121</v>
      </c>
      <c r="AS70" s="8" t="s">
        <v>121</v>
      </c>
      <c r="AT70" s="8" t="s">
        <v>121</v>
      </c>
      <c r="AU70" s="8" t="s">
        <v>121</v>
      </c>
      <c r="AV70" s="8" t="s">
        <v>121</v>
      </c>
      <c r="AW70" s="8" t="s">
        <v>121</v>
      </c>
      <c r="AX70" s="1" t="s">
        <v>121</v>
      </c>
      <c r="AY70" s="1" t="s">
        <v>121</v>
      </c>
      <c r="AZ70" s="1" t="s">
        <v>121</v>
      </c>
      <c r="BA70" s="1" t="s">
        <v>121</v>
      </c>
      <c r="BB70" s="1" t="s">
        <v>121</v>
      </c>
      <c r="BC70" s="1" t="s">
        <v>121</v>
      </c>
      <c r="BD70" s="1" t="s">
        <v>121</v>
      </c>
      <c r="BE70" s="1" t="s">
        <v>121</v>
      </c>
      <c r="BF70" s="1" t="s">
        <v>121</v>
      </c>
      <c r="BG70" s="1" t="s">
        <v>121</v>
      </c>
      <c r="BH70" s="1" t="s">
        <v>121</v>
      </c>
      <c r="BI70" s="1" t="s">
        <v>121</v>
      </c>
      <c r="BJ70" s="1" t="s">
        <v>121</v>
      </c>
      <c r="BK70" s="1" t="s">
        <v>121</v>
      </c>
      <c r="BL70" s="1" t="s">
        <v>121</v>
      </c>
      <c r="BM70" s="1" t="s">
        <v>121</v>
      </c>
      <c r="BN70" s="1" t="s">
        <v>121</v>
      </c>
      <c r="BO70" s="1" t="s">
        <v>121</v>
      </c>
      <c r="BP70" s="1" t="s">
        <v>121</v>
      </c>
      <c r="BQ70" s="1" t="s">
        <v>121</v>
      </c>
      <c r="BR70" s="1" t="s">
        <v>121</v>
      </c>
      <c r="BS70" s="1" t="s">
        <v>121</v>
      </c>
      <c r="BT70" s="1" t="s">
        <v>121</v>
      </c>
      <c r="BU70" s="1" t="s">
        <v>121</v>
      </c>
      <c r="BV70" s="1" t="s">
        <v>121</v>
      </c>
      <c r="BW70" s="1" t="s">
        <v>121</v>
      </c>
      <c r="BX70" s="1" t="s">
        <v>121</v>
      </c>
      <c r="BY70" s="1" t="s">
        <v>121</v>
      </c>
      <c r="BZ70" s="1" t="s">
        <v>121</v>
      </c>
      <c r="CA70" s="1" t="s">
        <v>121</v>
      </c>
      <c r="CB70" s="1" t="s">
        <v>121</v>
      </c>
      <c r="CC70" s="1" t="s">
        <v>121</v>
      </c>
      <c r="CD70" s="1" t="s">
        <v>121</v>
      </c>
      <c r="CE70" s="1" t="s">
        <v>121</v>
      </c>
      <c r="CF70" s="1" t="s">
        <v>121</v>
      </c>
      <c r="CG70" s="1" t="s">
        <v>121</v>
      </c>
      <c r="CH70" s="1" t="s">
        <v>121</v>
      </c>
      <c r="CI70" s="1" t="s">
        <v>121</v>
      </c>
      <c r="CJ70" s="1" t="s">
        <v>121</v>
      </c>
      <c r="CK70" s="1" t="s">
        <v>121</v>
      </c>
      <c r="CL70" s="1" t="s">
        <v>121</v>
      </c>
      <c r="CM70" s="1" t="s">
        <v>121</v>
      </c>
      <c r="CN70" s="1" t="s">
        <v>121</v>
      </c>
      <c r="CO70" s="1" t="s">
        <v>121</v>
      </c>
      <c r="CP70" s="1" t="s">
        <v>121</v>
      </c>
      <c r="CQ70" s="1" t="s">
        <v>121</v>
      </c>
      <c r="CR70" s="1" t="s">
        <v>121</v>
      </c>
      <c r="CS70" s="1" t="s">
        <v>121</v>
      </c>
      <c r="CT70" s="1" t="s">
        <v>121</v>
      </c>
      <c r="CU70" s="1" t="s">
        <v>121</v>
      </c>
      <c r="CV70" s="1" t="s">
        <v>121</v>
      </c>
      <c r="CW70" s="1" t="s">
        <v>121</v>
      </c>
      <c r="CX70" s="1" t="s">
        <v>121</v>
      </c>
      <c r="CY70" s="1" t="s">
        <v>121</v>
      </c>
      <c r="CZ70" s="1" t="s">
        <v>121</v>
      </c>
      <c r="DA70" s="1" t="s">
        <v>121</v>
      </c>
      <c r="DB70" s="1" t="s">
        <v>121</v>
      </c>
      <c r="DC70" s="1" t="s">
        <v>121</v>
      </c>
      <c r="DD70" s="1" t="s">
        <v>121</v>
      </c>
      <c r="DE70" s="1" t="s">
        <v>121</v>
      </c>
      <c r="DF70" s="1" t="s">
        <v>121</v>
      </c>
      <c r="DG70" s="1" t="s">
        <v>121</v>
      </c>
      <c r="DH70" s="1" t="s">
        <v>121</v>
      </c>
      <c r="DI70" s="1" t="s">
        <v>121</v>
      </c>
      <c r="DJ70" s="1" t="s">
        <v>121</v>
      </c>
      <c r="DK70" s="1" t="s">
        <v>121</v>
      </c>
      <c r="DL70" s="1" t="s">
        <v>121</v>
      </c>
      <c r="DM70" s="1" t="s">
        <v>121</v>
      </c>
      <c r="DN70" s="1" t="s">
        <v>121</v>
      </c>
      <c r="DO70" s="1" t="s">
        <v>121</v>
      </c>
      <c r="DP70" s="1" t="s">
        <v>121</v>
      </c>
      <c r="DQ70" s="1" t="s">
        <v>121</v>
      </c>
      <c r="DR70" s="1" t="s">
        <v>121</v>
      </c>
      <c r="DS70" s="1" t="s">
        <v>121</v>
      </c>
      <c r="DT70" s="1" t="s">
        <v>121</v>
      </c>
      <c r="DU70" s="1" t="s">
        <v>121</v>
      </c>
      <c r="DV70" s="1" t="s">
        <v>121</v>
      </c>
      <c r="DW70" s="1" t="s">
        <v>121</v>
      </c>
      <c r="DX70" s="1" t="s">
        <v>121</v>
      </c>
      <c r="DY70" s="1" t="s">
        <v>121</v>
      </c>
      <c r="DZ70" s="1" t="s">
        <v>121</v>
      </c>
      <c r="EA70" s="1" t="s">
        <v>121</v>
      </c>
      <c r="EB70" s="1" t="s">
        <v>121</v>
      </c>
      <c r="EC70" s="1" t="s">
        <v>121</v>
      </c>
      <c r="ED70" s="1" t="s">
        <v>121</v>
      </c>
      <c r="EE70" s="1" t="s">
        <v>121</v>
      </c>
      <c r="EF70" s="1" t="s">
        <v>121</v>
      </c>
      <c r="EG70" s="1" t="s">
        <v>121</v>
      </c>
      <c r="EH70" s="1" t="s">
        <v>121</v>
      </c>
      <c r="EI70" s="1" t="s">
        <v>121</v>
      </c>
      <c r="EJ70" s="1" t="s">
        <v>121</v>
      </c>
      <c r="EK70" s="1" t="s">
        <v>121</v>
      </c>
      <c r="EL70" s="1" t="s">
        <v>121</v>
      </c>
      <c r="EM70" s="1" t="s">
        <v>121</v>
      </c>
      <c r="EN70" s="1" t="s">
        <v>121</v>
      </c>
      <c r="EO70" s="1" t="s">
        <v>121</v>
      </c>
      <c r="EP70" s="1" t="s">
        <v>121</v>
      </c>
    </row>
    <row r="71" spans="1:146" x14ac:dyDescent="0.25">
      <c r="A71" s="72">
        <v>71</v>
      </c>
      <c r="B71" s="12" t="s">
        <v>252</v>
      </c>
      <c r="C71" s="10">
        <f>Capital!F41</f>
        <v>0.17288000000000001</v>
      </c>
      <c r="D71" s="10">
        <f>Capital!G41</f>
        <v>0.16653000000000001</v>
      </c>
      <c r="E71" s="10">
        <f>Capital!H41</f>
        <v>0.19528999999999999</v>
      </c>
      <c r="F71" s="10">
        <f>Capital!I41</f>
        <v>0.20444999999999999</v>
      </c>
      <c r="G71" s="10">
        <f>Capital!J41</f>
        <v>0.17016000000000001</v>
      </c>
      <c r="H71" s="10">
        <f>Capital!K41</f>
        <v>0.17011999999999999</v>
      </c>
      <c r="I71" s="10">
        <f>Capital!L41</f>
        <v>0.18346999999999999</v>
      </c>
      <c r="J71" s="10">
        <f>Capital!M41</f>
        <v>0.1862</v>
      </c>
      <c r="K71" s="10">
        <f>Capital!N41</f>
        <v>0.15347</v>
      </c>
      <c r="L71" s="10">
        <f>Capital!O41</f>
        <v>0.16683000000000001</v>
      </c>
      <c r="M71" s="10">
        <f>Capital!P41</f>
        <v>0.17341999999999999</v>
      </c>
      <c r="N71" s="10">
        <f>Capital!Q41</f>
        <v>0.18129999999999999</v>
      </c>
      <c r="O71" s="335"/>
      <c r="P71" s="335"/>
      <c r="Q71" s="335"/>
      <c r="R71" s="10">
        <f>Capital!U41</f>
        <v>0.1115</v>
      </c>
      <c r="S71" s="10">
        <f>Capital!V41</f>
        <v>0.10237</v>
      </c>
      <c r="T71" s="10">
        <f>Capital!W41</f>
        <v>9.8000000000000004E-2</v>
      </c>
      <c r="U71" s="10">
        <f>Capital!X41</f>
        <v>0.10204000000000001</v>
      </c>
      <c r="V71" s="10">
        <f>Capital!Y41</f>
        <v>0.10600999999999999</v>
      </c>
      <c r="W71" s="10">
        <f>Capital!Z41</f>
        <v>9.783E-2</v>
      </c>
      <c r="X71" s="10">
        <f>Capital!AA41</f>
        <v>0.10780000000000001</v>
      </c>
      <c r="Y71" s="10">
        <f>Capital!AB41</f>
        <v>0.10403999999999999</v>
      </c>
      <c r="Z71" s="10">
        <f>Capital!AC41</f>
        <v>0.11508</v>
      </c>
      <c r="AA71" s="10">
        <f>Capital!AD41</f>
        <v>9.9709999999999993E-2</v>
      </c>
      <c r="AB71" s="10">
        <f>Capital!AE41</f>
        <v>0.10373</v>
      </c>
      <c r="AC71" s="10">
        <f>Capital!AF41</f>
        <v>0.10425</v>
      </c>
      <c r="AD71" s="10">
        <f>Capital!AG41</f>
        <v>0.10100000000000001</v>
      </c>
      <c r="AE71" s="10">
        <f>Capital!AH41</f>
        <v>9.2740000000000003E-2</v>
      </c>
      <c r="AF71" s="10">
        <f>Capital!AI41</f>
        <v>0.10226</v>
      </c>
      <c r="AG71" s="10">
        <f>Capital!AJ41</f>
        <v>0.10781</v>
      </c>
      <c r="AH71" s="10">
        <f>Capital!AK41</f>
        <v>0.10050000000000001</v>
      </c>
      <c r="AI71" s="10">
        <f>Capital!AL41</f>
        <v>0.10287</v>
      </c>
      <c r="AJ71" s="10">
        <f>Capital!AM41</f>
        <v>8.9499999999999996E-2</v>
      </c>
      <c r="AK71" s="10">
        <f>Capital!AN41</f>
        <v>8.9899999999999994E-2</v>
      </c>
      <c r="AL71" s="10">
        <f>Capital!AO41</f>
        <v>9.1999999999999998E-2</v>
      </c>
      <c r="AM71" s="10">
        <f>Capital!AP41</f>
        <v>8.7800000000000003E-2</v>
      </c>
      <c r="AN71" s="10">
        <f>Capital!AQ41</f>
        <v>8.7599999999999997E-2</v>
      </c>
      <c r="AO71" s="10">
        <f>Capital!AR41</f>
        <v>8.8800000000000004E-2</v>
      </c>
      <c r="AP71" s="10">
        <f>Capital!AS41</f>
        <v>8.7999999999999995E-2</v>
      </c>
      <c r="AQ71" s="10">
        <f>Capital!AT41</f>
        <v>8.4199999999999997E-2</v>
      </c>
      <c r="AR71" s="10">
        <f>Capital!AU41</f>
        <v>9.4799999999999995E-2</v>
      </c>
      <c r="AS71" s="10">
        <f>Capital!AV41</f>
        <v>9.5000000000000001E-2</v>
      </c>
      <c r="AT71" s="10">
        <v>0.08</v>
      </c>
      <c r="AU71" s="10">
        <v>9.0899999999999995E-2</v>
      </c>
      <c r="AV71" s="10">
        <v>9.2399999999999996E-2</v>
      </c>
      <c r="AW71" s="10">
        <v>9.1300000000000006E-2</v>
      </c>
      <c r="AX71" s="10">
        <v>8.3000000000000004E-2</v>
      </c>
      <c r="AY71" s="10" t="s">
        <v>121</v>
      </c>
      <c r="AZ71" s="10" t="s">
        <v>121</v>
      </c>
      <c r="BA71" s="10" t="s">
        <v>121</v>
      </c>
      <c r="BB71" s="10" t="s">
        <v>121</v>
      </c>
      <c r="BC71" s="10" t="s">
        <v>121</v>
      </c>
      <c r="BD71" s="10" t="s">
        <v>121</v>
      </c>
      <c r="BE71" s="10" t="s">
        <v>121</v>
      </c>
      <c r="BF71" s="10" t="s">
        <v>121</v>
      </c>
      <c r="BG71" s="10" t="s">
        <v>121</v>
      </c>
      <c r="BH71" s="10" t="s">
        <v>121</v>
      </c>
      <c r="BI71" s="10" t="s">
        <v>121</v>
      </c>
      <c r="BJ71" s="10" t="s">
        <v>121</v>
      </c>
      <c r="BK71" s="10" t="s">
        <v>121</v>
      </c>
      <c r="BL71" s="1" t="s">
        <v>121</v>
      </c>
      <c r="BM71" s="1" t="s">
        <v>121</v>
      </c>
      <c r="BN71" s="1" t="s">
        <v>121</v>
      </c>
      <c r="BO71" s="1" t="s">
        <v>121</v>
      </c>
      <c r="BP71" s="1" t="s">
        <v>121</v>
      </c>
      <c r="BQ71" s="1" t="s">
        <v>121</v>
      </c>
      <c r="BR71" s="1" t="s">
        <v>121</v>
      </c>
      <c r="BS71" s="1" t="s">
        <v>121</v>
      </c>
      <c r="BT71" s="1" t="s">
        <v>121</v>
      </c>
      <c r="BU71" s="1" t="s">
        <v>121</v>
      </c>
      <c r="BV71" s="1" t="s">
        <v>121</v>
      </c>
      <c r="BW71" s="1" t="s">
        <v>121</v>
      </c>
      <c r="BX71" s="1" t="s">
        <v>121</v>
      </c>
      <c r="BY71" s="1" t="s">
        <v>121</v>
      </c>
      <c r="BZ71" s="1" t="s">
        <v>121</v>
      </c>
      <c r="CA71" s="1" t="s">
        <v>121</v>
      </c>
      <c r="CB71" s="1" t="s">
        <v>121</v>
      </c>
      <c r="CC71" s="1" t="s">
        <v>121</v>
      </c>
      <c r="CD71" s="1" t="s">
        <v>121</v>
      </c>
      <c r="CE71" s="1" t="s">
        <v>121</v>
      </c>
      <c r="CF71" s="1" t="s">
        <v>121</v>
      </c>
      <c r="CG71" s="1" t="s">
        <v>121</v>
      </c>
      <c r="CH71" s="1" t="s">
        <v>121</v>
      </c>
      <c r="CI71" s="1" t="s">
        <v>121</v>
      </c>
      <c r="CJ71" s="1" t="s">
        <v>121</v>
      </c>
      <c r="CK71" s="1" t="s">
        <v>121</v>
      </c>
      <c r="CL71" s="1" t="s">
        <v>121</v>
      </c>
      <c r="CM71" s="1" t="s">
        <v>121</v>
      </c>
      <c r="CN71" s="1" t="s">
        <v>121</v>
      </c>
      <c r="CO71" s="1" t="s">
        <v>121</v>
      </c>
      <c r="CP71" s="1" t="s">
        <v>121</v>
      </c>
      <c r="CQ71" s="1" t="s">
        <v>121</v>
      </c>
      <c r="CR71" s="1" t="s">
        <v>121</v>
      </c>
      <c r="CS71" s="1" t="s">
        <v>121</v>
      </c>
      <c r="CT71" s="1" t="s">
        <v>121</v>
      </c>
      <c r="CU71" s="1" t="s">
        <v>121</v>
      </c>
      <c r="CV71" s="1" t="s">
        <v>121</v>
      </c>
      <c r="CW71" s="1" t="s">
        <v>121</v>
      </c>
      <c r="CX71" s="1" t="s">
        <v>121</v>
      </c>
      <c r="CY71" s="1" t="s">
        <v>121</v>
      </c>
      <c r="CZ71" s="1" t="s">
        <v>121</v>
      </c>
      <c r="DA71" s="1" t="s">
        <v>121</v>
      </c>
      <c r="DB71" s="1" t="s">
        <v>121</v>
      </c>
      <c r="DC71" s="1" t="s">
        <v>121</v>
      </c>
      <c r="DD71" s="1" t="s">
        <v>121</v>
      </c>
      <c r="DE71" s="1" t="s">
        <v>121</v>
      </c>
      <c r="DF71" s="1" t="s">
        <v>121</v>
      </c>
      <c r="DG71" s="1" t="s">
        <v>121</v>
      </c>
      <c r="DH71" s="1" t="s">
        <v>121</v>
      </c>
      <c r="DI71" s="1" t="s">
        <v>121</v>
      </c>
      <c r="DJ71" s="1" t="s">
        <v>121</v>
      </c>
      <c r="DK71" s="1" t="s">
        <v>121</v>
      </c>
      <c r="DL71" s="1" t="s">
        <v>121</v>
      </c>
      <c r="DM71" s="1" t="s">
        <v>121</v>
      </c>
      <c r="DN71" s="1" t="s">
        <v>121</v>
      </c>
      <c r="DO71" s="1" t="s">
        <v>121</v>
      </c>
      <c r="DP71" s="1" t="s">
        <v>121</v>
      </c>
      <c r="DQ71" s="1" t="s">
        <v>121</v>
      </c>
      <c r="DR71" s="1" t="s">
        <v>121</v>
      </c>
      <c r="DS71" s="1" t="s">
        <v>121</v>
      </c>
      <c r="DT71" s="1" t="s">
        <v>121</v>
      </c>
      <c r="DU71" s="1" t="s">
        <v>121</v>
      </c>
      <c r="DV71" s="1" t="s">
        <v>121</v>
      </c>
      <c r="DW71" s="1" t="s">
        <v>121</v>
      </c>
      <c r="DX71" s="1" t="s">
        <v>121</v>
      </c>
      <c r="DY71" s="1" t="s">
        <v>121</v>
      </c>
      <c r="DZ71" s="1" t="s">
        <v>121</v>
      </c>
      <c r="EA71" s="1" t="s">
        <v>121</v>
      </c>
      <c r="EB71" s="1" t="s">
        <v>121</v>
      </c>
      <c r="EC71" s="1" t="s">
        <v>121</v>
      </c>
      <c r="ED71" s="1" t="s">
        <v>121</v>
      </c>
      <c r="EE71" s="1" t="s">
        <v>121</v>
      </c>
      <c r="EF71" s="1" t="s">
        <v>121</v>
      </c>
      <c r="EG71" s="1" t="s">
        <v>121</v>
      </c>
      <c r="EH71" s="1" t="s">
        <v>121</v>
      </c>
      <c r="EI71" s="1" t="s">
        <v>121</v>
      </c>
      <c r="EJ71" s="1" t="s">
        <v>121</v>
      </c>
      <c r="EK71" s="1" t="s">
        <v>121</v>
      </c>
      <c r="EL71" s="1" t="s">
        <v>121</v>
      </c>
      <c r="EM71" s="1" t="s">
        <v>121</v>
      </c>
      <c r="EN71" s="1" t="s">
        <v>121</v>
      </c>
      <c r="EO71" s="1" t="s">
        <v>121</v>
      </c>
      <c r="EP71" s="1" t="s">
        <v>121</v>
      </c>
    </row>
    <row r="72" spans="1:146" x14ac:dyDescent="0.25">
      <c r="A72" s="72">
        <v>72</v>
      </c>
      <c r="B72" s="5" t="s">
        <v>253</v>
      </c>
      <c r="C72" s="10">
        <f>Capital!F42</f>
        <v>0.21456</v>
      </c>
      <c r="D72" s="10">
        <f>Capital!G42</f>
        <v>0.19813</v>
      </c>
      <c r="E72" s="10">
        <f>Capital!H42</f>
        <v>0.22236</v>
      </c>
      <c r="F72" s="10">
        <f>Capital!I42</f>
        <v>0.21844</v>
      </c>
      <c r="G72" s="10">
        <f>Capital!J42</f>
        <v>0.22486</v>
      </c>
      <c r="H72" s="10">
        <f>Capital!K42</f>
        <v>0.20901</v>
      </c>
      <c r="I72" s="10">
        <f>Capital!L42</f>
        <v>0.21228</v>
      </c>
      <c r="J72" s="10">
        <f>Capital!M42</f>
        <v>0.2031</v>
      </c>
      <c r="K72" s="10">
        <f>Capital!N42</f>
        <v>0.22208</v>
      </c>
      <c r="L72" s="10">
        <f>Capital!O42</f>
        <v>0.22583</v>
      </c>
      <c r="M72" s="10">
        <f>Capital!P42</f>
        <v>0.21770999999999999</v>
      </c>
      <c r="N72" s="10">
        <f>Capital!Q42</f>
        <v>0.20300000000000001</v>
      </c>
      <c r="O72" s="335"/>
      <c r="P72" s="335"/>
      <c r="Q72" s="335"/>
      <c r="R72" s="10">
        <f>Capital!U42</f>
        <v>0.1346</v>
      </c>
      <c r="S72" s="10">
        <f>Capital!V42</f>
        <v>0.13153000000000001</v>
      </c>
      <c r="T72" s="10">
        <f>Capital!W42</f>
        <v>0.13150000000000001</v>
      </c>
      <c r="U72" s="10">
        <f>Capital!X42</f>
        <v>0.13195999999999999</v>
      </c>
      <c r="V72" s="10">
        <f>Capital!Y42</f>
        <v>0.13325999999999999</v>
      </c>
      <c r="W72" s="10">
        <f>Capital!Z42</f>
        <v>0.13095000000000001</v>
      </c>
      <c r="X72" s="10">
        <f>Capital!AA42</f>
        <v>0.14757999999999999</v>
      </c>
      <c r="Y72" s="10">
        <f>Capital!AB42</f>
        <v>0.13546</v>
      </c>
      <c r="Z72" s="10">
        <f>Capital!AC42</f>
        <v>0.14762</v>
      </c>
      <c r="AA72" s="10">
        <f>Capital!AD42</f>
        <v>0.14612</v>
      </c>
      <c r="AB72" s="10">
        <f>Capital!AE42</f>
        <v>0.14752999999999999</v>
      </c>
      <c r="AC72" s="10">
        <f>Capital!AF42</f>
        <v>0.14532999999999999</v>
      </c>
      <c r="AD72" s="10">
        <f>Capital!AG42</f>
        <v>0.13669999999999999</v>
      </c>
      <c r="AE72" s="10">
        <f>Capital!AH42</f>
        <v>0.13444</v>
      </c>
      <c r="AF72" s="10">
        <f>Capital!AI42</f>
        <v>0.1472</v>
      </c>
      <c r="AG72" s="10">
        <f>Capital!AJ42</f>
        <v>0.15259</v>
      </c>
      <c r="AH72" s="10">
        <f>Capital!AK42</f>
        <v>0.14199999999999999</v>
      </c>
      <c r="AI72" s="10">
        <f>Capital!AL42</f>
        <v>0.14554</v>
      </c>
      <c r="AJ72" s="10">
        <f>Capital!AM42</f>
        <v>0.13900000000000001</v>
      </c>
      <c r="AK72" s="10">
        <f>Capital!AN42</f>
        <v>0.1351</v>
      </c>
      <c r="AL72" s="10">
        <f>Capital!AO42</f>
        <v>0.14199999999999999</v>
      </c>
      <c r="AM72" s="10">
        <f>Capital!AP42</f>
        <v>0.1429</v>
      </c>
      <c r="AN72" s="10">
        <f>Capital!AQ42</f>
        <v>0.1434</v>
      </c>
      <c r="AO72" s="10">
        <f>Capital!AR42</f>
        <v>0.14779999999999999</v>
      </c>
      <c r="AP72" s="10">
        <f>Capital!AS42</f>
        <v>0.15</v>
      </c>
      <c r="AQ72" s="10">
        <f>Capital!AT42</f>
        <v>0.14760000000000001</v>
      </c>
      <c r="AR72" s="10">
        <f>Capital!AU42</f>
        <v>0.13150000000000001</v>
      </c>
      <c r="AS72" s="10">
        <f>Capital!AV42</f>
        <v>0.13270000000000001</v>
      </c>
      <c r="AT72" s="10">
        <v>0.129</v>
      </c>
      <c r="AU72" s="10">
        <v>0.1326</v>
      </c>
      <c r="AV72" s="10">
        <v>0.13089999999999999</v>
      </c>
      <c r="AW72" s="10">
        <v>0.1285</v>
      </c>
      <c r="AX72" s="10">
        <v>0.13100000000000001</v>
      </c>
      <c r="AY72" s="10" t="s">
        <v>121</v>
      </c>
      <c r="AZ72" s="10" t="s">
        <v>121</v>
      </c>
      <c r="BA72" s="10" t="s">
        <v>121</v>
      </c>
      <c r="BB72" s="10" t="s">
        <v>121</v>
      </c>
      <c r="BC72" s="10" t="s">
        <v>121</v>
      </c>
      <c r="BD72" s="10" t="s">
        <v>121</v>
      </c>
      <c r="BE72" s="10" t="s">
        <v>121</v>
      </c>
      <c r="BF72" s="10" t="s">
        <v>121</v>
      </c>
      <c r="BG72" s="10" t="s">
        <v>121</v>
      </c>
      <c r="BH72" s="10" t="s">
        <v>121</v>
      </c>
      <c r="BI72" s="10" t="s">
        <v>121</v>
      </c>
      <c r="BJ72" s="10" t="s">
        <v>121</v>
      </c>
      <c r="BK72" s="10" t="s">
        <v>121</v>
      </c>
      <c r="BL72" s="1" t="s">
        <v>121</v>
      </c>
      <c r="BM72" s="1" t="s">
        <v>121</v>
      </c>
      <c r="BN72" s="1" t="s">
        <v>121</v>
      </c>
      <c r="BO72" s="1" t="s">
        <v>121</v>
      </c>
      <c r="BP72" s="1" t="s">
        <v>121</v>
      </c>
      <c r="BQ72" s="1" t="s">
        <v>121</v>
      </c>
      <c r="BR72" s="1" t="s">
        <v>121</v>
      </c>
      <c r="BS72" s="1" t="s">
        <v>121</v>
      </c>
      <c r="BT72" s="1" t="s">
        <v>121</v>
      </c>
      <c r="BU72" s="1" t="s">
        <v>121</v>
      </c>
      <c r="BV72" s="1" t="s">
        <v>121</v>
      </c>
      <c r="BW72" s="1" t="s">
        <v>121</v>
      </c>
      <c r="BX72" s="1" t="s">
        <v>121</v>
      </c>
      <c r="BY72" s="1" t="s">
        <v>121</v>
      </c>
      <c r="BZ72" s="1" t="s">
        <v>121</v>
      </c>
      <c r="CA72" s="1" t="s">
        <v>121</v>
      </c>
      <c r="CB72" s="1" t="s">
        <v>121</v>
      </c>
      <c r="CC72" s="1" t="s">
        <v>121</v>
      </c>
      <c r="CD72" s="1" t="s">
        <v>121</v>
      </c>
      <c r="CE72" s="1" t="s">
        <v>121</v>
      </c>
      <c r="CF72" s="1" t="s">
        <v>121</v>
      </c>
      <c r="CG72" s="1" t="s">
        <v>121</v>
      </c>
      <c r="CH72" s="1" t="s">
        <v>121</v>
      </c>
      <c r="CI72" s="1" t="s">
        <v>121</v>
      </c>
      <c r="CJ72" s="1" t="s">
        <v>121</v>
      </c>
      <c r="CK72" s="1" t="s">
        <v>121</v>
      </c>
      <c r="CL72" s="1" t="s">
        <v>121</v>
      </c>
      <c r="CM72" s="1" t="s">
        <v>121</v>
      </c>
      <c r="CN72" s="1" t="s">
        <v>121</v>
      </c>
      <c r="CO72" s="1" t="s">
        <v>121</v>
      </c>
      <c r="CP72" s="1" t="s">
        <v>121</v>
      </c>
      <c r="CQ72" s="1" t="s">
        <v>121</v>
      </c>
      <c r="CR72" s="1" t="s">
        <v>121</v>
      </c>
      <c r="CS72" s="1" t="s">
        <v>121</v>
      </c>
      <c r="CT72" s="1" t="s">
        <v>121</v>
      </c>
      <c r="CU72" s="1" t="s">
        <v>121</v>
      </c>
      <c r="CV72" s="1" t="s">
        <v>121</v>
      </c>
      <c r="CW72" s="1" t="s">
        <v>121</v>
      </c>
      <c r="CX72" s="1" t="s">
        <v>121</v>
      </c>
      <c r="CY72" s="1" t="s">
        <v>121</v>
      </c>
      <c r="CZ72" s="1" t="s">
        <v>121</v>
      </c>
      <c r="DA72" s="1" t="s">
        <v>121</v>
      </c>
      <c r="DB72" s="1" t="s">
        <v>121</v>
      </c>
      <c r="DC72" s="1" t="s">
        <v>121</v>
      </c>
      <c r="DD72" s="1" t="s">
        <v>121</v>
      </c>
      <c r="DE72" s="1" t="s">
        <v>121</v>
      </c>
      <c r="DF72" s="1" t="s">
        <v>121</v>
      </c>
      <c r="DG72" s="1" t="s">
        <v>121</v>
      </c>
      <c r="DH72" s="1" t="s">
        <v>121</v>
      </c>
      <c r="DI72" s="1" t="s">
        <v>121</v>
      </c>
      <c r="DJ72" s="1" t="s">
        <v>121</v>
      </c>
      <c r="DK72" s="1" t="s">
        <v>121</v>
      </c>
      <c r="DL72" s="1" t="s">
        <v>121</v>
      </c>
      <c r="DM72" s="1" t="s">
        <v>121</v>
      </c>
      <c r="DN72" s="1" t="s">
        <v>121</v>
      </c>
      <c r="DO72" s="1" t="s">
        <v>121</v>
      </c>
      <c r="DP72" s="1" t="s">
        <v>121</v>
      </c>
      <c r="DQ72" s="1" t="s">
        <v>121</v>
      </c>
      <c r="DR72" s="1" t="s">
        <v>121</v>
      </c>
      <c r="DS72" s="1" t="s">
        <v>121</v>
      </c>
      <c r="DT72" s="1" t="s">
        <v>121</v>
      </c>
      <c r="DU72" s="1" t="s">
        <v>121</v>
      </c>
      <c r="DV72" s="1" t="s">
        <v>121</v>
      </c>
      <c r="DW72" s="1" t="s">
        <v>121</v>
      </c>
      <c r="DX72" s="1" t="s">
        <v>121</v>
      </c>
      <c r="DY72" s="1" t="s">
        <v>121</v>
      </c>
      <c r="DZ72" s="1" t="s">
        <v>121</v>
      </c>
      <c r="EA72" s="1" t="s">
        <v>121</v>
      </c>
      <c r="EB72" s="1" t="s">
        <v>121</v>
      </c>
      <c r="EC72" s="1" t="s">
        <v>121</v>
      </c>
      <c r="ED72" s="1" t="s">
        <v>121</v>
      </c>
      <c r="EE72" s="1" t="s">
        <v>121</v>
      </c>
      <c r="EF72" s="1" t="s">
        <v>121</v>
      </c>
      <c r="EG72" s="1" t="s">
        <v>121</v>
      </c>
      <c r="EH72" s="1" t="s">
        <v>121</v>
      </c>
      <c r="EI72" s="1" t="s">
        <v>121</v>
      </c>
      <c r="EJ72" s="1" t="s">
        <v>121</v>
      </c>
      <c r="EK72" s="1" t="s">
        <v>121</v>
      </c>
      <c r="EL72" s="1" t="s">
        <v>121</v>
      </c>
      <c r="EM72" s="1" t="s">
        <v>121</v>
      </c>
      <c r="EN72" s="1" t="s">
        <v>121</v>
      </c>
      <c r="EO72" s="1" t="s">
        <v>121</v>
      </c>
      <c r="EP72" s="1" t="s">
        <v>121</v>
      </c>
    </row>
    <row r="73" spans="1:146" x14ac:dyDescent="0.25">
      <c r="A73" s="307">
        <v>73</v>
      </c>
      <c r="B73" s="1" t="s">
        <v>121</v>
      </c>
      <c r="C73" s="1" t="s">
        <v>121</v>
      </c>
      <c r="D73" s="1" t="s">
        <v>121</v>
      </c>
      <c r="E73" s="1" t="s">
        <v>121</v>
      </c>
      <c r="F73" s="1" t="s">
        <v>121</v>
      </c>
      <c r="G73" s="1" t="s">
        <v>121</v>
      </c>
      <c r="H73" s="1" t="s">
        <v>121</v>
      </c>
      <c r="I73" s="1" t="s">
        <v>121</v>
      </c>
      <c r="J73" s="1" t="s">
        <v>121</v>
      </c>
      <c r="K73" s="1" t="s">
        <v>121</v>
      </c>
      <c r="L73" s="1" t="s">
        <v>121</v>
      </c>
      <c r="M73" s="1" t="s">
        <v>121</v>
      </c>
      <c r="N73" s="1" t="s">
        <v>121</v>
      </c>
      <c r="O73" s="1" t="s">
        <v>121</v>
      </c>
      <c r="P73" s="1" t="s">
        <v>121</v>
      </c>
      <c r="Q73" s="1" t="s">
        <v>121</v>
      </c>
      <c r="R73" s="1" t="s">
        <v>121</v>
      </c>
      <c r="S73" s="1" t="s">
        <v>121</v>
      </c>
      <c r="T73" s="1" t="s">
        <v>121</v>
      </c>
      <c r="U73" s="1" t="s">
        <v>121</v>
      </c>
      <c r="V73" s="1" t="s">
        <v>121</v>
      </c>
      <c r="W73" s="1" t="s">
        <v>121</v>
      </c>
      <c r="X73" s="1" t="s">
        <v>121</v>
      </c>
      <c r="Y73" s="1" t="s">
        <v>121</v>
      </c>
      <c r="Z73" s="1" t="s">
        <v>121</v>
      </c>
      <c r="AA73" s="1" t="s">
        <v>121</v>
      </c>
      <c r="AB73" s="1" t="s">
        <v>121</v>
      </c>
      <c r="AC73" s="1" t="s">
        <v>121</v>
      </c>
      <c r="AD73" s="1" t="s">
        <v>121</v>
      </c>
      <c r="AE73" s="1" t="s">
        <v>121</v>
      </c>
      <c r="AF73" s="1" t="s">
        <v>121</v>
      </c>
      <c r="AG73" s="1" t="s">
        <v>121</v>
      </c>
      <c r="AH73" s="1" t="s">
        <v>121</v>
      </c>
      <c r="AI73" s="1" t="s">
        <v>121</v>
      </c>
      <c r="AJ73" s="1" t="s">
        <v>121</v>
      </c>
      <c r="AK73" s="1" t="s">
        <v>121</v>
      </c>
      <c r="AL73" s="1" t="s">
        <v>121</v>
      </c>
      <c r="AM73" s="1" t="s">
        <v>121</v>
      </c>
      <c r="AN73" s="1" t="s">
        <v>121</v>
      </c>
      <c r="AO73" s="1" t="s">
        <v>121</v>
      </c>
      <c r="AP73" s="1" t="s">
        <v>121</v>
      </c>
      <c r="AQ73" s="1" t="s">
        <v>121</v>
      </c>
      <c r="AR73" s="1" t="s">
        <v>121</v>
      </c>
      <c r="AS73" s="1" t="s">
        <v>121</v>
      </c>
      <c r="AT73" s="1" t="s">
        <v>121</v>
      </c>
      <c r="AU73" s="1" t="s">
        <v>121</v>
      </c>
      <c r="AV73" s="1" t="s">
        <v>121</v>
      </c>
      <c r="AW73" s="1" t="s">
        <v>121</v>
      </c>
      <c r="AX73" s="1" t="s">
        <v>121</v>
      </c>
      <c r="AY73" s="1" t="s">
        <v>121</v>
      </c>
      <c r="AZ73" s="1" t="s">
        <v>121</v>
      </c>
      <c r="BA73" s="1" t="s">
        <v>121</v>
      </c>
      <c r="BB73" s="1" t="s">
        <v>121</v>
      </c>
      <c r="BC73" s="1" t="s">
        <v>121</v>
      </c>
      <c r="BD73" s="1" t="s">
        <v>121</v>
      </c>
      <c r="BE73" s="1" t="s">
        <v>121</v>
      </c>
      <c r="BF73" s="1" t="s">
        <v>121</v>
      </c>
      <c r="BG73" s="1" t="s">
        <v>121</v>
      </c>
      <c r="BH73" s="1" t="s">
        <v>121</v>
      </c>
      <c r="BI73" s="1" t="s">
        <v>121</v>
      </c>
      <c r="BJ73" s="1" t="s">
        <v>121</v>
      </c>
      <c r="BK73" s="1" t="s">
        <v>121</v>
      </c>
      <c r="BL73" s="1" t="s">
        <v>121</v>
      </c>
      <c r="BM73" s="1" t="s">
        <v>121</v>
      </c>
      <c r="BN73" s="1" t="s">
        <v>121</v>
      </c>
      <c r="BO73" s="1" t="s">
        <v>121</v>
      </c>
      <c r="BP73" s="1" t="s">
        <v>121</v>
      </c>
      <c r="BQ73" s="1" t="s">
        <v>121</v>
      </c>
      <c r="BR73" s="1" t="s">
        <v>121</v>
      </c>
      <c r="BS73" s="1" t="s">
        <v>121</v>
      </c>
      <c r="BT73" s="1" t="s">
        <v>121</v>
      </c>
      <c r="BU73" s="1" t="s">
        <v>121</v>
      </c>
      <c r="BV73" s="1" t="s">
        <v>121</v>
      </c>
      <c r="BW73" s="1" t="s">
        <v>121</v>
      </c>
      <c r="BX73" s="1" t="s">
        <v>121</v>
      </c>
      <c r="BY73" s="1" t="s">
        <v>121</v>
      </c>
      <c r="BZ73" s="1" t="s">
        <v>121</v>
      </c>
      <c r="CA73" s="1" t="s">
        <v>121</v>
      </c>
      <c r="CB73" s="1" t="s">
        <v>121</v>
      </c>
      <c r="CC73" s="1" t="s">
        <v>121</v>
      </c>
      <c r="CD73" s="1" t="s">
        <v>121</v>
      </c>
      <c r="CE73" s="1" t="s">
        <v>121</v>
      </c>
      <c r="CF73" s="1" t="s">
        <v>121</v>
      </c>
      <c r="CG73" s="1" t="s">
        <v>121</v>
      </c>
      <c r="CH73" s="1" t="s">
        <v>121</v>
      </c>
      <c r="CI73" s="1" t="s">
        <v>121</v>
      </c>
      <c r="CJ73" s="1" t="s">
        <v>121</v>
      </c>
      <c r="CK73" s="1" t="s">
        <v>121</v>
      </c>
      <c r="CL73" s="1" t="s">
        <v>121</v>
      </c>
      <c r="CM73" s="1" t="s">
        <v>121</v>
      </c>
      <c r="CN73" s="1" t="s">
        <v>121</v>
      </c>
      <c r="CO73" s="1" t="s">
        <v>121</v>
      </c>
      <c r="CP73" s="1" t="s">
        <v>121</v>
      </c>
      <c r="CQ73" s="1" t="s">
        <v>121</v>
      </c>
      <c r="CR73" s="1" t="s">
        <v>121</v>
      </c>
      <c r="CS73" s="1" t="s">
        <v>121</v>
      </c>
      <c r="CT73" s="1" t="s">
        <v>121</v>
      </c>
      <c r="CU73" s="1" t="s">
        <v>121</v>
      </c>
      <c r="CV73" s="1" t="s">
        <v>121</v>
      </c>
      <c r="CW73" s="1" t="s">
        <v>121</v>
      </c>
      <c r="CX73" s="1" t="s">
        <v>121</v>
      </c>
      <c r="CY73" s="1" t="s">
        <v>121</v>
      </c>
      <c r="CZ73" s="1" t="s">
        <v>121</v>
      </c>
      <c r="DA73" s="1" t="s">
        <v>121</v>
      </c>
      <c r="DB73" s="1" t="s">
        <v>121</v>
      </c>
      <c r="DC73" s="1" t="s">
        <v>121</v>
      </c>
      <c r="DD73" s="1" t="s">
        <v>121</v>
      </c>
      <c r="DE73" s="1" t="s">
        <v>121</v>
      </c>
      <c r="DF73" s="1" t="s">
        <v>121</v>
      </c>
      <c r="DG73" s="1" t="s">
        <v>121</v>
      </c>
      <c r="DH73" s="1" t="s">
        <v>121</v>
      </c>
      <c r="DI73" s="1" t="s">
        <v>121</v>
      </c>
      <c r="DJ73" s="1" t="s">
        <v>121</v>
      </c>
      <c r="DK73" s="1" t="s">
        <v>121</v>
      </c>
      <c r="DL73" s="1" t="s">
        <v>121</v>
      </c>
      <c r="DM73" s="1" t="s">
        <v>121</v>
      </c>
      <c r="DN73" s="1" t="s">
        <v>121</v>
      </c>
      <c r="DO73" s="1" t="s">
        <v>121</v>
      </c>
      <c r="DP73" s="1" t="s">
        <v>121</v>
      </c>
      <c r="DQ73" s="1" t="s">
        <v>121</v>
      </c>
      <c r="DR73" s="1" t="s">
        <v>121</v>
      </c>
      <c r="DS73" s="1" t="s">
        <v>121</v>
      </c>
      <c r="DT73" s="1" t="s">
        <v>121</v>
      </c>
      <c r="DU73" s="1" t="s">
        <v>121</v>
      </c>
      <c r="DV73" s="1" t="s">
        <v>121</v>
      </c>
      <c r="DW73" s="1" t="s">
        <v>121</v>
      </c>
      <c r="DX73" s="1" t="s">
        <v>121</v>
      </c>
      <c r="DY73" s="1" t="s">
        <v>121</v>
      </c>
      <c r="DZ73" s="1" t="s">
        <v>121</v>
      </c>
      <c r="EA73" s="1" t="s">
        <v>121</v>
      </c>
      <c r="EB73" s="1" t="s">
        <v>121</v>
      </c>
      <c r="EC73" s="1" t="s">
        <v>121</v>
      </c>
      <c r="ED73" s="1" t="s">
        <v>121</v>
      </c>
      <c r="EE73" s="1" t="s">
        <v>121</v>
      </c>
      <c r="EF73" s="1" t="s">
        <v>121</v>
      </c>
      <c r="EG73" s="1" t="s">
        <v>121</v>
      </c>
      <c r="EH73" s="1" t="s">
        <v>121</v>
      </c>
      <c r="EI73" s="1" t="s">
        <v>121</v>
      </c>
      <c r="EJ73" s="1" t="s">
        <v>121</v>
      </c>
      <c r="EK73" s="1" t="s">
        <v>121</v>
      </c>
      <c r="EL73" s="1" t="s">
        <v>121</v>
      </c>
      <c r="EM73" s="1" t="s">
        <v>121</v>
      </c>
      <c r="EN73" s="1" t="s">
        <v>121</v>
      </c>
      <c r="EO73" s="1" t="s">
        <v>121</v>
      </c>
      <c r="EP73" s="1" t="s">
        <v>121</v>
      </c>
    </row>
    <row r="74" spans="1:146" x14ac:dyDescent="0.25">
      <c r="A74" s="72">
        <v>74</v>
      </c>
      <c r="B74" s="1" t="s">
        <v>121</v>
      </c>
      <c r="C74" s="1" t="s">
        <v>121</v>
      </c>
      <c r="D74" s="1" t="s">
        <v>121</v>
      </c>
      <c r="E74" s="1" t="s">
        <v>121</v>
      </c>
      <c r="F74" s="1" t="s">
        <v>121</v>
      </c>
      <c r="G74" s="1" t="s">
        <v>121</v>
      </c>
      <c r="H74" s="1" t="s">
        <v>121</v>
      </c>
      <c r="I74" s="1" t="s">
        <v>121</v>
      </c>
      <c r="J74" s="1" t="s">
        <v>121</v>
      </c>
      <c r="K74" s="1" t="s">
        <v>121</v>
      </c>
      <c r="L74" s="1" t="s">
        <v>121</v>
      </c>
      <c r="M74" s="1" t="s">
        <v>121</v>
      </c>
      <c r="N74" s="1" t="s">
        <v>121</v>
      </c>
      <c r="O74" s="1" t="s">
        <v>121</v>
      </c>
      <c r="P74" s="1" t="s">
        <v>121</v>
      </c>
      <c r="Q74" s="1" t="s">
        <v>121</v>
      </c>
      <c r="R74" s="1" t="s">
        <v>121</v>
      </c>
      <c r="S74" s="1" t="s">
        <v>121</v>
      </c>
      <c r="T74" s="1" t="s">
        <v>121</v>
      </c>
      <c r="U74" s="1" t="s">
        <v>121</v>
      </c>
      <c r="V74" s="1" t="s">
        <v>121</v>
      </c>
      <c r="W74" s="1" t="s">
        <v>121</v>
      </c>
      <c r="X74" s="1" t="s">
        <v>121</v>
      </c>
      <c r="Y74" s="1" t="s">
        <v>121</v>
      </c>
      <c r="Z74" s="1" t="s">
        <v>121</v>
      </c>
      <c r="AA74" s="1" t="s">
        <v>121</v>
      </c>
      <c r="AB74" s="1" t="s">
        <v>121</v>
      </c>
      <c r="AC74" s="1" t="s">
        <v>121</v>
      </c>
      <c r="AD74" s="1" t="s">
        <v>121</v>
      </c>
      <c r="AE74" s="1" t="s">
        <v>121</v>
      </c>
      <c r="AF74" s="1" t="s">
        <v>121</v>
      </c>
      <c r="AG74" s="1" t="s">
        <v>121</v>
      </c>
      <c r="AH74" s="1" t="s">
        <v>121</v>
      </c>
      <c r="AI74" s="1" t="s">
        <v>121</v>
      </c>
      <c r="AJ74" s="1" t="s">
        <v>121</v>
      </c>
      <c r="AK74" s="1" t="s">
        <v>121</v>
      </c>
      <c r="AL74" s="1" t="s">
        <v>121</v>
      </c>
      <c r="AM74" s="1" t="s">
        <v>121</v>
      </c>
      <c r="AN74" s="1" t="s">
        <v>121</v>
      </c>
      <c r="AO74" s="1" t="s">
        <v>121</v>
      </c>
      <c r="AP74" s="1" t="s">
        <v>121</v>
      </c>
      <c r="AQ74" s="1" t="s">
        <v>121</v>
      </c>
      <c r="AR74" s="1" t="s">
        <v>121</v>
      </c>
      <c r="AS74" s="1" t="s">
        <v>121</v>
      </c>
      <c r="AT74" s="1" t="s">
        <v>121</v>
      </c>
      <c r="AU74" s="1" t="s">
        <v>121</v>
      </c>
      <c r="AV74" s="1" t="s">
        <v>121</v>
      </c>
      <c r="AW74" s="1" t="s">
        <v>121</v>
      </c>
      <c r="AX74" s="1" t="s">
        <v>121</v>
      </c>
      <c r="AY74" s="1" t="s">
        <v>121</v>
      </c>
      <c r="AZ74" s="1" t="s">
        <v>121</v>
      </c>
      <c r="BA74" s="1" t="s">
        <v>121</v>
      </c>
      <c r="BB74" s="1" t="s">
        <v>121</v>
      </c>
      <c r="BC74" s="1" t="s">
        <v>121</v>
      </c>
      <c r="BD74" s="1" t="s">
        <v>121</v>
      </c>
      <c r="BE74" s="1" t="s">
        <v>121</v>
      </c>
      <c r="BF74" s="1" t="s">
        <v>121</v>
      </c>
      <c r="BG74" s="1" t="s">
        <v>121</v>
      </c>
      <c r="BH74" s="1" t="s">
        <v>121</v>
      </c>
      <c r="BI74" s="1" t="s">
        <v>121</v>
      </c>
      <c r="BJ74" s="1" t="s">
        <v>121</v>
      </c>
      <c r="BK74" s="1" t="s">
        <v>121</v>
      </c>
      <c r="BL74" s="1" t="s">
        <v>121</v>
      </c>
      <c r="BM74" s="1" t="s">
        <v>121</v>
      </c>
      <c r="BN74" s="1" t="s">
        <v>121</v>
      </c>
      <c r="BO74" s="1" t="s">
        <v>121</v>
      </c>
      <c r="BP74" s="1" t="s">
        <v>121</v>
      </c>
      <c r="BQ74" s="1" t="s">
        <v>121</v>
      </c>
      <c r="BR74" s="1" t="s">
        <v>121</v>
      </c>
      <c r="BS74" s="1" t="s">
        <v>121</v>
      </c>
      <c r="BT74" s="1" t="s">
        <v>121</v>
      </c>
      <c r="BU74" s="1" t="s">
        <v>121</v>
      </c>
      <c r="BV74" s="1" t="s">
        <v>121</v>
      </c>
      <c r="BW74" s="1" t="s">
        <v>121</v>
      </c>
      <c r="BX74" s="1" t="s">
        <v>121</v>
      </c>
      <c r="BY74" s="1" t="s">
        <v>121</v>
      </c>
      <c r="BZ74" s="1" t="s">
        <v>121</v>
      </c>
      <c r="CA74" s="1" t="s">
        <v>121</v>
      </c>
      <c r="CB74" s="1" t="s">
        <v>121</v>
      </c>
      <c r="CC74" s="1" t="s">
        <v>121</v>
      </c>
      <c r="CD74" s="1" t="s">
        <v>121</v>
      </c>
      <c r="CE74" s="1" t="s">
        <v>121</v>
      </c>
      <c r="CF74" s="1" t="s">
        <v>121</v>
      </c>
      <c r="CG74" s="1" t="s">
        <v>121</v>
      </c>
      <c r="CH74" s="1" t="s">
        <v>121</v>
      </c>
      <c r="CI74" s="1" t="s">
        <v>121</v>
      </c>
      <c r="CJ74" s="1" t="s">
        <v>121</v>
      </c>
      <c r="CK74" s="1" t="s">
        <v>121</v>
      </c>
      <c r="CL74" s="1" t="s">
        <v>121</v>
      </c>
      <c r="CM74" s="1" t="s">
        <v>121</v>
      </c>
      <c r="CN74" s="1" t="s">
        <v>121</v>
      </c>
      <c r="CO74" s="1" t="s">
        <v>121</v>
      </c>
      <c r="CP74" s="1" t="s">
        <v>121</v>
      </c>
      <c r="CQ74" s="1" t="s">
        <v>121</v>
      </c>
      <c r="CR74" s="1" t="s">
        <v>121</v>
      </c>
      <c r="CS74" s="1" t="s">
        <v>121</v>
      </c>
      <c r="CT74" s="1" t="s">
        <v>121</v>
      </c>
      <c r="CU74" s="1" t="s">
        <v>121</v>
      </c>
      <c r="CV74" s="1" t="s">
        <v>121</v>
      </c>
      <c r="CW74" s="1" t="s">
        <v>121</v>
      </c>
      <c r="CX74" s="1" t="s">
        <v>121</v>
      </c>
      <c r="CY74" s="1" t="s">
        <v>121</v>
      </c>
      <c r="CZ74" s="1" t="s">
        <v>121</v>
      </c>
      <c r="DA74" s="1" t="s">
        <v>121</v>
      </c>
      <c r="DB74" s="1" t="s">
        <v>121</v>
      </c>
      <c r="DC74" s="1" t="s">
        <v>121</v>
      </c>
      <c r="DD74" s="1" t="s">
        <v>121</v>
      </c>
      <c r="DE74" s="1" t="s">
        <v>121</v>
      </c>
      <c r="DF74" s="1" t="s">
        <v>121</v>
      </c>
      <c r="DG74" s="1" t="s">
        <v>121</v>
      </c>
      <c r="DH74" s="1" t="s">
        <v>121</v>
      </c>
      <c r="DI74" s="1" t="s">
        <v>121</v>
      </c>
      <c r="DJ74" s="1" t="s">
        <v>121</v>
      </c>
      <c r="DK74" s="1" t="s">
        <v>121</v>
      </c>
      <c r="DL74" s="1" t="s">
        <v>121</v>
      </c>
      <c r="DM74" s="1" t="s">
        <v>121</v>
      </c>
      <c r="DN74" s="1" t="s">
        <v>121</v>
      </c>
      <c r="DO74" s="1" t="s">
        <v>121</v>
      </c>
      <c r="DP74" s="1" t="s">
        <v>121</v>
      </c>
      <c r="DQ74" s="1" t="s">
        <v>121</v>
      </c>
      <c r="DR74" s="1" t="s">
        <v>121</v>
      </c>
      <c r="DS74" s="1" t="s">
        <v>121</v>
      </c>
      <c r="DT74" s="1" t="s">
        <v>121</v>
      </c>
      <c r="DU74" s="1" t="s">
        <v>121</v>
      </c>
      <c r="DV74" s="1" t="s">
        <v>121</v>
      </c>
      <c r="DW74" s="1" t="s">
        <v>121</v>
      </c>
      <c r="DX74" s="1" t="s">
        <v>121</v>
      </c>
      <c r="DY74" s="1" t="s">
        <v>121</v>
      </c>
      <c r="DZ74" s="1" t="s">
        <v>121</v>
      </c>
      <c r="EA74" s="1" t="s">
        <v>121</v>
      </c>
      <c r="EB74" s="1" t="s">
        <v>121</v>
      </c>
      <c r="EC74" s="1" t="s">
        <v>121</v>
      </c>
      <c r="ED74" s="1" t="s">
        <v>121</v>
      </c>
      <c r="EE74" s="1" t="s">
        <v>121</v>
      </c>
      <c r="EF74" s="1" t="s">
        <v>121</v>
      </c>
      <c r="EG74" s="1" t="s">
        <v>121</v>
      </c>
      <c r="EH74" s="1" t="s">
        <v>121</v>
      </c>
      <c r="EI74" s="1" t="s">
        <v>121</v>
      </c>
      <c r="EJ74" s="1" t="s">
        <v>121</v>
      </c>
      <c r="EK74" s="1" t="s">
        <v>121</v>
      </c>
      <c r="EL74" s="1" t="s">
        <v>121</v>
      </c>
      <c r="EM74" s="1" t="s">
        <v>121</v>
      </c>
      <c r="EN74" s="1" t="s">
        <v>121</v>
      </c>
      <c r="EO74" s="1" t="s">
        <v>121</v>
      </c>
      <c r="EP74" s="1" t="s">
        <v>121</v>
      </c>
    </row>
    <row r="75" spans="1:146" x14ac:dyDescent="0.25">
      <c r="A75" s="72">
        <v>75</v>
      </c>
      <c r="B75" s="1" t="s">
        <v>121</v>
      </c>
      <c r="C75" s="1" t="s">
        <v>121</v>
      </c>
      <c r="D75" s="1" t="s">
        <v>121</v>
      </c>
      <c r="E75" s="1" t="s">
        <v>121</v>
      </c>
      <c r="F75" s="1" t="s">
        <v>121</v>
      </c>
      <c r="G75" s="1" t="s">
        <v>121</v>
      </c>
      <c r="H75" s="1" t="s">
        <v>121</v>
      </c>
      <c r="I75" s="1" t="s">
        <v>121</v>
      </c>
      <c r="J75" s="1" t="s">
        <v>121</v>
      </c>
      <c r="K75" s="1" t="s">
        <v>121</v>
      </c>
      <c r="L75" s="1" t="s">
        <v>121</v>
      </c>
      <c r="M75" s="1" t="s">
        <v>121</v>
      </c>
      <c r="N75" s="1" t="s">
        <v>121</v>
      </c>
      <c r="O75" s="1" t="s">
        <v>121</v>
      </c>
      <c r="P75" s="1" t="s">
        <v>121</v>
      </c>
      <c r="Q75" s="1" t="s">
        <v>121</v>
      </c>
      <c r="R75" s="1" t="s">
        <v>121</v>
      </c>
      <c r="S75" s="1" t="s">
        <v>121</v>
      </c>
      <c r="T75" s="1" t="s">
        <v>121</v>
      </c>
      <c r="U75" s="1" t="s">
        <v>121</v>
      </c>
      <c r="V75" s="1" t="s">
        <v>121</v>
      </c>
      <c r="W75" s="1" t="s">
        <v>121</v>
      </c>
      <c r="X75" s="1" t="s">
        <v>121</v>
      </c>
      <c r="Y75" s="1" t="s">
        <v>121</v>
      </c>
      <c r="Z75" s="1" t="s">
        <v>121</v>
      </c>
      <c r="AA75" s="1" t="s">
        <v>121</v>
      </c>
      <c r="AB75" s="1" t="s">
        <v>121</v>
      </c>
      <c r="AC75" s="1" t="s">
        <v>121</v>
      </c>
      <c r="AD75" s="1" t="s">
        <v>121</v>
      </c>
      <c r="AE75" s="1" t="s">
        <v>121</v>
      </c>
      <c r="AF75" s="1" t="s">
        <v>121</v>
      </c>
      <c r="AG75" s="1" t="s">
        <v>121</v>
      </c>
      <c r="AH75" s="1" t="s">
        <v>121</v>
      </c>
      <c r="AI75" s="1" t="s">
        <v>121</v>
      </c>
      <c r="AJ75" s="1" t="s">
        <v>121</v>
      </c>
      <c r="AK75" s="1" t="s">
        <v>121</v>
      </c>
      <c r="AL75" s="1" t="s">
        <v>121</v>
      </c>
      <c r="AM75" s="1" t="s">
        <v>121</v>
      </c>
      <c r="AN75" s="1" t="s">
        <v>121</v>
      </c>
      <c r="AO75" s="1" t="s">
        <v>121</v>
      </c>
      <c r="AP75" s="1" t="s">
        <v>121</v>
      </c>
      <c r="AQ75" s="1" t="s">
        <v>121</v>
      </c>
      <c r="AR75" s="1" t="s">
        <v>121</v>
      </c>
      <c r="AS75" s="1" t="s">
        <v>121</v>
      </c>
      <c r="AT75" s="1" t="s">
        <v>121</v>
      </c>
      <c r="AU75" s="1" t="s">
        <v>121</v>
      </c>
      <c r="AV75" s="1" t="s">
        <v>121</v>
      </c>
      <c r="AW75" s="1" t="s">
        <v>121</v>
      </c>
      <c r="AX75" s="1" t="s">
        <v>121</v>
      </c>
      <c r="AY75" s="1" t="s">
        <v>121</v>
      </c>
      <c r="AZ75" s="1" t="s">
        <v>121</v>
      </c>
      <c r="BA75" s="1" t="s">
        <v>121</v>
      </c>
      <c r="BB75" s="1" t="s">
        <v>121</v>
      </c>
      <c r="BC75" s="1" t="s">
        <v>121</v>
      </c>
      <c r="BD75" s="1" t="s">
        <v>121</v>
      </c>
      <c r="BE75" s="1" t="s">
        <v>121</v>
      </c>
      <c r="BF75" s="1" t="s">
        <v>121</v>
      </c>
      <c r="BG75" s="1" t="s">
        <v>121</v>
      </c>
      <c r="BH75" s="1" t="s">
        <v>121</v>
      </c>
      <c r="BI75" s="1" t="s">
        <v>121</v>
      </c>
      <c r="BJ75" s="1" t="s">
        <v>121</v>
      </c>
      <c r="BK75" s="1" t="s">
        <v>121</v>
      </c>
      <c r="BL75" s="1" t="s">
        <v>121</v>
      </c>
      <c r="BM75" s="1" t="s">
        <v>121</v>
      </c>
      <c r="BN75" s="1" t="s">
        <v>121</v>
      </c>
      <c r="BO75" s="1" t="s">
        <v>121</v>
      </c>
      <c r="BP75" s="1" t="s">
        <v>121</v>
      </c>
      <c r="BQ75" s="1" t="s">
        <v>121</v>
      </c>
      <c r="BR75" s="1" t="s">
        <v>121</v>
      </c>
      <c r="BS75" s="1" t="s">
        <v>121</v>
      </c>
      <c r="BT75" s="1" t="s">
        <v>121</v>
      </c>
      <c r="BU75" s="1" t="s">
        <v>121</v>
      </c>
      <c r="BV75" s="1" t="s">
        <v>121</v>
      </c>
      <c r="BW75" s="1" t="s">
        <v>121</v>
      </c>
      <c r="BX75" s="1" t="s">
        <v>121</v>
      </c>
      <c r="BY75" s="1" t="s">
        <v>121</v>
      </c>
      <c r="BZ75" s="1" t="s">
        <v>121</v>
      </c>
      <c r="CA75" s="1" t="s">
        <v>121</v>
      </c>
      <c r="CB75" s="1" t="s">
        <v>121</v>
      </c>
      <c r="CC75" s="1" t="s">
        <v>121</v>
      </c>
      <c r="CD75" s="1" t="s">
        <v>121</v>
      </c>
      <c r="CE75" s="1" t="s">
        <v>121</v>
      </c>
      <c r="CF75" s="1" t="s">
        <v>121</v>
      </c>
      <c r="CG75" s="1" t="s">
        <v>121</v>
      </c>
      <c r="CH75" s="1" t="s">
        <v>121</v>
      </c>
      <c r="CI75" s="1" t="s">
        <v>121</v>
      </c>
      <c r="CJ75" s="1" t="s">
        <v>121</v>
      </c>
      <c r="CK75" s="1" t="s">
        <v>121</v>
      </c>
      <c r="CL75" s="1" t="s">
        <v>121</v>
      </c>
      <c r="CM75" s="1" t="s">
        <v>121</v>
      </c>
      <c r="CN75" s="1" t="s">
        <v>121</v>
      </c>
      <c r="CO75" s="1" t="s">
        <v>121</v>
      </c>
      <c r="CP75" s="1" t="s">
        <v>121</v>
      </c>
      <c r="CQ75" s="1" t="s">
        <v>121</v>
      </c>
      <c r="CR75" s="1" t="s">
        <v>121</v>
      </c>
      <c r="CS75" s="1" t="s">
        <v>121</v>
      </c>
      <c r="CT75" s="1" t="s">
        <v>121</v>
      </c>
      <c r="CU75" s="1" t="s">
        <v>121</v>
      </c>
      <c r="CV75" s="1" t="s">
        <v>121</v>
      </c>
      <c r="CW75" s="1" t="s">
        <v>121</v>
      </c>
      <c r="CX75" s="1" t="s">
        <v>121</v>
      </c>
      <c r="CY75" s="1" t="s">
        <v>121</v>
      </c>
      <c r="CZ75" s="1" t="s">
        <v>121</v>
      </c>
      <c r="DA75" s="1" t="s">
        <v>121</v>
      </c>
      <c r="DB75" s="1" t="s">
        <v>121</v>
      </c>
      <c r="DC75" s="1" t="s">
        <v>121</v>
      </c>
      <c r="DD75" s="1" t="s">
        <v>121</v>
      </c>
      <c r="DE75" s="1" t="s">
        <v>121</v>
      </c>
      <c r="DF75" s="1" t="s">
        <v>121</v>
      </c>
      <c r="DG75" s="1" t="s">
        <v>121</v>
      </c>
      <c r="DH75" s="1" t="s">
        <v>121</v>
      </c>
      <c r="DI75" s="1" t="s">
        <v>121</v>
      </c>
      <c r="DJ75" s="1" t="s">
        <v>121</v>
      </c>
      <c r="DK75" s="1" t="s">
        <v>121</v>
      </c>
      <c r="DL75" s="1" t="s">
        <v>121</v>
      </c>
      <c r="DM75" s="1" t="s">
        <v>121</v>
      </c>
      <c r="DN75" s="1" t="s">
        <v>121</v>
      </c>
      <c r="DO75" s="1" t="s">
        <v>121</v>
      </c>
      <c r="DP75" s="1" t="s">
        <v>121</v>
      </c>
      <c r="DQ75" s="1" t="s">
        <v>121</v>
      </c>
      <c r="DR75" s="1" t="s">
        <v>121</v>
      </c>
      <c r="DS75" s="1" t="s">
        <v>121</v>
      </c>
      <c r="DT75" s="1" t="s">
        <v>121</v>
      </c>
      <c r="DU75" s="1" t="s">
        <v>121</v>
      </c>
      <c r="DV75" s="1" t="s">
        <v>121</v>
      </c>
      <c r="DW75" s="1" t="s">
        <v>121</v>
      </c>
      <c r="DX75" s="1" t="s">
        <v>121</v>
      </c>
      <c r="DY75" s="1" t="s">
        <v>121</v>
      </c>
      <c r="DZ75" s="1" t="s">
        <v>121</v>
      </c>
      <c r="EA75" s="1" t="s">
        <v>121</v>
      </c>
      <c r="EB75" s="1" t="s">
        <v>121</v>
      </c>
      <c r="EC75" s="1" t="s">
        <v>121</v>
      </c>
      <c r="ED75" s="1" t="s">
        <v>121</v>
      </c>
      <c r="EE75" s="1" t="s">
        <v>121</v>
      </c>
      <c r="EF75" s="1" t="s">
        <v>121</v>
      </c>
      <c r="EG75" s="1" t="s">
        <v>121</v>
      </c>
      <c r="EH75" s="1" t="s">
        <v>121</v>
      </c>
      <c r="EI75" s="1" t="s">
        <v>121</v>
      </c>
      <c r="EJ75" s="1" t="s">
        <v>121</v>
      </c>
      <c r="EK75" s="1" t="s">
        <v>121</v>
      </c>
      <c r="EL75" s="1" t="s">
        <v>121</v>
      </c>
      <c r="EM75" s="1" t="s">
        <v>121</v>
      </c>
      <c r="EN75" s="1" t="s">
        <v>121</v>
      </c>
      <c r="EO75" s="1" t="s">
        <v>121</v>
      </c>
      <c r="EP75" s="1" t="s">
        <v>121</v>
      </c>
    </row>
    <row r="76" spans="1:146" ht="15" customHeight="1" x14ac:dyDescent="0.25">
      <c r="A76" s="307">
        <v>76</v>
      </c>
      <c r="B76" s="426" t="s">
        <v>254</v>
      </c>
      <c r="C76" s="416">
        <v>45930</v>
      </c>
      <c r="D76" s="416">
        <v>45838</v>
      </c>
      <c r="E76" s="416">
        <v>45747</v>
      </c>
      <c r="F76" s="416">
        <v>45657</v>
      </c>
      <c r="G76" s="416">
        <v>45565</v>
      </c>
      <c r="H76" s="416">
        <v>45473</v>
      </c>
      <c r="I76" s="416">
        <v>45382</v>
      </c>
      <c r="J76" s="416">
        <v>45291</v>
      </c>
      <c r="K76" s="416">
        <v>45199</v>
      </c>
      <c r="L76" s="416">
        <v>45107</v>
      </c>
      <c r="M76" s="416">
        <v>45016</v>
      </c>
      <c r="N76" s="416">
        <v>44926</v>
      </c>
      <c r="O76" s="416">
        <v>44834</v>
      </c>
      <c r="P76" s="416">
        <v>44742</v>
      </c>
      <c r="Q76" s="416">
        <v>44651</v>
      </c>
      <c r="R76" s="416">
        <v>44561</v>
      </c>
      <c r="S76" s="416">
        <v>44469</v>
      </c>
      <c r="T76" s="416">
        <v>44377</v>
      </c>
      <c r="U76" s="416">
        <v>44286</v>
      </c>
      <c r="V76" s="416">
        <v>44196</v>
      </c>
      <c r="W76" s="416">
        <v>44104</v>
      </c>
      <c r="X76" s="416">
        <v>44012</v>
      </c>
      <c r="Y76" s="416">
        <v>43921</v>
      </c>
      <c r="Z76" s="416">
        <v>43830</v>
      </c>
      <c r="AA76" s="416">
        <v>43738</v>
      </c>
      <c r="AB76" s="416">
        <v>43646</v>
      </c>
      <c r="AC76" s="416">
        <v>43555</v>
      </c>
      <c r="AD76" s="416">
        <v>43465</v>
      </c>
      <c r="AE76" s="416">
        <v>43373</v>
      </c>
      <c r="AF76" s="416">
        <v>43281</v>
      </c>
      <c r="AG76" s="416">
        <v>43190</v>
      </c>
      <c r="AH76" s="416">
        <v>43100</v>
      </c>
      <c r="AI76" s="416">
        <v>43008</v>
      </c>
      <c r="AJ76" s="416">
        <v>42916</v>
      </c>
      <c r="AK76" s="416">
        <v>42825</v>
      </c>
      <c r="AL76" s="416">
        <v>42735</v>
      </c>
      <c r="AM76" s="416">
        <v>42643</v>
      </c>
      <c r="AN76" s="416">
        <v>42551</v>
      </c>
      <c r="AO76" s="416">
        <v>42460</v>
      </c>
      <c r="AP76" s="416">
        <v>42369</v>
      </c>
      <c r="AQ76" s="416">
        <v>42277</v>
      </c>
      <c r="AR76" s="416">
        <v>42185</v>
      </c>
      <c r="AS76" s="416">
        <v>42094</v>
      </c>
      <c r="AT76" s="416">
        <v>42004</v>
      </c>
      <c r="AU76" s="416">
        <v>41912</v>
      </c>
      <c r="AV76" s="416">
        <v>41820</v>
      </c>
      <c r="AW76" s="416">
        <v>41729</v>
      </c>
      <c r="AX76" s="416">
        <v>41639</v>
      </c>
      <c r="AY76" s="416">
        <v>41547</v>
      </c>
      <c r="AZ76" s="416">
        <v>41455</v>
      </c>
      <c r="BA76" s="416">
        <v>41364</v>
      </c>
      <c r="BB76" s="416">
        <v>41274</v>
      </c>
      <c r="BC76" s="416">
        <v>41182</v>
      </c>
      <c r="BD76" s="416">
        <v>41090</v>
      </c>
      <c r="BE76" s="416">
        <v>40999</v>
      </c>
      <c r="BF76" s="416">
        <v>40908</v>
      </c>
      <c r="BG76" s="416">
        <v>40816</v>
      </c>
      <c r="BH76" s="416">
        <v>40724</v>
      </c>
      <c r="BI76" s="416">
        <v>40633</v>
      </c>
      <c r="BJ76" s="416">
        <v>40543</v>
      </c>
      <c r="BK76" s="416">
        <v>40451</v>
      </c>
      <c r="BL76" s="1">
        <v>40359</v>
      </c>
      <c r="BM76" s="1">
        <v>40268</v>
      </c>
      <c r="BN76" s="1">
        <v>40178</v>
      </c>
      <c r="BO76" s="1" t="s">
        <v>121</v>
      </c>
      <c r="BP76" s="1" t="s">
        <v>121</v>
      </c>
      <c r="BQ76" s="1" t="s">
        <v>121</v>
      </c>
      <c r="BR76" s="1" t="s">
        <v>121</v>
      </c>
      <c r="BS76" s="1" t="s">
        <v>121</v>
      </c>
      <c r="BT76" s="1" t="s">
        <v>121</v>
      </c>
      <c r="BU76" s="1" t="s">
        <v>121</v>
      </c>
      <c r="BV76" s="1" t="s">
        <v>121</v>
      </c>
      <c r="BW76" s="1" t="s">
        <v>121</v>
      </c>
      <c r="BX76" s="1" t="s">
        <v>121</v>
      </c>
      <c r="BY76" s="1" t="s">
        <v>121</v>
      </c>
      <c r="BZ76" s="1" t="s">
        <v>121</v>
      </c>
      <c r="CA76" s="1" t="s">
        <v>121</v>
      </c>
      <c r="CB76" s="1" t="s">
        <v>121</v>
      </c>
      <c r="CC76" s="1" t="s">
        <v>121</v>
      </c>
      <c r="CD76" s="1" t="s">
        <v>121</v>
      </c>
      <c r="CE76" s="1" t="s">
        <v>121</v>
      </c>
      <c r="CF76" s="1" t="s">
        <v>121</v>
      </c>
      <c r="CG76" s="1" t="s">
        <v>121</v>
      </c>
      <c r="CH76" s="1" t="s">
        <v>121</v>
      </c>
      <c r="CI76" s="1" t="s">
        <v>121</v>
      </c>
      <c r="CJ76" s="1" t="s">
        <v>121</v>
      </c>
      <c r="CK76" s="1" t="s">
        <v>121</v>
      </c>
      <c r="CL76" s="1" t="s">
        <v>121</v>
      </c>
      <c r="CM76" s="1" t="s">
        <v>121</v>
      </c>
      <c r="CN76" s="1" t="s">
        <v>121</v>
      </c>
      <c r="CO76" s="1" t="s">
        <v>121</v>
      </c>
      <c r="CP76" s="1" t="s">
        <v>121</v>
      </c>
      <c r="CQ76" s="1" t="s">
        <v>121</v>
      </c>
      <c r="CR76" s="1" t="s">
        <v>121</v>
      </c>
      <c r="CS76" s="1" t="s">
        <v>121</v>
      </c>
      <c r="CT76" s="1" t="s">
        <v>121</v>
      </c>
      <c r="CU76" s="1" t="s">
        <v>121</v>
      </c>
      <c r="CV76" s="1" t="s">
        <v>121</v>
      </c>
      <c r="CW76" s="1" t="s">
        <v>121</v>
      </c>
      <c r="CX76" s="1" t="s">
        <v>121</v>
      </c>
      <c r="CY76" s="1" t="s">
        <v>121</v>
      </c>
      <c r="CZ76" s="1" t="s">
        <v>121</v>
      </c>
      <c r="DA76" s="1" t="s">
        <v>121</v>
      </c>
      <c r="DB76" s="1" t="s">
        <v>121</v>
      </c>
      <c r="DC76" s="1" t="s">
        <v>121</v>
      </c>
      <c r="DD76" s="1" t="s">
        <v>121</v>
      </c>
      <c r="DE76" s="1" t="s">
        <v>121</v>
      </c>
      <c r="DF76" s="1" t="s">
        <v>121</v>
      </c>
      <c r="DG76" s="1" t="s">
        <v>121</v>
      </c>
      <c r="DH76" s="1" t="s">
        <v>121</v>
      </c>
      <c r="DI76" s="1" t="s">
        <v>121</v>
      </c>
      <c r="DJ76" s="1" t="s">
        <v>121</v>
      </c>
      <c r="DK76" s="1" t="s">
        <v>121</v>
      </c>
      <c r="DL76" s="1" t="s">
        <v>121</v>
      </c>
      <c r="DM76" s="1" t="s">
        <v>121</v>
      </c>
      <c r="DN76" s="1" t="s">
        <v>121</v>
      </c>
      <c r="DO76" s="1" t="s">
        <v>121</v>
      </c>
      <c r="DP76" s="1" t="s">
        <v>121</v>
      </c>
      <c r="DQ76" s="1" t="s">
        <v>121</v>
      </c>
      <c r="DR76" s="1" t="s">
        <v>121</v>
      </c>
      <c r="DS76" s="1" t="s">
        <v>121</v>
      </c>
      <c r="DT76" s="1" t="s">
        <v>121</v>
      </c>
      <c r="DU76" s="1" t="s">
        <v>121</v>
      </c>
      <c r="DV76" s="1" t="s">
        <v>121</v>
      </c>
      <c r="DW76" s="1" t="s">
        <v>121</v>
      </c>
      <c r="DX76" s="1" t="s">
        <v>121</v>
      </c>
      <c r="DY76" s="1" t="s">
        <v>121</v>
      </c>
      <c r="DZ76" s="1" t="s">
        <v>121</v>
      </c>
      <c r="EA76" s="1" t="s">
        <v>121</v>
      </c>
      <c r="EB76" s="1" t="s">
        <v>121</v>
      </c>
      <c r="EC76" s="1" t="s">
        <v>121</v>
      </c>
      <c r="ED76" s="1" t="s">
        <v>121</v>
      </c>
      <c r="EE76" s="1" t="s">
        <v>121</v>
      </c>
      <c r="EF76" s="1" t="s">
        <v>121</v>
      </c>
      <c r="EG76" s="1" t="s">
        <v>121</v>
      </c>
      <c r="EH76" s="1" t="s">
        <v>121</v>
      </c>
      <c r="EI76" s="1" t="s">
        <v>121</v>
      </c>
      <c r="EJ76" s="1" t="s">
        <v>121</v>
      </c>
      <c r="EK76" s="1" t="s">
        <v>121</v>
      </c>
      <c r="EL76" s="1" t="s">
        <v>121</v>
      </c>
      <c r="EM76" s="1" t="s">
        <v>121</v>
      </c>
      <c r="EN76" s="1" t="s">
        <v>121</v>
      </c>
      <c r="EO76" s="1" t="s">
        <v>121</v>
      </c>
      <c r="EP76" s="1" t="s">
        <v>121</v>
      </c>
    </row>
    <row r="77" spans="1:146" ht="15" customHeight="1" x14ac:dyDescent="0.25">
      <c r="A77" s="72">
        <v>77</v>
      </c>
      <c r="B77" s="427"/>
      <c r="C77" s="417"/>
      <c r="D77" s="417"/>
      <c r="E77" s="417"/>
      <c r="F77" s="417"/>
      <c r="G77" s="417"/>
      <c r="H77" s="417"/>
      <c r="I77" s="417"/>
      <c r="J77" s="418"/>
      <c r="K77" s="418"/>
      <c r="L77" s="418"/>
      <c r="M77" s="417"/>
      <c r="N77" s="417"/>
      <c r="O77" s="418"/>
      <c r="P77" s="418"/>
      <c r="Q77" s="418"/>
      <c r="R77" s="418"/>
      <c r="S77" s="418"/>
      <c r="T77" s="418"/>
      <c r="U77" s="418"/>
      <c r="V77" s="418"/>
      <c r="W77" s="418"/>
      <c r="X77" s="418"/>
      <c r="Y77" s="418"/>
      <c r="Z77" s="418"/>
      <c r="AA77" s="418"/>
      <c r="AB77" s="418"/>
      <c r="AC77" s="418"/>
      <c r="AD77" s="418"/>
      <c r="AE77" s="418"/>
      <c r="AF77" s="418"/>
      <c r="AG77" s="418"/>
      <c r="AH77" s="418"/>
      <c r="AI77" s="418"/>
      <c r="AJ77" s="418"/>
      <c r="AK77" s="418"/>
      <c r="AL77" s="418"/>
      <c r="AM77" s="418"/>
      <c r="AN77" s="418"/>
      <c r="AO77" s="418"/>
      <c r="AP77" s="418"/>
      <c r="AQ77" s="418"/>
      <c r="AR77" s="418"/>
      <c r="AS77" s="418"/>
      <c r="AT77" s="418"/>
      <c r="AU77" s="418"/>
      <c r="AV77" s="418"/>
      <c r="AW77" s="418"/>
      <c r="AX77" s="418"/>
      <c r="AY77" s="418"/>
      <c r="AZ77" s="418"/>
      <c r="BA77" s="418"/>
      <c r="BB77" s="418"/>
      <c r="BC77" s="418"/>
      <c r="BD77" s="418"/>
      <c r="BE77" s="418"/>
      <c r="BF77" s="418"/>
      <c r="BG77" s="418"/>
      <c r="BH77" s="418"/>
      <c r="BI77" s="418"/>
      <c r="BJ77" s="418"/>
      <c r="BK77" s="418"/>
    </row>
    <row r="78" spans="1:146" ht="9.75" customHeight="1" x14ac:dyDescent="0.25">
      <c r="A78" s="72">
        <v>78</v>
      </c>
      <c r="B78" s="8" t="s">
        <v>121</v>
      </c>
      <c r="C78" s="8" t="s">
        <v>121</v>
      </c>
      <c r="D78" s="1" t="s">
        <v>121</v>
      </c>
      <c r="E78" s="1" t="s">
        <v>121</v>
      </c>
      <c r="F78" s="1" t="s">
        <v>121</v>
      </c>
      <c r="G78" s="1" t="s">
        <v>121</v>
      </c>
      <c r="H78" s="1" t="s">
        <v>121</v>
      </c>
      <c r="I78" s="1" t="s">
        <v>121</v>
      </c>
      <c r="J78" s="8" t="s">
        <v>121</v>
      </c>
      <c r="K78" s="1" t="s">
        <v>121</v>
      </c>
      <c r="L78" s="1" t="s">
        <v>121</v>
      </c>
      <c r="M78" s="1" t="s">
        <v>121</v>
      </c>
      <c r="N78" s="1" t="s">
        <v>121</v>
      </c>
      <c r="O78" s="1" t="s">
        <v>121</v>
      </c>
      <c r="P78" s="1" t="s">
        <v>121</v>
      </c>
      <c r="Q78" s="1" t="s">
        <v>121</v>
      </c>
      <c r="R78" s="1" t="s">
        <v>121</v>
      </c>
      <c r="S78" s="1" t="s">
        <v>121</v>
      </c>
      <c r="T78" s="1" t="s">
        <v>121</v>
      </c>
      <c r="U78" s="1" t="s">
        <v>121</v>
      </c>
      <c r="V78" s="1" t="s">
        <v>121</v>
      </c>
      <c r="W78" s="8" t="s">
        <v>121</v>
      </c>
      <c r="X78" s="8" t="s">
        <v>121</v>
      </c>
      <c r="Y78" s="8" t="s">
        <v>121</v>
      </c>
      <c r="Z78" s="8" t="s">
        <v>121</v>
      </c>
      <c r="AA78" s="8" t="s">
        <v>121</v>
      </c>
      <c r="AB78" s="8" t="s">
        <v>121</v>
      </c>
      <c r="AC78" s="8" t="s">
        <v>121</v>
      </c>
      <c r="AD78" s="8" t="s">
        <v>121</v>
      </c>
      <c r="AE78" s="8" t="s">
        <v>121</v>
      </c>
      <c r="AF78" s="8" t="s">
        <v>121</v>
      </c>
      <c r="AG78" s="8" t="s">
        <v>121</v>
      </c>
      <c r="AH78" s="8" t="s">
        <v>121</v>
      </c>
      <c r="AI78" s="8" t="s">
        <v>121</v>
      </c>
      <c r="AJ78" s="8" t="s">
        <v>121</v>
      </c>
      <c r="AK78" s="8" t="s">
        <v>121</v>
      </c>
      <c r="AL78" s="8" t="s">
        <v>121</v>
      </c>
      <c r="AM78" s="8" t="s">
        <v>121</v>
      </c>
      <c r="AN78" s="8" t="s">
        <v>121</v>
      </c>
      <c r="AO78" s="8" t="s">
        <v>121</v>
      </c>
      <c r="AP78" s="8" t="s">
        <v>121</v>
      </c>
      <c r="AQ78" s="8" t="s">
        <v>121</v>
      </c>
      <c r="AR78" s="8" t="s">
        <v>121</v>
      </c>
      <c r="AS78" s="8" t="s">
        <v>121</v>
      </c>
      <c r="AT78" s="8" t="s">
        <v>121</v>
      </c>
      <c r="AU78" s="8" t="s">
        <v>121</v>
      </c>
      <c r="AV78" s="8" t="s">
        <v>121</v>
      </c>
      <c r="AW78" s="8" t="s">
        <v>121</v>
      </c>
      <c r="AX78" s="1" t="s">
        <v>121</v>
      </c>
      <c r="AY78" s="1" t="s">
        <v>121</v>
      </c>
      <c r="AZ78" s="1" t="s">
        <v>121</v>
      </c>
      <c r="BA78" s="1" t="s">
        <v>121</v>
      </c>
      <c r="BB78" s="1" t="s">
        <v>121</v>
      </c>
      <c r="BC78" s="1" t="s">
        <v>121</v>
      </c>
      <c r="BD78" s="1" t="s">
        <v>121</v>
      </c>
      <c r="BE78" s="1" t="s">
        <v>121</v>
      </c>
      <c r="BF78" s="1" t="s">
        <v>121</v>
      </c>
      <c r="BG78" s="1" t="s">
        <v>121</v>
      </c>
      <c r="BH78" s="1" t="s">
        <v>121</v>
      </c>
      <c r="BI78" s="1" t="s">
        <v>121</v>
      </c>
      <c r="BJ78" s="1" t="s">
        <v>121</v>
      </c>
      <c r="BK78" s="1" t="s">
        <v>121</v>
      </c>
      <c r="BL78" s="1" t="s">
        <v>121</v>
      </c>
      <c r="BM78" s="1" t="s">
        <v>121</v>
      </c>
      <c r="BN78" s="1" t="s">
        <v>121</v>
      </c>
      <c r="BO78" s="1" t="s">
        <v>121</v>
      </c>
      <c r="BP78" s="1" t="s">
        <v>121</v>
      </c>
      <c r="BQ78" s="1" t="s">
        <v>121</v>
      </c>
      <c r="BR78" s="1" t="s">
        <v>121</v>
      </c>
      <c r="BS78" s="1" t="s">
        <v>121</v>
      </c>
      <c r="BT78" s="1" t="s">
        <v>121</v>
      </c>
      <c r="BU78" s="1" t="s">
        <v>121</v>
      </c>
      <c r="BV78" s="1" t="s">
        <v>121</v>
      </c>
      <c r="BW78" s="1" t="s">
        <v>121</v>
      </c>
      <c r="BX78" s="1" t="s">
        <v>121</v>
      </c>
      <c r="BY78" s="1" t="s">
        <v>121</v>
      </c>
      <c r="BZ78" s="1" t="s">
        <v>121</v>
      </c>
      <c r="CA78" s="1" t="s">
        <v>121</v>
      </c>
      <c r="CB78" s="1" t="s">
        <v>121</v>
      </c>
      <c r="CC78" s="1" t="s">
        <v>121</v>
      </c>
      <c r="CD78" s="1" t="s">
        <v>121</v>
      </c>
      <c r="CE78" s="1" t="s">
        <v>121</v>
      </c>
      <c r="CF78" s="1" t="s">
        <v>121</v>
      </c>
      <c r="CG78" s="1" t="s">
        <v>121</v>
      </c>
      <c r="CH78" s="1" t="s">
        <v>121</v>
      </c>
      <c r="CI78" s="1" t="s">
        <v>121</v>
      </c>
      <c r="CJ78" s="1" t="s">
        <v>121</v>
      </c>
      <c r="CK78" s="1" t="s">
        <v>121</v>
      </c>
      <c r="CL78" s="1" t="s">
        <v>121</v>
      </c>
      <c r="CM78" s="1" t="s">
        <v>121</v>
      </c>
      <c r="CN78" s="1" t="s">
        <v>121</v>
      </c>
      <c r="CO78" s="1" t="s">
        <v>121</v>
      </c>
      <c r="CP78" s="1" t="s">
        <v>121</v>
      </c>
      <c r="CQ78" s="1" t="s">
        <v>121</v>
      </c>
      <c r="CR78" s="1" t="s">
        <v>121</v>
      </c>
      <c r="CS78" s="1" t="s">
        <v>121</v>
      </c>
      <c r="CT78" s="1" t="s">
        <v>121</v>
      </c>
      <c r="CU78" s="1" t="s">
        <v>121</v>
      </c>
      <c r="CV78" s="1" t="s">
        <v>121</v>
      </c>
      <c r="CW78" s="1" t="s">
        <v>121</v>
      </c>
      <c r="CX78" s="1" t="s">
        <v>121</v>
      </c>
      <c r="CY78" s="1" t="s">
        <v>121</v>
      </c>
      <c r="CZ78" s="1" t="s">
        <v>121</v>
      </c>
      <c r="DA78" s="1" t="s">
        <v>121</v>
      </c>
      <c r="DB78" s="1" t="s">
        <v>121</v>
      </c>
      <c r="DC78" s="1" t="s">
        <v>121</v>
      </c>
      <c r="DD78" s="1" t="s">
        <v>121</v>
      </c>
      <c r="DE78" s="1" t="s">
        <v>121</v>
      </c>
      <c r="DF78" s="1" t="s">
        <v>121</v>
      </c>
      <c r="DG78" s="1" t="s">
        <v>121</v>
      </c>
      <c r="DH78" s="1" t="s">
        <v>121</v>
      </c>
      <c r="DI78" s="1" t="s">
        <v>121</v>
      </c>
      <c r="DJ78" s="1" t="s">
        <v>121</v>
      </c>
      <c r="DK78" s="1" t="s">
        <v>121</v>
      </c>
      <c r="DL78" s="1" t="s">
        <v>121</v>
      </c>
      <c r="DM78" s="1" t="s">
        <v>121</v>
      </c>
      <c r="DN78" s="1" t="s">
        <v>121</v>
      </c>
      <c r="DO78" s="1" t="s">
        <v>121</v>
      </c>
      <c r="DP78" s="1" t="s">
        <v>121</v>
      </c>
      <c r="DQ78" s="1" t="s">
        <v>121</v>
      </c>
      <c r="DR78" s="1" t="s">
        <v>121</v>
      </c>
      <c r="DS78" s="1" t="s">
        <v>121</v>
      </c>
      <c r="DT78" s="1" t="s">
        <v>121</v>
      </c>
      <c r="DU78" s="1" t="s">
        <v>121</v>
      </c>
      <c r="DV78" s="1" t="s">
        <v>121</v>
      </c>
      <c r="DW78" s="1" t="s">
        <v>121</v>
      </c>
      <c r="DX78" s="1" t="s">
        <v>121</v>
      </c>
      <c r="DY78" s="1" t="s">
        <v>121</v>
      </c>
      <c r="DZ78" s="1" t="s">
        <v>121</v>
      </c>
      <c r="EA78" s="1" t="s">
        <v>121</v>
      </c>
      <c r="EB78" s="1" t="s">
        <v>121</v>
      </c>
      <c r="EC78" s="1" t="s">
        <v>121</v>
      </c>
      <c r="ED78" s="1" t="s">
        <v>121</v>
      </c>
      <c r="EE78" s="1" t="s">
        <v>121</v>
      </c>
      <c r="EF78" s="1" t="s">
        <v>121</v>
      </c>
      <c r="EG78" s="1" t="s">
        <v>121</v>
      </c>
      <c r="EH78" s="1" t="s">
        <v>121</v>
      </c>
      <c r="EI78" s="1" t="s">
        <v>121</v>
      </c>
      <c r="EJ78" s="1" t="s">
        <v>121</v>
      </c>
      <c r="EK78" s="1" t="s">
        <v>121</v>
      </c>
      <c r="EL78" s="1" t="s">
        <v>121</v>
      </c>
      <c r="EM78" s="1" t="s">
        <v>121</v>
      </c>
      <c r="EN78" s="1" t="s">
        <v>121</v>
      </c>
      <c r="EO78" s="1" t="s">
        <v>121</v>
      </c>
      <c r="EP78" s="1" t="s">
        <v>121</v>
      </c>
    </row>
    <row r="79" spans="1:146" ht="15" customHeight="1" x14ac:dyDescent="0.25">
      <c r="A79" s="307">
        <v>79</v>
      </c>
      <c r="B79" s="12" t="s">
        <v>255</v>
      </c>
      <c r="C79" s="12" t="s">
        <v>121</v>
      </c>
      <c r="D79" s="1" t="s">
        <v>121</v>
      </c>
      <c r="E79" s="1" t="s">
        <v>121</v>
      </c>
      <c r="F79" s="1" t="s">
        <v>121</v>
      </c>
      <c r="G79" s="1" t="s">
        <v>121</v>
      </c>
      <c r="H79" s="1" t="s">
        <v>121</v>
      </c>
      <c r="I79" s="1" t="s">
        <v>121</v>
      </c>
      <c r="J79" s="12" t="s">
        <v>121</v>
      </c>
      <c r="K79" s="1" t="s">
        <v>121</v>
      </c>
      <c r="L79" s="1" t="s">
        <v>121</v>
      </c>
      <c r="M79" s="1" t="s">
        <v>121</v>
      </c>
      <c r="N79" s="1" t="s">
        <v>121</v>
      </c>
      <c r="O79" s="1" t="s">
        <v>121</v>
      </c>
      <c r="P79" s="1" t="s">
        <v>121</v>
      </c>
      <c r="Q79" s="1" t="s">
        <v>121</v>
      </c>
      <c r="R79" s="1" t="s">
        <v>121</v>
      </c>
      <c r="S79" s="1" t="s">
        <v>121</v>
      </c>
      <c r="T79" s="1" t="s">
        <v>121</v>
      </c>
      <c r="U79" s="1" t="s">
        <v>121</v>
      </c>
      <c r="V79" s="1" t="s">
        <v>121</v>
      </c>
      <c r="W79" s="12" t="s">
        <v>121</v>
      </c>
      <c r="X79" s="12" t="s">
        <v>121</v>
      </c>
      <c r="Y79" s="12" t="s">
        <v>121</v>
      </c>
      <c r="Z79" s="12" t="s">
        <v>121</v>
      </c>
      <c r="AA79" s="12" t="s">
        <v>121</v>
      </c>
      <c r="AB79" s="12" t="s">
        <v>121</v>
      </c>
      <c r="AC79" s="12" t="s">
        <v>121</v>
      </c>
      <c r="AD79" s="12" t="s">
        <v>121</v>
      </c>
      <c r="AE79" s="12" t="s">
        <v>121</v>
      </c>
      <c r="AF79" s="12" t="s">
        <v>121</v>
      </c>
      <c r="AG79" s="12" t="s">
        <v>121</v>
      </c>
      <c r="AH79" s="12" t="s">
        <v>121</v>
      </c>
      <c r="AI79" s="12" t="s">
        <v>121</v>
      </c>
      <c r="AJ79" s="12" t="s">
        <v>121</v>
      </c>
      <c r="AK79" s="12" t="s">
        <v>121</v>
      </c>
      <c r="AL79" s="12" t="s">
        <v>121</v>
      </c>
      <c r="AM79" s="12" t="s">
        <v>121</v>
      </c>
      <c r="AN79" s="12" t="s">
        <v>121</v>
      </c>
      <c r="AO79" s="12" t="s">
        <v>121</v>
      </c>
      <c r="AP79" s="12" t="s">
        <v>121</v>
      </c>
      <c r="AQ79" s="12" t="s">
        <v>121</v>
      </c>
      <c r="AR79" s="12" t="s">
        <v>121</v>
      </c>
      <c r="AS79" s="12" t="s">
        <v>121</v>
      </c>
      <c r="AT79" s="12" t="s">
        <v>121</v>
      </c>
      <c r="AU79" s="12" t="s">
        <v>121</v>
      </c>
      <c r="AV79" s="12" t="s">
        <v>121</v>
      </c>
      <c r="AW79" s="12" t="s">
        <v>121</v>
      </c>
      <c r="AX79" s="1" t="s">
        <v>121</v>
      </c>
      <c r="AY79" s="1" t="s">
        <v>121</v>
      </c>
      <c r="AZ79" s="1" t="s">
        <v>121</v>
      </c>
      <c r="BA79" s="1" t="s">
        <v>121</v>
      </c>
      <c r="BB79" s="1" t="s">
        <v>121</v>
      </c>
      <c r="BC79" s="1" t="s">
        <v>121</v>
      </c>
      <c r="BD79" s="1" t="s">
        <v>121</v>
      </c>
      <c r="BE79" s="1" t="s">
        <v>121</v>
      </c>
      <c r="BF79" s="1" t="s">
        <v>121</v>
      </c>
      <c r="BG79" s="1" t="s">
        <v>121</v>
      </c>
      <c r="BH79" s="1" t="s">
        <v>121</v>
      </c>
      <c r="BI79" s="1" t="s">
        <v>121</v>
      </c>
      <c r="BJ79" s="1" t="s">
        <v>121</v>
      </c>
      <c r="BK79" s="1" t="s">
        <v>121</v>
      </c>
      <c r="BL79" s="1" t="s">
        <v>121</v>
      </c>
      <c r="BM79" s="1" t="s">
        <v>121</v>
      </c>
      <c r="BN79" s="1" t="s">
        <v>121</v>
      </c>
      <c r="BO79" s="1" t="s">
        <v>121</v>
      </c>
      <c r="BP79" s="1" t="s">
        <v>121</v>
      </c>
      <c r="BQ79" s="1" t="s">
        <v>121</v>
      </c>
      <c r="BR79" s="1" t="s">
        <v>121</v>
      </c>
      <c r="BS79" s="1" t="s">
        <v>121</v>
      </c>
      <c r="BT79" s="1" t="s">
        <v>121</v>
      </c>
      <c r="BU79" s="1" t="s">
        <v>121</v>
      </c>
      <c r="BV79" s="1" t="s">
        <v>121</v>
      </c>
      <c r="BW79" s="1" t="s">
        <v>121</v>
      </c>
      <c r="BX79" s="1" t="s">
        <v>121</v>
      </c>
      <c r="BY79" s="1" t="s">
        <v>121</v>
      </c>
      <c r="BZ79" s="1" t="s">
        <v>121</v>
      </c>
      <c r="CA79" s="1" t="s">
        <v>121</v>
      </c>
      <c r="CB79" s="1" t="s">
        <v>121</v>
      </c>
      <c r="CC79" s="1" t="s">
        <v>121</v>
      </c>
      <c r="CD79" s="1" t="s">
        <v>121</v>
      </c>
      <c r="CE79" s="1" t="s">
        <v>121</v>
      </c>
      <c r="CF79" s="1" t="s">
        <v>121</v>
      </c>
      <c r="CG79" s="1" t="s">
        <v>121</v>
      </c>
      <c r="CH79" s="1" t="s">
        <v>121</v>
      </c>
      <c r="CI79" s="1" t="s">
        <v>121</v>
      </c>
      <c r="CJ79" s="1" t="s">
        <v>121</v>
      </c>
      <c r="CK79" s="1" t="s">
        <v>121</v>
      </c>
      <c r="CL79" s="1" t="s">
        <v>121</v>
      </c>
      <c r="CM79" s="1" t="s">
        <v>121</v>
      </c>
      <c r="CN79" s="1" t="s">
        <v>121</v>
      </c>
      <c r="CO79" s="1" t="s">
        <v>121</v>
      </c>
      <c r="CP79" s="1" t="s">
        <v>121</v>
      </c>
      <c r="CQ79" s="1" t="s">
        <v>121</v>
      </c>
      <c r="CR79" s="1" t="s">
        <v>121</v>
      </c>
      <c r="CS79" s="1" t="s">
        <v>121</v>
      </c>
      <c r="CT79" s="1" t="s">
        <v>121</v>
      </c>
      <c r="CU79" s="1" t="s">
        <v>121</v>
      </c>
      <c r="CV79" s="1" t="s">
        <v>121</v>
      </c>
      <c r="CW79" s="1" t="s">
        <v>121</v>
      </c>
      <c r="CX79" s="1" t="s">
        <v>121</v>
      </c>
      <c r="CY79" s="1" t="s">
        <v>121</v>
      </c>
      <c r="CZ79" s="1" t="s">
        <v>121</v>
      </c>
      <c r="DA79" s="1" t="s">
        <v>121</v>
      </c>
      <c r="DB79" s="1" t="s">
        <v>121</v>
      </c>
      <c r="DC79" s="1" t="s">
        <v>121</v>
      </c>
      <c r="DD79" s="1" t="s">
        <v>121</v>
      </c>
      <c r="DE79" s="1" t="s">
        <v>121</v>
      </c>
      <c r="DF79" s="1" t="s">
        <v>121</v>
      </c>
      <c r="DG79" s="1" t="s">
        <v>121</v>
      </c>
      <c r="DH79" s="1" t="s">
        <v>121</v>
      </c>
      <c r="DI79" s="1" t="s">
        <v>121</v>
      </c>
      <c r="DJ79" s="1" t="s">
        <v>121</v>
      </c>
      <c r="DK79" s="1" t="s">
        <v>121</v>
      </c>
      <c r="DL79" s="1" t="s">
        <v>121</v>
      </c>
      <c r="DM79" s="1" t="s">
        <v>121</v>
      </c>
      <c r="DN79" s="1" t="s">
        <v>121</v>
      </c>
      <c r="DO79" s="1" t="s">
        <v>121</v>
      </c>
      <c r="DP79" s="1" t="s">
        <v>121</v>
      </c>
      <c r="DQ79" s="1" t="s">
        <v>121</v>
      </c>
      <c r="DR79" s="1" t="s">
        <v>121</v>
      </c>
      <c r="DS79" s="1" t="s">
        <v>121</v>
      </c>
      <c r="DT79" s="1" t="s">
        <v>121</v>
      </c>
      <c r="DU79" s="1" t="s">
        <v>121</v>
      </c>
      <c r="DV79" s="1" t="s">
        <v>121</v>
      </c>
      <c r="DW79" s="1" t="s">
        <v>121</v>
      </c>
      <c r="DX79" s="1" t="s">
        <v>121</v>
      </c>
      <c r="DY79" s="1" t="s">
        <v>121</v>
      </c>
      <c r="DZ79" s="1" t="s">
        <v>121</v>
      </c>
      <c r="EA79" s="1" t="s">
        <v>121</v>
      </c>
      <c r="EB79" s="1" t="s">
        <v>121</v>
      </c>
      <c r="EC79" s="1" t="s">
        <v>121</v>
      </c>
      <c r="ED79" s="1" t="s">
        <v>121</v>
      </c>
      <c r="EE79" s="1" t="s">
        <v>121</v>
      </c>
      <c r="EF79" s="1" t="s">
        <v>121</v>
      </c>
      <c r="EG79" s="1" t="s">
        <v>121</v>
      </c>
      <c r="EH79" s="1" t="s">
        <v>121</v>
      </c>
      <c r="EI79" s="1" t="s">
        <v>121</v>
      </c>
      <c r="EJ79" s="1" t="s">
        <v>121</v>
      </c>
      <c r="EK79" s="1" t="s">
        <v>121</v>
      </c>
      <c r="EL79" s="1" t="s">
        <v>121</v>
      </c>
      <c r="EM79" s="1" t="s">
        <v>121</v>
      </c>
      <c r="EN79" s="1" t="s">
        <v>121</v>
      </c>
      <c r="EO79" s="1" t="s">
        <v>121</v>
      </c>
      <c r="EP79" s="1" t="s">
        <v>121</v>
      </c>
    </row>
    <row r="80" spans="1:146" ht="15" customHeight="1" x14ac:dyDescent="0.25">
      <c r="A80" s="72">
        <v>80</v>
      </c>
      <c r="B80" s="48" t="s">
        <v>256</v>
      </c>
      <c r="C80" s="323">
        <v>2414</v>
      </c>
      <c r="D80" s="323">
        <v>2352</v>
      </c>
      <c r="E80" s="323">
        <v>2323</v>
      </c>
      <c r="F80" s="323">
        <v>2297</v>
      </c>
      <c r="G80" s="323">
        <v>2279</v>
      </c>
      <c r="H80" s="323">
        <v>2231</v>
      </c>
      <c r="I80" s="323">
        <v>2216</v>
      </c>
      <c r="J80" s="323">
        <v>2219</v>
      </c>
      <c r="K80" s="313">
        <v>2196</v>
      </c>
      <c r="L80" s="313">
        <v>2152</v>
      </c>
      <c r="M80" s="313">
        <v>2139</v>
      </c>
      <c r="N80" s="313">
        <v>2127</v>
      </c>
      <c r="O80" s="335"/>
      <c r="P80" s="335"/>
      <c r="Q80" s="335"/>
      <c r="R80" s="77">
        <v>1982</v>
      </c>
      <c r="S80" s="77">
        <v>2001</v>
      </c>
      <c r="T80" s="77">
        <v>2057</v>
      </c>
      <c r="U80" s="77">
        <v>2097</v>
      </c>
      <c r="V80" s="77">
        <v>2077</v>
      </c>
      <c r="W80" s="77">
        <v>2042</v>
      </c>
      <c r="X80" s="77">
        <v>2038</v>
      </c>
      <c r="Y80" s="77">
        <v>2154</v>
      </c>
      <c r="Z80" s="77">
        <v>2232</v>
      </c>
      <c r="AA80" s="77">
        <v>2215</v>
      </c>
      <c r="AB80" s="77">
        <v>2150</v>
      </c>
      <c r="AC80" s="77">
        <v>2120</v>
      </c>
      <c r="AD80" s="77">
        <v>2090</v>
      </c>
      <c r="AE80" s="77">
        <v>2050</v>
      </c>
      <c r="AF80" s="77">
        <v>1998</v>
      </c>
      <c r="AG80" s="77">
        <v>1965</v>
      </c>
      <c r="AH80" s="77">
        <v>1930</v>
      </c>
      <c r="AI80" s="77">
        <v>1890</v>
      </c>
      <c r="AJ80" s="77">
        <v>1830</v>
      </c>
      <c r="AK80" s="77">
        <v>1800</v>
      </c>
      <c r="AL80" s="77">
        <v>1770</v>
      </c>
      <c r="AM80" s="77">
        <v>1730</v>
      </c>
      <c r="AN80" s="77">
        <v>1670</v>
      </c>
      <c r="AO80" s="77">
        <v>1635</v>
      </c>
      <c r="AP80" s="77">
        <v>1600</v>
      </c>
      <c r="AQ80" s="77">
        <v>1600</v>
      </c>
      <c r="AR80" s="77">
        <v>1500</v>
      </c>
      <c r="AS80" s="77">
        <v>1460</v>
      </c>
      <c r="AT80" s="77">
        <v>1400</v>
      </c>
      <c r="AU80" s="77">
        <v>1400</v>
      </c>
      <c r="AV80" s="55">
        <v>1400</v>
      </c>
      <c r="AW80" s="55">
        <v>1400</v>
      </c>
      <c r="AX80" s="55">
        <v>1361</v>
      </c>
      <c r="AY80" s="77">
        <v>1323</v>
      </c>
      <c r="AZ80" s="77">
        <v>1289</v>
      </c>
      <c r="BA80" s="77">
        <v>1259</v>
      </c>
      <c r="BB80" s="77">
        <v>1238</v>
      </c>
      <c r="BC80" s="77">
        <v>1205</v>
      </c>
      <c r="BD80" s="77">
        <v>1202</v>
      </c>
      <c r="BE80" s="77">
        <v>1169</v>
      </c>
      <c r="BF80" s="77">
        <v>1140</v>
      </c>
      <c r="BG80" s="77">
        <v>1109</v>
      </c>
      <c r="BH80" s="77">
        <v>1077</v>
      </c>
      <c r="BI80" s="77">
        <v>1050</v>
      </c>
      <c r="BJ80" s="77">
        <v>1024</v>
      </c>
      <c r="BK80" s="77">
        <v>1002</v>
      </c>
      <c r="BL80" s="1">
        <v>973</v>
      </c>
      <c r="BM80" s="1">
        <v>953</v>
      </c>
      <c r="BN80" s="1">
        <v>919</v>
      </c>
      <c r="BO80" s="1" t="s">
        <v>121</v>
      </c>
      <c r="BP80" s="1" t="s">
        <v>121</v>
      </c>
      <c r="BQ80" s="1" t="s">
        <v>121</v>
      </c>
      <c r="BR80" s="1" t="s">
        <v>121</v>
      </c>
      <c r="BS80" s="1" t="s">
        <v>121</v>
      </c>
      <c r="BT80" s="1" t="s">
        <v>121</v>
      </c>
      <c r="BU80" s="1" t="s">
        <v>121</v>
      </c>
      <c r="BV80" s="1" t="s">
        <v>121</v>
      </c>
      <c r="BW80" s="1" t="s">
        <v>121</v>
      </c>
      <c r="BX80" s="1" t="s">
        <v>121</v>
      </c>
      <c r="BY80" s="1" t="s">
        <v>121</v>
      </c>
      <c r="BZ80" s="1" t="s">
        <v>121</v>
      </c>
      <c r="CA80" s="1" t="s">
        <v>121</v>
      </c>
      <c r="CB80" s="1" t="s">
        <v>121</v>
      </c>
      <c r="CC80" s="1" t="s">
        <v>121</v>
      </c>
      <c r="CD80" s="1" t="s">
        <v>121</v>
      </c>
      <c r="CE80" s="1" t="s">
        <v>121</v>
      </c>
      <c r="CF80" s="1" t="s">
        <v>121</v>
      </c>
      <c r="CG80" s="1" t="s">
        <v>121</v>
      </c>
      <c r="CH80" s="1" t="s">
        <v>121</v>
      </c>
      <c r="CI80" s="1" t="s">
        <v>121</v>
      </c>
      <c r="CJ80" s="1" t="s">
        <v>121</v>
      </c>
      <c r="CK80" s="1" t="s">
        <v>121</v>
      </c>
      <c r="CL80" s="1" t="s">
        <v>121</v>
      </c>
      <c r="CM80" s="1" t="s">
        <v>121</v>
      </c>
      <c r="CN80" s="1" t="s">
        <v>121</v>
      </c>
      <c r="CO80" s="1" t="s">
        <v>121</v>
      </c>
      <c r="CP80" s="1" t="s">
        <v>121</v>
      </c>
      <c r="CQ80" s="1" t="s">
        <v>121</v>
      </c>
      <c r="CR80" s="1" t="s">
        <v>121</v>
      </c>
      <c r="CS80" s="1" t="s">
        <v>121</v>
      </c>
      <c r="CT80" s="1" t="s">
        <v>121</v>
      </c>
      <c r="CU80" s="1" t="s">
        <v>121</v>
      </c>
      <c r="CV80" s="1" t="s">
        <v>121</v>
      </c>
      <c r="CW80" s="1" t="s">
        <v>121</v>
      </c>
      <c r="CX80" s="1" t="s">
        <v>121</v>
      </c>
      <c r="CY80" s="1" t="s">
        <v>121</v>
      </c>
      <c r="CZ80" s="1" t="s">
        <v>121</v>
      </c>
      <c r="DA80" s="1" t="s">
        <v>121</v>
      </c>
      <c r="DB80" s="1" t="s">
        <v>121</v>
      </c>
      <c r="DC80" s="1" t="s">
        <v>121</v>
      </c>
      <c r="DD80" s="1" t="s">
        <v>121</v>
      </c>
      <c r="DE80" s="1" t="s">
        <v>121</v>
      </c>
      <c r="DF80" s="1" t="s">
        <v>121</v>
      </c>
      <c r="DG80" s="1" t="s">
        <v>121</v>
      </c>
      <c r="DH80" s="1" t="s">
        <v>121</v>
      </c>
      <c r="DI80" s="1" t="s">
        <v>121</v>
      </c>
      <c r="DJ80" s="1" t="s">
        <v>121</v>
      </c>
      <c r="DK80" s="1" t="s">
        <v>121</v>
      </c>
      <c r="DL80" s="1" t="s">
        <v>121</v>
      </c>
      <c r="DM80" s="1" t="s">
        <v>121</v>
      </c>
      <c r="DN80" s="1" t="s">
        <v>121</v>
      </c>
      <c r="DO80" s="1" t="s">
        <v>121</v>
      </c>
      <c r="DP80" s="1" t="s">
        <v>121</v>
      </c>
      <c r="DQ80" s="1" t="s">
        <v>121</v>
      </c>
      <c r="DR80" s="1" t="s">
        <v>121</v>
      </c>
      <c r="DS80" s="1" t="s">
        <v>121</v>
      </c>
      <c r="DT80" s="1" t="s">
        <v>121</v>
      </c>
      <c r="DU80" s="1" t="s">
        <v>121</v>
      </c>
      <c r="DV80" s="1" t="s">
        <v>121</v>
      </c>
      <c r="DW80" s="1" t="s">
        <v>121</v>
      </c>
      <c r="DX80" s="1" t="s">
        <v>121</v>
      </c>
      <c r="DY80" s="1" t="s">
        <v>121</v>
      </c>
      <c r="DZ80" s="1" t="s">
        <v>121</v>
      </c>
      <c r="EA80" s="1" t="s">
        <v>121</v>
      </c>
      <c r="EB80" s="1" t="s">
        <v>121</v>
      </c>
      <c r="EC80" s="1" t="s">
        <v>121</v>
      </c>
      <c r="ED80" s="1" t="s">
        <v>121</v>
      </c>
      <c r="EE80" s="1" t="s">
        <v>121</v>
      </c>
      <c r="EF80" s="1" t="s">
        <v>121</v>
      </c>
      <c r="EG80" s="1" t="s">
        <v>121</v>
      </c>
      <c r="EH80" s="1" t="s">
        <v>121</v>
      </c>
      <c r="EI80" s="1" t="s">
        <v>121</v>
      </c>
      <c r="EJ80" s="1" t="s">
        <v>121</v>
      </c>
      <c r="EK80" s="1" t="s">
        <v>121</v>
      </c>
      <c r="EL80" s="1" t="s">
        <v>121</v>
      </c>
      <c r="EM80" s="1" t="s">
        <v>121</v>
      </c>
      <c r="EN80" s="1" t="s">
        <v>121</v>
      </c>
      <c r="EO80" s="1" t="s">
        <v>121</v>
      </c>
      <c r="EP80" s="1" t="s">
        <v>121</v>
      </c>
    </row>
    <row r="81" spans="1:146" ht="15" customHeight="1" x14ac:dyDescent="0.25">
      <c r="A81" s="72">
        <v>81</v>
      </c>
      <c r="B81" s="48" t="s">
        <v>257</v>
      </c>
      <c r="C81" s="313">
        <v>61</v>
      </c>
      <c r="D81" s="313">
        <v>61</v>
      </c>
      <c r="E81" s="313">
        <v>61</v>
      </c>
      <c r="F81" s="313">
        <v>61</v>
      </c>
      <c r="G81" s="313">
        <v>61</v>
      </c>
      <c r="H81" s="313">
        <v>60</v>
      </c>
      <c r="I81" s="313">
        <v>60</v>
      </c>
      <c r="J81" s="323">
        <v>60</v>
      </c>
      <c r="K81" s="313">
        <v>60</v>
      </c>
      <c r="L81" s="313">
        <v>60</v>
      </c>
      <c r="M81" s="313">
        <v>60</v>
      </c>
      <c r="N81" s="313">
        <v>60</v>
      </c>
      <c r="O81" s="335"/>
      <c r="P81" s="335"/>
      <c r="Q81" s="335"/>
      <c r="R81" s="77">
        <v>53</v>
      </c>
      <c r="S81" s="77">
        <v>52</v>
      </c>
      <c r="T81" s="77">
        <v>51</v>
      </c>
      <c r="U81" s="77">
        <v>50</v>
      </c>
      <c r="V81" s="77">
        <v>50</v>
      </c>
      <c r="W81" s="77">
        <v>50</v>
      </c>
      <c r="X81" s="77">
        <v>50</v>
      </c>
      <c r="Y81" s="77">
        <v>50</v>
      </c>
      <c r="Z81" s="77">
        <v>50</v>
      </c>
      <c r="AA81" s="77">
        <v>50</v>
      </c>
      <c r="AB81" s="77">
        <v>50</v>
      </c>
      <c r="AC81" s="77">
        <v>50</v>
      </c>
      <c r="AD81" s="77">
        <v>50</v>
      </c>
      <c r="AE81" s="77">
        <v>50</v>
      </c>
      <c r="AF81" s="77">
        <v>50</v>
      </c>
      <c r="AG81" s="77">
        <v>51</v>
      </c>
      <c r="AH81" s="77">
        <v>50</v>
      </c>
      <c r="AI81" s="77">
        <v>51</v>
      </c>
      <c r="AJ81" s="77">
        <v>52</v>
      </c>
      <c r="AK81" s="77">
        <v>52</v>
      </c>
      <c r="AL81" s="77">
        <v>52</v>
      </c>
      <c r="AM81" s="77">
        <v>53</v>
      </c>
      <c r="AN81" s="77">
        <v>53</v>
      </c>
      <c r="AO81" s="77">
        <v>54</v>
      </c>
      <c r="AP81" s="77">
        <v>56</v>
      </c>
      <c r="AQ81" s="77">
        <v>56</v>
      </c>
      <c r="AR81" s="77">
        <v>56</v>
      </c>
      <c r="AS81" s="77">
        <v>56</v>
      </c>
      <c r="AT81" s="77">
        <v>55</v>
      </c>
      <c r="AU81" s="77">
        <v>54</v>
      </c>
      <c r="AV81" s="55">
        <v>54</v>
      </c>
      <c r="AW81" s="55">
        <v>53</v>
      </c>
      <c r="AX81" s="55">
        <v>43</v>
      </c>
      <c r="AY81" s="55">
        <v>42</v>
      </c>
      <c r="AZ81" s="55">
        <v>41</v>
      </c>
      <c r="BA81" s="55">
        <v>40</v>
      </c>
      <c r="BB81" s="55">
        <v>38.9</v>
      </c>
      <c r="BC81" s="55">
        <v>38</v>
      </c>
      <c r="BD81" s="55">
        <v>37</v>
      </c>
      <c r="BE81" s="55">
        <v>36</v>
      </c>
      <c r="BF81" s="55">
        <v>36</v>
      </c>
      <c r="BG81" s="55">
        <v>36</v>
      </c>
      <c r="BH81" s="55">
        <v>35</v>
      </c>
      <c r="BI81" s="55">
        <v>35</v>
      </c>
      <c r="BJ81" s="55">
        <v>35</v>
      </c>
      <c r="BK81" s="55">
        <v>35</v>
      </c>
      <c r="BL81" s="1">
        <v>35</v>
      </c>
      <c r="BM81" s="1">
        <v>35</v>
      </c>
      <c r="BN81" s="1">
        <v>35</v>
      </c>
      <c r="BO81" s="1" t="s">
        <v>121</v>
      </c>
      <c r="BP81" s="1" t="s">
        <v>121</v>
      </c>
      <c r="BQ81" s="1" t="s">
        <v>121</v>
      </c>
      <c r="BR81" s="1" t="s">
        <v>121</v>
      </c>
      <c r="BS81" s="1" t="s">
        <v>121</v>
      </c>
      <c r="BT81" s="1" t="s">
        <v>121</v>
      </c>
      <c r="BU81" s="1" t="s">
        <v>121</v>
      </c>
      <c r="BV81" s="1" t="s">
        <v>121</v>
      </c>
      <c r="BW81" s="1" t="s">
        <v>121</v>
      </c>
      <c r="BX81" s="1" t="s">
        <v>121</v>
      </c>
      <c r="BY81" s="1" t="s">
        <v>121</v>
      </c>
      <c r="BZ81" s="1" t="s">
        <v>121</v>
      </c>
      <c r="CA81" s="1" t="s">
        <v>121</v>
      </c>
      <c r="CB81" s="1" t="s">
        <v>121</v>
      </c>
      <c r="CC81" s="1" t="s">
        <v>121</v>
      </c>
      <c r="CD81" s="1" t="s">
        <v>121</v>
      </c>
      <c r="CE81" s="1" t="s">
        <v>121</v>
      </c>
      <c r="CF81" s="1" t="s">
        <v>121</v>
      </c>
      <c r="CG81" s="1" t="s">
        <v>121</v>
      </c>
      <c r="CH81" s="1" t="s">
        <v>121</v>
      </c>
      <c r="CI81" s="1" t="s">
        <v>121</v>
      </c>
      <c r="CJ81" s="1" t="s">
        <v>121</v>
      </c>
      <c r="CK81" s="1" t="s">
        <v>121</v>
      </c>
      <c r="CL81" s="1" t="s">
        <v>121</v>
      </c>
      <c r="CM81" s="1" t="s">
        <v>121</v>
      </c>
      <c r="CN81" s="1" t="s">
        <v>121</v>
      </c>
      <c r="CO81" s="1" t="s">
        <v>121</v>
      </c>
      <c r="CP81" s="1" t="s">
        <v>121</v>
      </c>
      <c r="CQ81" s="1" t="s">
        <v>121</v>
      </c>
      <c r="CR81" s="1" t="s">
        <v>121</v>
      </c>
      <c r="CS81" s="1" t="s">
        <v>121</v>
      </c>
      <c r="CT81" s="1" t="s">
        <v>121</v>
      </c>
      <c r="CU81" s="1" t="s">
        <v>121</v>
      </c>
      <c r="CV81" s="1" t="s">
        <v>121</v>
      </c>
      <c r="CW81" s="1" t="s">
        <v>121</v>
      </c>
      <c r="CX81" s="1" t="s">
        <v>121</v>
      </c>
      <c r="CY81" s="1" t="s">
        <v>121</v>
      </c>
      <c r="CZ81" s="1" t="s">
        <v>121</v>
      </c>
      <c r="DA81" s="1" t="s">
        <v>121</v>
      </c>
      <c r="DB81" s="1" t="s">
        <v>121</v>
      </c>
      <c r="DC81" s="1" t="s">
        <v>121</v>
      </c>
      <c r="DD81" s="1" t="s">
        <v>121</v>
      </c>
      <c r="DE81" s="1" t="s">
        <v>121</v>
      </c>
      <c r="DF81" s="1" t="s">
        <v>121</v>
      </c>
      <c r="DG81" s="1" t="s">
        <v>121</v>
      </c>
      <c r="DH81" s="1" t="s">
        <v>121</v>
      </c>
      <c r="DI81" s="1" t="s">
        <v>121</v>
      </c>
      <c r="DJ81" s="1" t="s">
        <v>121</v>
      </c>
      <c r="DK81" s="1" t="s">
        <v>121</v>
      </c>
      <c r="DL81" s="1" t="s">
        <v>121</v>
      </c>
      <c r="DM81" s="1" t="s">
        <v>121</v>
      </c>
      <c r="DN81" s="1" t="s">
        <v>121</v>
      </c>
      <c r="DO81" s="1" t="s">
        <v>121</v>
      </c>
      <c r="DP81" s="1" t="s">
        <v>121</v>
      </c>
      <c r="DQ81" s="1" t="s">
        <v>121</v>
      </c>
      <c r="DR81" s="1" t="s">
        <v>121</v>
      </c>
      <c r="DS81" s="1" t="s">
        <v>121</v>
      </c>
      <c r="DT81" s="1" t="s">
        <v>121</v>
      </c>
      <c r="DU81" s="1" t="s">
        <v>121</v>
      </c>
      <c r="DV81" s="1" t="s">
        <v>121</v>
      </c>
      <c r="DW81" s="1" t="s">
        <v>121</v>
      </c>
      <c r="DX81" s="1" t="s">
        <v>121</v>
      </c>
      <c r="DY81" s="1" t="s">
        <v>121</v>
      </c>
      <c r="DZ81" s="1" t="s">
        <v>121</v>
      </c>
      <c r="EA81" s="1" t="s">
        <v>121</v>
      </c>
      <c r="EB81" s="1" t="s">
        <v>121</v>
      </c>
      <c r="EC81" s="1" t="s">
        <v>121</v>
      </c>
      <c r="ED81" s="1" t="s">
        <v>121</v>
      </c>
      <c r="EE81" s="1" t="s">
        <v>121</v>
      </c>
      <c r="EF81" s="1" t="s">
        <v>121</v>
      </c>
      <c r="EG81" s="1" t="s">
        <v>121</v>
      </c>
      <c r="EH81" s="1" t="s">
        <v>121</v>
      </c>
      <c r="EI81" s="1" t="s">
        <v>121</v>
      </c>
      <c r="EJ81" s="1" t="s">
        <v>121</v>
      </c>
      <c r="EK81" s="1" t="s">
        <v>121</v>
      </c>
      <c r="EL81" s="1" t="s">
        <v>121</v>
      </c>
      <c r="EM81" s="1" t="s">
        <v>121</v>
      </c>
      <c r="EN81" s="1" t="s">
        <v>121</v>
      </c>
      <c r="EO81" s="1" t="s">
        <v>121</v>
      </c>
      <c r="EP81" s="1" t="s">
        <v>121</v>
      </c>
    </row>
    <row r="82" spans="1:146" ht="8.25" customHeight="1" x14ac:dyDescent="0.25">
      <c r="A82" s="307">
        <v>82</v>
      </c>
      <c r="B82" s="48" t="s">
        <v>121</v>
      </c>
      <c r="C82" s="284" t="s">
        <v>121</v>
      </c>
      <c r="D82" s="284" t="s">
        <v>121</v>
      </c>
      <c r="E82" s="284" t="s">
        <v>121</v>
      </c>
      <c r="F82" s="284" t="s">
        <v>121</v>
      </c>
      <c r="G82" s="284" t="s">
        <v>121</v>
      </c>
      <c r="H82" s="284" t="s">
        <v>121</v>
      </c>
      <c r="I82" s="284" t="s">
        <v>121</v>
      </c>
      <c r="J82" s="323" t="s">
        <v>121</v>
      </c>
      <c r="K82" s="284" t="s">
        <v>121</v>
      </c>
      <c r="L82" s="284" t="s">
        <v>121</v>
      </c>
      <c r="M82" s="284" t="s">
        <v>121</v>
      </c>
      <c r="N82" s="284" t="s">
        <v>121</v>
      </c>
      <c r="O82" s="335"/>
      <c r="P82" s="335"/>
      <c r="Q82" s="335"/>
      <c r="R82" s="60" t="s">
        <v>121</v>
      </c>
      <c r="S82" s="60" t="s">
        <v>121</v>
      </c>
      <c r="T82" s="60" t="s">
        <v>121</v>
      </c>
      <c r="U82" s="60" t="s">
        <v>121</v>
      </c>
      <c r="V82" s="60" t="s">
        <v>121</v>
      </c>
      <c r="W82" s="60" t="s">
        <v>121</v>
      </c>
      <c r="X82" s="60" t="s">
        <v>121</v>
      </c>
      <c r="Y82" s="60" t="s">
        <v>121</v>
      </c>
      <c r="Z82" s="60" t="s">
        <v>121</v>
      </c>
      <c r="AA82" s="60" t="s">
        <v>121</v>
      </c>
      <c r="AB82" s="60" t="s">
        <v>121</v>
      </c>
      <c r="AC82" s="60" t="s">
        <v>121</v>
      </c>
      <c r="AD82" s="60" t="s">
        <v>121</v>
      </c>
      <c r="AE82" s="60" t="s">
        <v>121</v>
      </c>
      <c r="AF82" s="60" t="s">
        <v>121</v>
      </c>
      <c r="AG82" s="60" t="s">
        <v>121</v>
      </c>
      <c r="AH82" s="60" t="s">
        <v>121</v>
      </c>
      <c r="AI82" s="60" t="s">
        <v>121</v>
      </c>
      <c r="AJ82" s="60" t="s">
        <v>121</v>
      </c>
      <c r="AK82" s="60" t="s">
        <v>121</v>
      </c>
      <c r="AL82" s="60" t="s">
        <v>121</v>
      </c>
      <c r="AM82" s="60" t="s">
        <v>121</v>
      </c>
      <c r="AN82" s="60" t="s">
        <v>121</v>
      </c>
      <c r="AO82" s="60" t="s">
        <v>121</v>
      </c>
      <c r="AP82" s="60" t="s">
        <v>121</v>
      </c>
      <c r="AQ82" s="60" t="s">
        <v>121</v>
      </c>
      <c r="AR82" s="60" t="s">
        <v>121</v>
      </c>
      <c r="AS82" s="60" t="s">
        <v>121</v>
      </c>
      <c r="AT82" s="60" t="s">
        <v>121</v>
      </c>
      <c r="AU82" s="60" t="s">
        <v>121</v>
      </c>
      <c r="AV82" s="1" t="s">
        <v>121</v>
      </c>
      <c r="AW82" s="1" t="s">
        <v>121</v>
      </c>
      <c r="AX82" s="1" t="s">
        <v>121</v>
      </c>
      <c r="AY82" s="1" t="s">
        <v>121</v>
      </c>
      <c r="AZ82" s="1" t="s">
        <v>121</v>
      </c>
      <c r="BA82" s="1" t="s">
        <v>121</v>
      </c>
      <c r="BB82" s="1" t="s">
        <v>121</v>
      </c>
      <c r="BC82" s="1" t="s">
        <v>121</v>
      </c>
      <c r="BD82" s="1" t="s">
        <v>121</v>
      </c>
      <c r="BE82" s="1" t="s">
        <v>121</v>
      </c>
      <c r="BF82" s="1" t="s">
        <v>121</v>
      </c>
      <c r="BG82" s="1" t="s">
        <v>121</v>
      </c>
      <c r="BH82" s="1" t="s">
        <v>121</v>
      </c>
      <c r="BI82" s="1" t="s">
        <v>121</v>
      </c>
      <c r="BJ82" s="1" t="s">
        <v>121</v>
      </c>
      <c r="BK82" s="1" t="s">
        <v>121</v>
      </c>
      <c r="BL82" s="1" t="s">
        <v>121</v>
      </c>
      <c r="BM82" s="1" t="s">
        <v>121</v>
      </c>
      <c r="BN82" s="1" t="s">
        <v>121</v>
      </c>
      <c r="BO82" s="1" t="s">
        <v>121</v>
      </c>
      <c r="BP82" s="1" t="s">
        <v>121</v>
      </c>
      <c r="BQ82" s="1" t="s">
        <v>121</v>
      </c>
      <c r="BR82" s="1" t="s">
        <v>121</v>
      </c>
      <c r="BS82" s="1" t="s">
        <v>121</v>
      </c>
      <c r="BT82" s="1" t="s">
        <v>121</v>
      </c>
      <c r="BU82" s="1" t="s">
        <v>121</v>
      </c>
      <c r="BV82" s="1" t="s">
        <v>121</v>
      </c>
      <c r="BW82" s="1" t="s">
        <v>121</v>
      </c>
      <c r="BX82" s="1" t="s">
        <v>121</v>
      </c>
      <c r="BY82" s="1" t="s">
        <v>121</v>
      </c>
      <c r="BZ82" s="1" t="s">
        <v>121</v>
      </c>
      <c r="CA82" s="1" t="s">
        <v>121</v>
      </c>
      <c r="CB82" s="1" t="s">
        <v>121</v>
      </c>
      <c r="CC82" s="1" t="s">
        <v>121</v>
      </c>
      <c r="CD82" s="1" t="s">
        <v>121</v>
      </c>
      <c r="CE82" s="1" t="s">
        <v>121</v>
      </c>
      <c r="CF82" s="1" t="s">
        <v>121</v>
      </c>
      <c r="CG82" s="1" t="s">
        <v>121</v>
      </c>
      <c r="CH82" s="1" t="s">
        <v>121</v>
      </c>
      <c r="CI82" s="1" t="s">
        <v>121</v>
      </c>
      <c r="CJ82" s="1" t="s">
        <v>121</v>
      </c>
      <c r="CK82" s="1" t="s">
        <v>121</v>
      </c>
      <c r="CL82" s="1" t="s">
        <v>121</v>
      </c>
      <c r="CM82" s="1" t="s">
        <v>121</v>
      </c>
      <c r="CN82" s="1" t="s">
        <v>121</v>
      </c>
      <c r="CO82" s="1" t="s">
        <v>121</v>
      </c>
      <c r="CP82" s="1" t="s">
        <v>121</v>
      </c>
      <c r="CQ82" s="1" t="s">
        <v>121</v>
      </c>
      <c r="CR82" s="1" t="s">
        <v>121</v>
      </c>
      <c r="CS82" s="1" t="s">
        <v>121</v>
      </c>
      <c r="CT82" s="1" t="s">
        <v>121</v>
      </c>
      <c r="CU82" s="1" t="s">
        <v>121</v>
      </c>
      <c r="CV82" s="1" t="s">
        <v>121</v>
      </c>
      <c r="CW82" s="1" t="s">
        <v>121</v>
      </c>
      <c r="CX82" s="1" t="s">
        <v>121</v>
      </c>
      <c r="CY82" s="1" t="s">
        <v>121</v>
      </c>
      <c r="CZ82" s="1" t="s">
        <v>121</v>
      </c>
      <c r="DA82" s="1" t="s">
        <v>121</v>
      </c>
      <c r="DB82" s="1" t="s">
        <v>121</v>
      </c>
      <c r="DC82" s="1" t="s">
        <v>121</v>
      </c>
      <c r="DD82" s="1" t="s">
        <v>121</v>
      </c>
      <c r="DE82" s="1" t="s">
        <v>121</v>
      </c>
      <c r="DF82" s="1" t="s">
        <v>121</v>
      </c>
      <c r="DG82" s="1" t="s">
        <v>121</v>
      </c>
      <c r="DH82" s="1" t="s">
        <v>121</v>
      </c>
      <c r="DI82" s="1" t="s">
        <v>121</v>
      </c>
      <c r="DJ82" s="1" t="s">
        <v>121</v>
      </c>
      <c r="DK82" s="1" t="s">
        <v>121</v>
      </c>
      <c r="DL82" s="1" t="s">
        <v>121</v>
      </c>
      <c r="DM82" s="1" t="s">
        <v>121</v>
      </c>
      <c r="DN82" s="1" t="s">
        <v>121</v>
      </c>
      <c r="DO82" s="1" t="s">
        <v>121</v>
      </c>
      <c r="DP82" s="1" t="s">
        <v>121</v>
      </c>
      <c r="DQ82" s="1" t="s">
        <v>121</v>
      </c>
      <c r="DR82" s="1" t="s">
        <v>121</v>
      </c>
      <c r="DS82" s="1" t="s">
        <v>121</v>
      </c>
      <c r="DT82" s="1" t="s">
        <v>121</v>
      </c>
      <c r="DU82" s="1" t="s">
        <v>121</v>
      </c>
      <c r="DV82" s="1" t="s">
        <v>121</v>
      </c>
      <c r="DW82" s="1" t="s">
        <v>121</v>
      </c>
      <c r="DX82" s="1" t="s">
        <v>121</v>
      </c>
      <c r="DY82" s="1" t="s">
        <v>121</v>
      </c>
      <c r="DZ82" s="1" t="s">
        <v>121</v>
      </c>
      <c r="EA82" s="1" t="s">
        <v>121</v>
      </c>
      <c r="EB82" s="1" t="s">
        <v>121</v>
      </c>
      <c r="EC82" s="1" t="s">
        <v>121</v>
      </c>
      <c r="ED82" s="1" t="s">
        <v>121</v>
      </c>
      <c r="EE82" s="1" t="s">
        <v>121</v>
      </c>
      <c r="EF82" s="1" t="s">
        <v>121</v>
      </c>
      <c r="EG82" s="1" t="s">
        <v>121</v>
      </c>
      <c r="EH82" s="1" t="s">
        <v>121</v>
      </c>
      <c r="EI82" s="1" t="s">
        <v>121</v>
      </c>
      <c r="EJ82" s="1" t="s">
        <v>121</v>
      </c>
      <c r="EK82" s="1" t="s">
        <v>121</v>
      </c>
      <c r="EL82" s="1" t="s">
        <v>121</v>
      </c>
      <c r="EM82" s="1" t="s">
        <v>121</v>
      </c>
      <c r="EN82" s="1" t="s">
        <v>121</v>
      </c>
      <c r="EO82" s="1" t="s">
        <v>121</v>
      </c>
      <c r="EP82" s="1" t="s">
        <v>121</v>
      </c>
    </row>
    <row r="83" spans="1:146" x14ac:dyDescent="0.25">
      <c r="A83" s="72">
        <v>83</v>
      </c>
      <c r="B83" s="5" t="s">
        <v>258</v>
      </c>
      <c r="C83" s="323">
        <v>68</v>
      </c>
      <c r="D83" s="323">
        <v>66</v>
      </c>
      <c r="E83" s="323">
        <v>65</v>
      </c>
      <c r="F83" s="323">
        <v>65</v>
      </c>
      <c r="G83" s="323">
        <v>65</v>
      </c>
      <c r="H83" s="323">
        <v>65</v>
      </c>
      <c r="I83" s="323">
        <v>65</v>
      </c>
      <c r="J83" s="323">
        <v>65</v>
      </c>
      <c r="K83" s="323">
        <v>65</v>
      </c>
      <c r="L83" s="323">
        <v>65</v>
      </c>
      <c r="M83" s="323">
        <v>65</v>
      </c>
      <c r="N83" s="323">
        <v>65</v>
      </c>
      <c r="O83" s="335"/>
      <c r="P83" s="335"/>
      <c r="Q83" s="335"/>
      <c r="R83" s="125">
        <v>66</v>
      </c>
      <c r="S83" s="125">
        <v>66</v>
      </c>
      <c r="T83" s="125">
        <v>66</v>
      </c>
      <c r="U83" s="125">
        <v>65</v>
      </c>
      <c r="V83" s="125">
        <v>63</v>
      </c>
      <c r="W83" s="125">
        <v>64</v>
      </c>
      <c r="X83" s="125">
        <v>66</v>
      </c>
      <c r="Y83" s="125">
        <v>66</v>
      </c>
      <c r="Z83" s="125">
        <v>64</v>
      </c>
      <c r="AA83" s="125">
        <v>63</v>
      </c>
      <c r="AB83" s="125">
        <v>63</v>
      </c>
      <c r="AC83" s="125">
        <v>65</v>
      </c>
      <c r="AD83" s="125">
        <v>65</v>
      </c>
      <c r="AE83" s="125">
        <v>67</v>
      </c>
      <c r="AF83" s="125">
        <v>67</v>
      </c>
      <c r="AG83" s="125">
        <v>68</v>
      </c>
      <c r="AH83" s="125">
        <v>67</v>
      </c>
      <c r="AI83" s="125">
        <v>66</v>
      </c>
      <c r="AJ83" s="125">
        <v>65</v>
      </c>
      <c r="AK83" s="125">
        <v>64</v>
      </c>
      <c r="AL83" s="125">
        <v>61</v>
      </c>
      <c r="AM83" s="125">
        <v>59</v>
      </c>
      <c r="AN83" s="125">
        <v>58</v>
      </c>
      <c r="AO83" s="125">
        <v>58</v>
      </c>
      <c r="AP83" s="125">
        <v>57</v>
      </c>
      <c r="AQ83" s="125">
        <v>49</v>
      </c>
      <c r="AR83" s="125">
        <v>48</v>
      </c>
      <c r="AS83" s="125">
        <v>48</v>
      </c>
      <c r="AT83" s="125">
        <v>48</v>
      </c>
      <c r="AU83" s="125">
        <v>47</v>
      </c>
      <c r="AV83" s="11">
        <v>47</v>
      </c>
      <c r="AW83" s="11">
        <v>47</v>
      </c>
      <c r="AX83" s="11">
        <v>43</v>
      </c>
      <c r="AY83" s="11">
        <v>42</v>
      </c>
      <c r="AZ83" s="11">
        <v>41</v>
      </c>
      <c r="BA83" s="11">
        <v>41</v>
      </c>
      <c r="BB83" s="11">
        <v>41</v>
      </c>
      <c r="BC83" s="11">
        <v>39</v>
      </c>
      <c r="BD83" s="11">
        <v>38</v>
      </c>
      <c r="BE83" s="11">
        <v>38</v>
      </c>
      <c r="BF83" s="11">
        <v>37</v>
      </c>
      <c r="BG83" s="11">
        <v>36</v>
      </c>
      <c r="BH83" s="11">
        <v>35</v>
      </c>
      <c r="BI83" s="11">
        <v>36</v>
      </c>
      <c r="BJ83" s="11">
        <v>36</v>
      </c>
      <c r="BK83" s="11">
        <v>36</v>
      </c>
      <c r="BL83" s="1">
        <v>36</v>
      </c>
      <c r="BM83" s="1">
        <v>36</v>
      </c>
      <c r="BN83" s="1">
        <v>36</v>
      </c>
      <c r="BO83" s="1" t="s">
        <v>121</v>
      </c>
      <c r="BP83" s="1" t="s">
        <v>121</v>
      </c>
      <c r="BQ83" s="1" t="s">
        <v>121</v>
      </c>
      <c r="BR83" s="1" t="s">
        <v>121</v>
      </c>
      <c r="BS83" s="1" t="s">
        <v>121</v>
      </c>
      <c r="BT83" s="1" t="s">
        <v>121</v>
      </c>
      <c r="BU83" s="1" t="s">
        <v>121</v>
      </c>
      <c r="BV83" s="1" t="s">
        <v>121</v>
      </c>
      <c r="BW83" s="1" t="s">
        <v>121</v>
      </c>
      <c r="BX83" s="1" t="s">
        <v>121</v>
      </c>
      <c r="BY83" s="1" t="s">
        <v>121</v>
      </c>
      <c r="BZ83" s="1" t="s">
        <v>121</v>
      </c>
      <c r="CA83" s="1" t="s">
        <v>121</v>
      </c>
      <c r="CB83" s="1" t="s">
        <v>121</v>
      </c>
      <c r="CC83" s="1" t="s">
        <v>121</v>
      </c>
      <c r="CD83" s="1" t="s">
        <v>121</v>
      </c>
      <c r="CE83" s="1" t="s">
        <v>121</v>
      </c>
      <c r="CF83" s="1" t="s">
        <v>121</v>
      </c>
      <c r="CG83" s="1" t="s">
        <v>121</v>
      </c>
      <c r="CH83" s="1" t="s">
        <v>121</v>
      </c>
      <c r="CI83" s="1" t="s">
        <v>121</v>
      </c>
      <c r="CJ83" s="1" t="s">
        <v>121</v>
      </c>
      <c r="CK83" s="1" t="s">
        <v>121</v>
      </c>
      <c r="CL83" s="1" t="s">
        <v>121</v>
      </c>
      <c r="CM83" s="1" t="s">
        <v>121</v>
      </c>
      <c r="CN83" s="1" t="s">
        <v>121</v>
      </c>
      <c r="CO83" s="1" t="s">
        <v>121</v>
      </c>
      <c r="CP83" s="1" t="s">
        <v>121</v>
      </c>
      <c r="CQ83" s="1" t="s">
        <v>121</v>
      </c>
      <c r="CR83" s="1" t="s">
        <v>121</v>
      </c>
      <c r="CS83" s="1" t="s">
        <v>121</v>
      </c>
      <c r="CT83" s="1" t="s">
        <v>121</v>
      </c>
      <c r="CU83" s="1" t="s">
        <v>121</v>
      </c>
      <c r="CV83" s="1" t="s">
        <v>121</v>
      </c>
      <c r="CW83" s="1" t="s">
        <v>121</v>
      </c>
      <c r="CX83" s="1" t="s">
        <v>121</v>
      </c>
      <c r="CY83" s="1" t="s">
        <v>121</v>
      </c>
      <c r="CZ83" s="1" t="s">
        <v>121</v>
      </c>
      <c r="DA83" s="1" t="s">
        <v>121</v>
      </c>
      <c r="DB83" s="1" t="s">
        <v>121</v>
      </c>
      <c r="DC83" s="1" t="s">
        <v>121</v>
      </c>
      <c r="DD83" s="1" t="s">
        <v>121</v>
      </c>
      <c r="DE83" s="1" t="s">
        <v>121</v>
      </c>
      <c r="DF83" s="1" t="s">
        <v>121</v>
      </c>
      <c r="DG83" s="1" t="s">
        <v>121</v>
      </c>
      <c r="DH83" s="1" t="s">
        <v>121</v>
      </c>
      <c r="DI83" s="1" t="s">
        <v>121</v>
      </c>
      <c r="DJ83" s="1" t="s">
        <v>121</v>
      </c>
      <c r="DK83" s="1" t="s">
        <v>121</v>
      </c>
      <c r="DL83" s="1" t="s">
        <v>121</v>
      </c>
      <c r="DM83" s="1" t="s">
        <v>121</v>
      </c>
      <c r="DN83" s="1" t="s">
        <v>121</v>
      </c>
      <c r="DO83" s="1" t="s">
        <v>121</v>
      </c>
      <c r="DP83" s="1" t="s">
        <v>121</v>
      </c>
      <c r="DQ83" s="1" t="s">
        <v>121</v>
      </c>
      <c r="DR83" s="1" t="s">
        <v>121</v>
      </c>
      <c r="DS83" s="1" t="s">
        <v>121</v>
      </c>
      <c r="DT83" s="1" t="s">
        <v>121</v>
      </c>
      <c r="DU83" s="1" t="s">
        <v>121</v>
      </c>
      <c r="DV83" s="1" t="s">
        <v>121</v>
      </c>
      <c r="DW83" s="1" t="s">
        <v>121</v>
      </c>
      <c r="DX83" s="1" t="s">
        <v>121</v>
      </c>
      <c r="DY83" s="1" t="s">
        <v>121</v>
      </c>
      <c r="DZ83" s="1" t="s">
        <v>121</v>
      </c>
      <c r="EA83" s="1" t="s">
        <v>121</v>
      </c>
      <c r="EB83" s="1" t="s">
        <v>121</v>
      </c>
      <c r="EC83" s="1" t="s">
        <v>121</v>
      </c>
      <c r="ED83" s="1" t="s">
        <v>121</v>
      </c>
      <c r="EE83" s="1" t="s">
        <v>121</v>
      </c>
      <c r="EF83" s="1" t="s">
        <v>121</v>
      </c>
      <c r="EG83" s="1" t="s">
        <v>121</v>
      </c>
      <c r="EH83" s="1" t="s">
        <v>121</v>
      </c>
      <c r="EI83" s="1" t="s">
        <v>121</v>
      </c>
      <c r="EJ83" s="1" t="s">
        <v>121</v>
      </c>
      <c r="EK83" s="1" t="s">
        <v>121</v>
      </c>
      <c r="EL83" s="1" t="s">
        <v>121</v>
      </c>
      <c r="EM83" s="1" t="s">
        <v>121</v>
      </c>
      <c r="EN83" s="1" t="s">
        <v>121</v>
      </c>
      <c r="EO83" s="1" t="s">
        <v>121</v>
      </c>
      <c r="EP83" s="1" t="s">
        <v>121</v>
      </c>
    </row>
    <row r="84" spans="1:146" x14ac:dyDescent="0.25">
      <c r="A84" s="72">
        <v>84</v>
      </c>
      <c r="B84" s="5" t="s">
        <v>259</v>
      </c>
      <c r="C84" s="323">
        <v>782</v>
      </c>
      <c r="D84" s="323">
        <v>775</v>
      </c>
      <c r="E84" s="323">
        <v>773</v>
      </c>
      <c r="F84" s="323">
        <v>773</v>
      </c>
      <c r="G84" s="323">
        <v>775</v>
      </c>
      <c r="H84" s="323">
        <v>777</v>
      </c>
      <c r="I84" s="323">
        <v>784</v>
      </c>
      <c r="J84" s="323">
        <v>797</v>
      </c>
      <c r="K84" s="323">
        <v>802</v>
      </c>
      <c r="L84" s="323">
        <v>802</v>
      </c>
      <c r="M84" s="323">
        <v>799</v>
      </c>
      <c r="N84" s="323">
        <v>799</v>
      </c>
      <c r="O84" s="335"/>
      <c r="P84" s="335"/>
      <c r="Q84" s="335"/>
      <c r="R84" s="125">
        <v>789</v>
      </c>
      <c r="S84" s="125">
        <v>803</v>
      </c>
      <c r="T84" s="125">
        <v>800</v>
      </c>
      <c r="U84" s="125">
        <v>803</v>
      </c>
      <c r="V84" s="125">
        <v>810</v>
      </c>
      <c r="W84" s="125">
        <v>806</v>
      </c>
      <c r="X84" s="125">
        <v>805</v>
      </c>
      <c r="Y84" s="125">
        <v>814</v>
      </c>
      <c r="Z84" s="125">
        <v>813</v>
      </c>
      <c r="AA84" s="125">
        <v>808</v>
      </c>
      <c r="AB84" s="125">
        <v>802</v>
      </c>
      <c r="AC84" s="125">
        <v>800</v>
      </c>
      <c r="AD84" s="125">
        <v>797</v>
      </c>
      <c r="AE84" s="125">
        <v>801</v>
      </c>
      <c r="AF84" s="125">
        <v>812</v>
      </c>
      <c r="AG84" s="125">
        <v>814</v>
      </c>
      <c r="AH84" s="125">
        <v>804</v>
      </c>
      <c r="AI84" s="125">
        <v>803</v>
      </c>
      <c r="AJ84" s="125">
        <v>789</v>
      </c>
      <c r="AK84" s="125">
        <v>787</v>
      </c>
      <c r="AL84" s="125">
        <v>781</v>
      </c>
      <c r="AM84" s="125">
        <v>762</v>
      </c>
      <c r="AN84" s="125">
        <v>752</v>
      </c>
      <c r="AO84" s="125">
        <v>737</v>
      </c>
      <c r="AP84" s="125">
        <v>728</v>
      </c>
      <c r="AQ84" s="125">
        <v>700</v>
      </c>
      <c r="AR84" s="125">
        <v>690</v>
      </c>
      <c r="AS84" s="125">
        <v>672</v>
      </c>
      <c r="AT84" s="125">
        <v>658</v>
      </c>
      <c r="AU84" s="125">
        <v>648</v>
      </c>
      <c r="AV84" s="11">
        <v>640</v>
      </c>
      <c r="AW84" s="11">
        <v>630</v>
      </c>
      <c r="AX84" s="11">
        <v>600</v>
      </c>
      <c r="AY84" s="11">
        <v>579</v>
      </c>
      <c r="AZ84" s="11">
        <v>582</v>
      </c>
      <c r="BA84" s="11">
        <v>572</v>
      </c>
      <c r="BB84" s="11">
        <v>547</v>
      </c>
      <c r="BC84" s="11">
        <v>540</v>
      </c>
      <c r="BD84" s="11">
        <v>528</v>
      </c>
      <c r="BE84" s="11">
        <v>515</v>
      </c>
      <c r="BF84" s="11">
        <v>504</v>
      </c>
      <c r="BG84" s="11">
        <v>493</v>
      </c>
      <c r="BH84" s="11">
        <v>473</v>
      </c>
      <c r="BI84" s="11">
        <v>472</v>
      </c>
      <c r="BJ84" s="11">
        <v>468</v>
      </c>
      <c r="BK84" s="11">
        <v>468</v>
      </c>
      <c r="BL84" s="1">
        <v>447</v>
      </c>
      <c r="BM84" s="1">
        <v>441</v>
      </c>
      <c r="BN84" s="1">
        <v>434</v>
      </c>
      <c r="BO84" s="1" t="s">
        <v>121</v>
      </c>
      <c r="BP84" s="1" t="s">
        <v>121</v>
      </c>
      <c r="BQ84" s="1" t="s">
        <v>121</v>
      </c>
      <c r="BR84" s="1" t="s">
        <v>121</v>
      </c>
      <c r="BS84" s="1" t="s">
        <v>121</v>
      </c>
      <c r="BT84" s="1" t="s">
        <v>121</v>
      </c>
      <c r="BU84" s="1" t="s">
        <v>121</v>
      </c>
      <c r="BV84" s="1" t="s">
        <v>121</v>
      </c>
      <c r="BW84" s="1" t="s">
        <v>121</v>
      </c>
      <c r="BX84" s="1" t="s">
        <v>121</v>
      </c>
      <c r="BY84" s="1" t="s">
        <v>121</v>
      </c>
      <c r="BZ84" s="1" t="s">
        <v>121</v>
      </c>
      <c r="CA84" s="1" t="s">
        <v>121</v>
      </c>
      <c r="CB84" s="1" t="s">
        <v>121</v>
      </c>
      <c r="CC84" s="1" t="s">
        <v>121</v>
      </c>
      <c r="CD84" s="1" t="s">
        <v>121</v>
      </c>
      <c r="CE84" s="1" t="s">
        <v>121</v>
      </c>
      <c r="CF84" s="1" t="s">
        <v>121</v>
      </c>
      <c r="CG84" s="1" t="s">
        <v>121</v>
      </c>
      <c r="CH84" s="1" t="s">
        <v>121</v>
      </c>
      <c r="CI84" s="1" t="s">
        <v>121</v>
      </c>
      <c r="CJ84" s="1" t="s">
        <v>121</v>
      </c>
      <c r="CK84" s="1" t="s">
        <v>121</v>
      </c>
      <c r="CL84" s="1" t="s">
        <v>121</v>
      </c>
      <c r="CM84" s="1" t="s">
        <v>121</v>
      </c>
      <c r="CN84" s="1" t="s">
        <v>121</v>
      </c>
      <c r="CO84" s="1" t="s">
        <v>121</v>
      </c>
      <c r="CP84" s="1" t="s">
        <v>121</v>
      </c>
      <c r="CQ84" s="1" t="s">
        <v>121</v>
      </c>
      <c r="CR84" s="1" t="s">
        <v>121</v>
      </c>
      <c r="CS84" s="1" t="s">
        <v>121</v>
      </c>
      <c r="CT84" s="1" t="s">
        <v>121</v>
      </c>
      <c r="CU84" s="1" t="s">
        <v>121</v>
      </c>
      <c r="CV84" s="1" t="s">
        <v>121</v>
      </c>
      <c r="CW84" s="1" t="s">
        <v>121</v>
      </c>
      <c r="CX84" s="1" t="s">
        <v>121</v>
      </c>
      <c r="CY84" s="1" t="s">
        <v>121</v>
      </c>
      <c r="CZ84" s="1" t="s">
        <v>121</v>
      </c>
      <c r="DA84" s="1" t="s">
        <v>121</v>
      </c>
      <c r="DB84" s="1" t="s">
        <v>121</v>
      </c>
      <c r="DC84" s="1" t="s">
        <v>121</v>
      </c>
      <c r="DD84" s="1" t="s">
        <v>121</v>
      </c>
      <c r="DE84" s="1" t="s">
        <v>121</v>
      </c>
      <c r="DF84" s="1" t="s">
        <v>121</v>
      </c>
      <c r="DG84" s="1" t="s">
        <v>121</v>
      </c>
      <c r="DH84" s="1" t="s">
        <v>121</v>
      </c>
      <c r="DI84" s="1" t="s">
        <v>121</v>
      </c>
      <c r="DJ84" s="1" t="s">
        <v>121</v>
      </c>
      <c r="DK84" s="1" t="s">
        <v>121</v>
      </c>
      <c r="DL84" s="1" t="s">
        <v>121</v>
      </c>
      <c r="DM84" s="1" t="s">
        <v>121</v>
      </c>
      <c r="DN84" s="1" t="s">
        <v>121</v>
      </c>
      <c r="DO84" s="1" t="s">
        <v>121</v>
      </c>
      <c r="DP84" s="1" t="s">
        <v>121</v>
      </c>
      <c r="DQ84" s="1" t="s">
        <v>121</v>
      </c>
      <c r="DR84" s="1" t="s">
        <v>121</v>
      </c>
      <c r="DS84" s="1" t="s">
        <v>121</v>
      </c>
      <c r="DT84" s="1" t="s">
        <v>121</v>
      </c>
      <c r="DU84" s="1" t="s">
        <v>121</v>
      </c>
      <c r="DV84" s="1" t="s">
        <v>121</v>
      </c>
      <c r="DW84" s="1" t="s">
        <v>121</v>
      </c>
      <c r="DX84" s="1" t="s">
        <v>121</v>
      </c>
      <c r="DY84" s="1" t="s">
        <v>121</v>
      </c>
      <c r="DZ84" s="1" t="s">
        <v>121</v>
      </c>
      <c r="EA84" s="1" t="s">
        <v>121</v>
      </c>
      <c r="EB84" s="1" t="s">
        <v>121</v>
      </c>
      <c r="EC84" s="1" t="s">
        <v>121</v>
      </c>
      <c r="ED84" s="1" t="s">
        <v>121</v>
      </c>
      <c r="EE84" s="1" t="s">
        <v>121</v>
      </c>
      <c r="EF84" s="1" t="s">
        <v>121</v>
      </c>
      <c r="EG84" s="1" t="s">
        <v>121</v>
      </c>
      <c r="EH84" s="1" t="s">
        <v>121</v>
      </c>
      <c r="EI84" s="1" t="s">
        <v>121</v>
      </c>
      <c r="EJ84" s="1" t="s">
        <v>121</v>
      </c>
      <c r="EK84" s="1" t="s">
        <v>121</v>
      </c>
      <c r="EL84" s="1" t="s">
        <v>121</v>
      </c>
      <c r="EM84" s="1" t="s">
        <v>121</v>
      </c>
      <c r="EN84" s="1" t="s">
        <v>121</v>
      </c>
      <c r="EO84" s="1" t="s">
        <v>121</v>
      </c>
      <c r="EP84" s="1" t="s">
        <v>121</v>
      </c>
    </row>
    <row r="85" spans="1:146" s="368" customFormat="1" x14ac:dyDescent="0.25">
      <c r="A85" s="364">
        <v>85</v>
      </c>
      <c r="B85" s="365" t="s">
        <v>260</v>
      </c>
      <c r="C85" s="366">
        <v>4.8</v>
      </c>
      <c r="D85" s="366">
        <v>4.8</v>
      </c>
      <c r="E85" s="366">
        <v>4.7</v>
      </c>
      <c r="F85" s="366">
        <v>4.7</v>
      </c>
      <c r="G85" s="366">
        <v>4.7</v>
      </c>
      <c r="H85" s="366">
        <v>4.7</v>
      </c>
      <c r="I85" s="366">
        <v>4.7</v>
      </c>
      <c r="J85" s="366">
        <v>4.5999999999999996</v>
      </c>
      <c r="K85" s="366">
        <v>4.5999999999999996</v>
      </c>
      <c r="L85" s="366">
        <v>4.5999999999999996</v>
      </c>
      <c r="M85" s="366">
        <v>4.7</v>
      </c>
      <c r="N85" s="366">
        <v>4.7</v>
      </c>
      <c r="O85" s="335"/>
      <c r="P85" s="335"/>
      <c r="Q85" s="335"/>
      <c r="R85" s="367">
        <v>4.4000000000000004</v>
      </c>
      <c r="S85" s="367">
        <v>4.4000000000000004</v>
      </c>
      <c r="T85" s="367">
        <v>4.3</v>
      </c>
      <c r="U85" s="367">
        <v>4.3</v>
      </c>
      <c r="V85" s="367">
        <v>4.2</v>
      </c>
      <c r="W85" s="367">
        <v>4.0999999999999996</v>
      </c>
      <c r="X85" s="367">
        <v>4.0999999999999996</v>
      </c>
      <c r="Y85" s="367">
        <v>4.3</v>
      </c>
      <c r="Z85" s="367">
        <v>4.3</v>
      </c>
      <c r="AA85" s="367">
        <v>4.0999999999999996</v>
      </c>
      <c r="AB85" s="367">
        <v>4.0999999999999996</v>
      </c>
      <c r="AC85" s="367">
        <v>3.9</v>
      </c>
      <c r="AD85" s="367">
        <v>3.9</v>
      </c>
      <c r="AE85" s="367">
        <v>3.9</v>
      </c>
      <c r="AF85" s="367">
        <v>4</v>
      </c>
      <c r="AG85" s="367">
        <v>4.0999999999999996</v>
      </c>
      <c r="AH85" s="367">
        <v>4.0999999999999996</v>
      </c>
      <c r="AI85" s="367">
        <v>4.0999999999999996</v>
      </c>
      <c r="AJ85" s="367">
        <v>4</v>
      </c>
      <c r="AK85" s="367">
        <v>4</v>
      </c>
      <c r="AL85" s="367">
        <v>4</v>
      </c>
      <c r="AM85" s="367">
        <v>3.9</v>
      </c>
      <c r="AN85" s="367">
        <v>3.8</v>
      </c>
      <c r="AO85" s="367">
        <v>3.7</v>
      </c>
      <c r="AP85" s="367">
        <v>3.6</v>
      </c>
      <c r="AQ85" s="367">
        <v>3.5</v>
      </c>
      <c r="AR85" s="367">
        <v>3.4</v>
      </c>
      <c r="AS85" s="367">
        <v>3.4</v>
      </c>
      <c r="AT85" s="367">
        <v>3.4</v>
      </c>
      <c r="AU85" s="367">
        <v>3.4</v>
      </c>
      <c r="AV85" s="367">
        <v>3.4</v>
      </c>
      <c r="AW85" s="365">
        <v>3.3</v>
      </c>
      <c r="AX85" s="365">
        <v>2.9</v>
      </c>
      <c r="AY85" s="365">
        <v>2.9</v>
      </c>
      <c r="AZ85" s="365">
        <v>2.8</v>
      </c>
      <c r="BA85" s="365">
        <v>2.8</v>
      </c>
      <c r="BB85" s="365">
        <v>2.8</v>
      </c>
      <c r="BC85" s="365">
        <v>2.7</v>
      </c>
      <c r="BD85" s="365">
        <v>2.6</v>
      </c>
      <c r="BE85" s="365">
        <v>2.7</v>
      </c>
      <c r="BF85" s="365">
        <v>2.8</v>
      </c>
      <c r="BG85" s="365">
        <v>2.7</v>
      </c>
      <c r="BH85" s="365">
        <v>2.6</v>
      </c>
      <c r="BI85" s="365">
        <v>2.5</v>
      </c>
      <c r="BJ85" s="365">
        <v>2.4</v>
      </c>
      <c r="BK85" s="365">
        <v>2.2999999999999998</v>
      </c>
      <c r="BL85" s="368">
        <v>2.2999999999999998</v>
      </c>
      <c r="BM85" s="368">
        <v>2.2999999999999998</v>
      </c>
      <c r="BN85" s="368">
        <v>2.2999999999999998</v>
      </c>
      <c r="BO85" s="368" t="s">
        <v>121</v>
      </c>
      <c r="BP85" s="368" t="s">
        <v>121</v>
      </c>
      <c r="BQ85" s="368" t="s">
        <v>121</v>
      </c>
      <c r="BR85" s="368" t="s">
        <v>121</v>
      </c>
      <c r="BS85" s="368" t="s">
        <v>121</v>
      </c>
      <c r="BT85" s="368" t="s">
        <v>121</v>
      </c>
      <c r="BU85" s="368" t="s">
        <v>121</v>
      </c>
      <c r="BV85" s="368" t="s">
        <v>121</v>
      </c>
      <c r="BW85" s="368" t="s">
        <v>121</v>
      </c>
      <c r="BX85" s="368" t="s">
        <v>121</v>
      </c>
      <c r="BY85" s="368" t="s">
        <v>121</v>
      </c>
      <c r="BZ85" s="368" t="s">
        <v>121</v>
      </c>
      <c r="CA85" s="368" t="s">
        <v>121</v>
      </c>
      <c r="CB85" s="368" t="s">
        <v>121</v>
      </c>
      <c r="CC85" s="368" t="s">
        <v>121</v>
      </c>
      <c r="CD85" s="368" t="s">
        <v>121</v>
      </c>
      <c r="CE85" s="368" t="s">
        <v>121</v>
      </c>
      <c r="CF85" s="368" t="s">
        <v>121</v>
      </c>
      <c r="CG85" s="368" t="s">
        <v>121</v>
      </c>
      <c r="CH85" s="368" t="s">
        <v>121</v>
      </c>
      <c r="CI85" s="368" t="s">
        <v>121</v>
      </c>
      <c r="CJ85" s="368" t="s">
        <v>121</v>
      </c>
      <c r="CK85" s="368" t="s">
        <v>121</v>
      </c>
      <c r="CL85" s="368" t="s">
        <v>121</v>
      </c>
      <c r="CM85" s="368" t="s">
        <v>121</v>
      </c>
      <c r="CN85" s="368" t="s">
        <v>121</v>
      </c>
      <c r="CO85" s="368" t="s">
        <v>121</v>
      </c>
      <c r="CP85" s="368" t="s">
        <v>121</v>
      </c>
      <c r="CQ85" s="368" t="s">
        <v>121</v>
      </c>
      <c r="CR85" s="368" t="s">
        <v>121</v>
      </c>
      <c r="CS85" s="368" t="s">
        <v>121</v>
      </c>
      <c r="CT85" s="368" t="s">
        <v>121</v>
      </c>
      <c r="CU85" s="368" t="s">
        <v>121</v>
      </c>
      <c r="CV85" s="368" t="s">
        <v>121</v>
      </c>
      <c r="CW85" s="368" t="s">
        <v>121</v>
      </c>
      <c r="CX85" s="368" t="s">
        <v>121</v>
      </c>
      <c r="CY85" s="368" t="s">
        <v>121</v>
      </c>
      <c r="CZ85" s="368" t="s">
        <v>121</v>
      </c>
      <c r="DA85" s="368" t="s">
        <v>121</v>
      </c>
      <c r="DB85" s="368" t="s">
        <v>121</v>
      </c>
      <c r="DC85" s="368" t="s">
        <v>121</v>
      </c>
      <c r="DD85" s="368" t="s">
        <v>121</v>
      </c>
      <c r="DE85" s="368" t="s">
        <v>121</v>
      </c>
      <c r="DF85" s="368" t="s">
        <v>121</v>
      </c>
      <c r="DG85" s="368" t="s">
        <v>121</v>
      </c>
      <c r="DH85" s="368" t="s">
        <v>121</v>
      </c>
      <c r="DI85" s="368" t="s">
        <v>121</v>
      </c>
      <c r="DJ85" s="368" t="s">
        <v>121</v>
      </c>
      <c r="DK85" s="368" t="s">
        <v>121</v>
      </c>
      <c r="DL85" s="368" t="s">
        <v>121</v>
      </c>
      <c r="DM85" s="368" t="s">
        <v>121</v>
      </c>
      <c r="DN85" s="368" t="s">
        <v>121</v>
      </c>
      <c r="DO85" s="368" t="s">
        <v>121</v>
      </c>
      <c r="DP85" s="368" t="s">
        <v>121</v>
      </c>
      <c r="DQ85" s="368" t="s">
        <v>121</v>
      </c>
      <c r="DR85" s="368" t="s">
        <v>121</v>
      </c>
      <c r="DS85" s="368" t="s">
        <v>121</v>
      </c>
      <c r="DT85" s="368" t="s">
        <v>121</v>
      </c>
      <c r="DU85" s="368" t="s">
        <v>121</v>
      </c>
      <c r="DV85" s="368" t="s">
        <v>121</v>
      </c>
      <c r="DW85" s="368" t="s">
        <v>121</v>
      </c>
      <c r="DX85" s="368" t="s">
        <v>121</v>
      </c>
      <c r="DY85" s="368" t="s">
        <v>121</v>
      </c>
      <c r="DZ85" s="368" t="s">
        <v>121</v>
      </c>
      <c r="EA85" s="368" t="s">
        <v>121</v>
      </c>
      <c r="EB85" s="368" t="s">
        <v>121</v>
      </c>
      <c r="EC85" s="368" t="s">
        <v>121</v>
      </c>
      <c r="ED85" s="368" t="s">
        <v>121</v>
      </c>
      <c r="EE85" s="368" t="s">
        <v>121</v>
      </c>
      <c r="EF85" s="368" t="s">
        <v>121</v>
      </c>
      <c r="EG85" s="368" t="s">
        <v>121</v>
      </c>
      <c r="EH85" s="368" t="s">
        <v>121</v>
      </c>
      <c r="EI85" s="368" t="s">
        <v>121</v>
      </c>
      <c r="EJ85" s="368" t="s">
        <v>121</v>
      </c>
      <c r="EK85" s="368" t="s">
        <v>121</v>
      </c>
      <c r="EL85" s="368" t="s">
        <v>121</v>
      </c>
      <c r="EM85" s="368" t="s">
        <v>121</v>
      </c>
      <c r="EN85" s="368" t="s">
        <v>121</v>
      </c>
      <c r="EO85" s="368" t="s">
        <v>121</v>
      </c>
      <c r="EP85" s="368" t="s">
        <v>121</v>
      </c>
    </row>
    <row r="86" spans="1:146" x14ac:dyDescent="0.25">
      <c r="A86" s="72">
        <v>86</v>
      </c>
      <c r="B86" s="5" t="s">
        <v>261</v>
      </c>
      <c r="C86" s="323">
        <v>445.36852100000004</v>
      </c>
      <c r="D86" s="323">
        <v>445.82852100000002</v>
      </c>
      <c r="E86" s="323">
        <v>457.54403100000002</v>
      </c>
      <c r="F86" s="323">
        <v>457.54403100000002</v>
      </c>
      <c r="G86" s="323">
        <v>457.54403100000002</v>
      </c>
      <c r="H86" s="323">
        <v>457.54403100000002</v>
      </c>
      <c r="I86" s="323">
        <v>461.87983100000002</v>
      </c>
      <c r="J86" s="323">
        <v>461.87983100000002</v>
      </c>
      <c r="K86" s="323">
        <v>461.87983100000002</v>
      </c>
      <c r="L86" s="323">
        <v>461.87983100000002</v>
      </c>
      <c r="M86" s="323">
        <v>475.55423200000001</v>
      </c>
      <c r="N86" s="323">
        <v>475.55423200000001</v>
      </c>
      <c r="O86" s="335"/>
      <c r="P86" s="335"/>
      <c r="Q86" s="335"/>
      <c r="R86" s="323">
        <v>475.55423200000001</v>
      </c>
      <c r="S86" s="323">
        <v>475.55423200000001</v>
      </c>
      <c r="T86" s="11">
        <v>475.55423200000001</v>
      </c>
      <c r="U86" s="11">
        <v>487.55416700000001</v>
      </c>
      <c r="V86" s="11">
        <v>487.55416700000001</v>
      </c>
      <c r="W86" s="11">
        <v>487.55416700000001</v>
      </c>
      <c r="X86" s="11">
        <v>487.55416700000001</v>
      </c>
      <c r="Y86" s="11">
        <v>499.55399999999997</v>
      </c>
      <c r="Z86" s="11">
        <v>499.55399999999997</v>
      </c>
      <c r="AA86" s="11">
        <v>499.55399999999997</v>
      </c>
      <c r="AB86" s="11">
        <v>499.55399999999997</v>
      </c>
      <c r="AC86" s="11">
        <v>499.55399999999997</v>
      </c>
      <c r="AD86" s="11">
        <v>499.55399999999997</v>
      </c>
      <c r="AE86" s="11">
        <v>499.55399999999997</v>
      </c>
      <c r="AF86" s="11">
        <v>499.55399999999997</v>
      </c>
      <c r="AG86" s="11">
        <v>499.55399999999997</v>
      </c>
      <c r="AH86" s="11">
        <v>499.55399999999997</v>
      </c>
      <c r="AI86" s="11">
        <v>499.55399999999997</v>
      </c>
      <c r="AJ86" s="11">
        <v>439.55399999999997</v>
      </c>
      <c r="AK86" s="11">
        <v>439.55399999999997</v>
      </c>
      <c r="AL86" s="11">
        <v>439.55399999999997</v>
      </c>
      <c r="AM86" s="11">
        <v>439.55399999999997</v>
      </c>
      <c r="AN86" s="11">
        <v>439.55399999999997</v>
      </c>
      <c r="AO86" s="11">
        <v>439.55399999999997</v>
      </c>
      <c r="AP86" s="11">
        <v>439.55399999999997</v>
      </c>
      <c r="AQ86" s="11">
        <v>439.55399999999997</v>
      </c>
      <c r="AR86" s="11">
        <v>439.55399999999997</v>
      </c>
      <c r="AS86" s="11">
        <v>439.55399999999997</v>
      </c>
      <c r="AT86" s="11">
        <v>439.55399999999997</v>
      </c>
      <c r="AU86" s="11">
        <v>439.55399999999997</v>
      </c>
      <c r="AV86" s="11">
        <v>439.55399999999997</v>
      </c>
      <c r="AW86" s="11">
        <v>439.55399999999997</v>
      </c>
      <c r="AX86" s="11">
        <v>439.55399999999997</v>
      </c>
      <c r="AY86" s="11">
        <v>439.55399999999997</v>
      </c>
      <c r="AZ86" s="11">
        <v>365.929935</v>
      </c>
      <c r="BA86" s="11">
        <v>300.71893499999999</v>
      </c>
      <c r="BB86" s="11">
        <v>300.71893499999999</v>
      </c>
      <c r="BC86" s="11">
        <v>300.71893499999999</v>
      </c>
      <c r="BD86" s="11">
        <v>300.71893499999999</v>
      </c>
      <c r="BE86" s="11">
        <v>300.71893499999999</v>
      </c>
      <c r="BF86" s="11">
        <v>300.71893499999999</v>
      </c>
      <c r="BG86" s="11">
        <v>300.71893499999999</v>
      </c>
      <c r="BH86" s="11">
        <v>300.71893499999999</v>
      </c>
      <c r="BI86" s="11">
        <v>282.14999999999998</v>
      </c>
      <c r="BJ86" s="11">
        <v>282.14999999999998</v>
      </c>
      <c r="BK86" s="11">
        <v>282.14999999999998</v>
      </c>
      <c r="BL86" s="1">
        <v>282.14999999999998</v>
      </c>
      <c r="BM86" s="1">
        <v>282.14999999999998</v>
      </c>
      <c r="BN86" s="1">
        <v>282.14999999999998</v>
      </c>
      <c r="BO86" s="1" t="s">
        <v>121</v>
      </c>
      <c r="BP86" s="1" t="s">
        <v>121</v>
      </c>
      <c r="BQ86" s="1" t="s">
        <v>121</v>
      </c>
      <c r="BR86" s="1" t="s">
        <v>121</v>
      </c>
      <c r="BS86" s="1" t="s">
        <v>121</v>
      </c>
      <c r="BT86" s="1" t="s">
        <v>121</v>
      </c>
      <c r="BU86" s="1" t="s">
        <v>121</v>
      </c>
      <c r="BV86" s="1" t="s">
        <v>121</v>
      </c>
      <c r="BW86" s="1" t="s">
        <v>121</v>
      </c>
      <c r="BX86" s="1" t="s">
        <v>121</v>
      </c>
      <c r="BY86" s="1" t="s">
        <v>121</v>
      </c>
      <c r="BZ86" s="1" t="s">
        <v>121</v>
      </c>
      <c r="CA86" s="1" t="s">
        <v>121</v>
      </c>
      <c r="CB86" s="1" t="s">
        <v>121</v>
      </c>
      <c r="CC86" s="1" t="s">
        <v>121</v>
      </c>
      <c r="CD86" s="1" t="s">
        <v>121</v>
      </c>
      <c r="CE86" s="1" t="s">
        <v>121</v>
      </c>
      <c r="CF86" s="1" t="s">
        <v>121</v>
      </c>
      <c r="CG86" s="1" t="s">
        <v>121</v>
      </c>
      <c r="CH86" s="1" t="s">
        <v>121</v>
      </c>
      <c r="CI86" s="1" t="s">
        <v>121</v>
      </c>
      <c r="CJ86" s="1" t="s">
        <v>121</v>
      </c>
      <c r="CK86" s="1" t="s">
        <v>121</v>
      </c>
      <c r="CL86" s="1" t="s">
        <v>121</v>
      </c>
      <c r="CM86" s="1" t="s">
        <v>121</v>
      </c>
      <c r="CN86" s="1" t="s">
        <v>121</v>
      </c>
      <c r="CO86" s="1" t="s">
        <v>121</v>
      </c>
      <c r="CP86" s="1" t="s">
        <v>121</v>
      </c>
      <c r="CQ86" s="1" t="s">
        <v>121</v>
      </c>
      <c r="CR86" s="1" t="s">
        <v>121</v>
      </c>
      <c r="CS86" s="1" t="s">
        <v>121</v>
      </c>
      <c r="CT86" s="1" t="s">
        <v>121</v>
      </c>
      <c r="CU86" s="1" t="s">
        <v>121</v>
      </c>
      <c r="CV86" s="1" t="s">
        <v>121</v>
      </c>
      <c r="CW86" s="1" t="s">
        <v>121</v>
      </c>
      <c r="CX86" s="1" t="s">
        <v>121</v>
      </c>
      <c r="CY86" s="1" t="s">
        <v>121</v>
      </c>
      <c r="CZ86" s="1" t="s">
        <v>121</v>
      </c>
      <c r="DA86" s="1" t="s">
        <v>121</v>
      </c>
      <c r="DB86" s="1" t="s">
        <v>121</v>
      </c>
      <c r="DC86" s="1" t="s">
        <v>121</v>
      </c>
      <c r="DD86" s="1" t="s">
        <v>121</v>
      </c>
      <c r="DE86" s="1" t="s">
        <v>121</v>
      </c>
      <c r="DF86" s="1" t="s">
        <v>121</v>
      </c>
      <c r="DG86" s="1" t="s">
        <v>121</v>
      </c>
      <c r="DH86" s="1" t="s">
        <v>121</v>
      </c>
      <c r="DI86" s="1" t="s">
        <v>121</v>
      </c>
      <c r="DJ86" s="1" t="s">
        <v>121</v>
      </c>
      <c r="DK86" s="1" t="s">
        <v>121</v>
      </c>
      <c r="DL86" s="1" t="s">
        <v>121</v>
      </c>
      <c r="DM86" s="1" t="s">
        <v>121</v>
      </c>
      <c r="DN86" s="1" t="s">
        <v>121</v>
      </c>
      <c r="DO86" s="1" t="s">
        <v>121</v>
      </c>
      <c r="DP86" s="1" t="s">
        <v>121</v>
      </c>
      <c r="DQ86" s="1" t="s">
        <v>121</v>
      </c>
      <c r="DR86" s="1" t="s">
        <v>121</v>
      </c>
      <c r="DS86" s="1" t="s">
        <v>121</v>
      </c>
      <c r="DT86" s="1" t="s">
        <v>121</v>
      </c>
      <c r="DU86" s="1" t="s">
        <v>121</v>
      </c>
      <c r="DV86" s="1" t="s">
        <v>121</v>
      </c>
      <c r="DW86" s="1" t="s">
        <v>121</v>
      </c>
      <c r="DX86" s="1" t="s">
        <v>121</v>
      </c>
      <c r="DY86" s="1" t="s">
        <v>121</v>
      </c>
      <c r="DZ86" s="1" t="s">
        <v>121</v>
      </c>
      <c r="EA86" s="1" t="s">
        <v>121</v>
      </c>
      <c r="EB86" s="1" t="s">
        <v>121</v>
      </c>
      <c r="EC86" s="1" t="s">
        <v>121</v>
      </c>
      <c r="ED86" s="1" t="s">
        <v>121</v>
      </c>
      <c r="EE86" s="1" t="s">
        <v>121</v>
      </c>
      <c r="EF86" s="1" t="s">
        <v>121</v>
      </c>
      <c r="EG86" s="1" t="s">
        <v>121</v>
      </c>
      <c r="EH86" s="1" t="s">
        <v>121</v>
      </c>
      <c r="EI86" s="1" t="s">
        <v>121</v>
      </c>
      <c r="EJ86" s="1" t="s">
        <v>121</v>
      </c>
      <c r="EK86" s="1" t="s">
        <v>121</v>
      </c>
      <c r="EL86" s="1" t="s">
        <v>121</v>
      </c>
      <c r="EM86" s="1" t="s">
        <v>121</v>
      </c>
      <c r="EN86" s="1" t="s">
        <v>121</v>
      </c>
      <c r="EO86" s="1" t="s">
        <v>121</v>
      </c>
      <c r="EP86" s="1" t="s">
        <v>121</v>
      </c>
    </row>
    <row r="87" spans="1:146" x14ac:dyDescent="0.25">
      <c r="A87" s="72">
        <v>87</v>
      </c>
      <c r="B87" s="5" t="s">
        <v>262</v>
      </c>
      <c r="C87" s="323">
        <v>20.099999999999966</v>
      </c>
      <c r="D87" s="323">
        <v>20.099999999999966</v>
      </c>
      <c r="E87" s="323">
        <v>20.099999999999966</v>
      </c>
      <c r="F87" s="323">
        <v>20.099999999999966</v>
      </c>
      <c r="G87" s="323">
        <v>20.099999999999966</v>
      </c>
      <c r="H87" s="323">
        <v>20.099999999999966</v>
      </c>
      <c r="I87" s="323">
        <v>20.099999999999966</v>
      </c>
      <c r="J87" s="323">
        <v>20.099999999999966</v>
      </c>
      <c r="K87" s="323">
        <v>20.099999999999966</v>
      </c>
      <c r="L87" s="323">
        <v>20.099999999999966</v>
      </c>
      <c r="M87" s="323">
        <v>20.099999999999966</v>
      </c>
      <c r="N87" s="323">
        <v>20.099999999999966</v>
      </c>
      <c r="O87" s="335"/>
      <c r="P87" s="335"/>
      <c r="Q87" s="335"/>
      <c r="R87" s="323">
        <v>20.099999999999966</v>
      </c>
      <c r="S87" s="323">
        <v>20.099999999999966</v>
      </c>
      <c r="T87" s="323">
        <v>20.099999999999966</v>
      </c>
      <c r="U87" s="323">
        <v>20.099999999999966</v>
      </c>
      <c r="V87" s="323">
        <v>20.099999999999966</v>
      </c>
      <c r="W87" s="323">
        <v>20.099999999999966</v>
      </c>
      <c r="X87" s="323">
        <v>20.099999999999966</v>
      </c>
      <c r="Y87" s="323">
        <v>20.100000000000023</v>
      </c>
      <c r="Z87" s="323">
        <v>20.100000000000023</v>
      </c>
      <c r="AA87" s="323">
        <v>20.100000000000023</v>
      </c>
      <c r="AB87" s="323">
        <v>20.100000000000023</v>
      </c>
      <c r="AC87" s="323">
        <v>20.100000000000023</v>
      </c>
      <c r="AD87" s="323">
        <v>20.100000000000023</v>
      </c>
      <c r="AE87" s="323">
        <v>20.100000000000023</v>
      </c>
      <c r="AF87" s="323">
        <v>20.100000000000023</v>
      </c>
      <c r="AG87" s="323">
        <v>20.100000000000023</v>
      </c>
      <c r="AH87" s="323">
        <v>20.100000000000023</v>
      </c>
      <c r="AI87" s="323">
        <v>20.100000000000023</v>
      </c>
      <c r="AJ87" s="323">
        <v>20.100000000000023</v>
      </c>
      <c r="AK87" s="323">
        <v>20.100000000000023</v>
      </c>
      <c r="AL87" s="323">
        <v>20.100000000000023</v>
      </c>
      <c r="AM87" s="323">
        <v>20.100000000000023</v>
      </c>
      <c r="AN87" s="323">
        <v>20.100000000000023</v>
      </c>
      <c r="AO87" s="323">
        <v>20.100000000000023</v>
      </c>
      <c r="AP87" s="323">
        <v>20.100000000000023</v>
      </c>
      <c r="AQ87" s="323">
        <v>20.100000000000023</v>
      </c>
      <c r="AR87" s="323">
        <v>20.100000000000023</v>
      </c>
      <c r="AS87" s="323">
        <v>20.100000000000023</v>
      </c>
      <c r="AT87" s="323">
        <v>20.100000000000023</v>
      </c>
      <c r="AU87" s="323">
        <v>20.100000000000023</v>
      </c>
      <c r="AV87" s="323">
        <v>20.100000000000023</v>
      </c>
      <c r="AW87" s="323">
        <v>20.100000000000023</v>
      </c>
      <c r="AX87" s="323">
        <v>20.100000000000023</v>
      </c>
      <c r="AY87" s="323">
        <v>20.100000000000023</v>
      </c>
      <c r="AZ87" s="323">
        <v>20.100000000000023</v>
      </c>
      <c r="BA87" s="323">
        <v>20.100000000000023</v>
      </c>
      <c r="BB87" s="323">
        <v>20.100000000000023</v>
      </c>
      <c r="BC87" s="323">
        <v>20.100000000000023</v>
      </c>
      <c r="BD87" s="323">
        <v>20.100000000000023</v>
      </c>
      <c r="BE87" s="323">
        <v>20.100000000000023</v>
      </c>
      <c r="BF87" s="323">
        <v>20.100000000000023</v>
      </c>
      <c r="BG87" s="323">
        <v>20.100000000000023</v>
      </c>
      <c r="BH87" s="323">
        <v>20.100000000000023</v>
      </c>
      <c r="BI87" s="323">
        <v>20.100000000000023</v>
      </c>
      <c r="BJ87" s="323">
        <v>20.100000000000023</v>
      </c>
      <c r="BK87" s="323">
        <v>20.100000000000023</v>
      </c>
      <c r="BL87" s="1">
        <v>20.100000000000023</v>
      </c>
      <c r="BM87" s="1">
        <v>20.100000000000023</v>
      </c>
      <c r="BN87" s="1">
        <v>20.100000000000023</v>
      </c>
      <c r="BO87" s="1" t="s">
        <v>121</v>
      </c>
      <c r="BP87" s="1" t="s">
        <v>121</v>
      </c>
      <c r="BQ87" s="1" t="s">
        <v>121</v>
      </c>
      <c r="BR87" s="1" t="s">
        <v>121</v>
      </c>
      <c r="BS87" s="1" t="s">
        <v>121</v>
      </c>
      <c r="BT87" s="1" t="s">
        <v>121</v>
      </c>
      <c r="BU87" s="1" t="s">
        <v>121</v>
      </c>
      <c r="BV87" s="1" t="s">
        <v>121</v>
      </c>
      <c r="BW87" s="1" t="s">
        <v>121</v>
      </c>
      <c r="BX87" s="1" t="s">
        <v>121</v>
      </c>
      <c r="BY87" s="1" t="s">
        <v>121</v>
      </c>
      <c r="BZ87" s="1" t="s">
        <v>121</v>
      </c>
      <c r="CA87" s="1" t="s">
        <v>121</v>
      </c>
      <c r="CB87" s="1" t="s">
        <v>121</v>
      </c>
      <c r="CC87" s="1" t="s">
        <v>121</v>
      </c>
      <c r="CD87" s="1" t="s">
        <v>121</v>
      </c>
      <c r="CE87" s="1" t="s">
        <v>121</v>
      </c>
      <c r="CF87" s="1" t="s">
        <v>121</v>
      </c>
      <c r="CG87" s="1" t="s">
        <v>121</v>
      </c>
      <c r="CH87" s="1" t="s">
        <v>121</v>
      </c>
      <c r="CI87" s="1" t="s">
        <v>121</v>
      </c>
      <c r="CJ87" s="1" t="s">
        <v>121</v>
      </c>
      <c r="CK87" s="1" t="s">
        <v>121</v>
      </c>
      <c r="CL87" s="1" t="s">
        <v>121</v>
      </c>
      <c r="CM87" s="1" t="s">
        <v>121</v>
      </c>
      <c r="CN87" s="1" t="s">
        <v>121</v>
      </c>
      <c r="CO87" s="1" t="s">
        <v>121</v>
      </c>
      <c r="CP87" s="1" t="s">
        <v>121</v>
      </c>
      <c r="CQ87" s="1" t="s">
        <v>121</v>
      </c>
      <c r="CR87" s="1" t="s">
        <v>121</v>
      </c>
      <c r="CS87" s="1" t="s">
        <v>121</v>
      </c>
      <c r="CT87" s="1" t="s">
        <v>121</v>
      </c>
      <c r="CU87" s="1" t="s">
        <v>121</v>
      </c>
      <c r="CV87" s="1" t="s">
        <v>121</v>
      </c>
      <c r="CW87" s="1" t="s">
        <v>121</v>
      </c>
      <c r="CX87" s="1" t="s">
        <v>121</v>
      </c>
      <c r="CY87" s="1" t="s">
        <v>121</v>
      </c>
      <c r="CZ87" s="1" t="s">
        <v>121</v>
      </c>
      <c r="DA87" s="1" t="s">
        <v>121</v>
      </c>
      <c r="DB87" s="1" t="s">
        <v>121</v>
      </c>
      <c r="DC87" s="1" t="s">
        <v>121</v>
      </c>
      <c r="DD87" s="1" t="s">
        <v>121</v>
      </c>
      <c r="DE87" s="1" t="s">
        <v>121</v>
      </c>
      <c r="DF87" s="1" t="s">
        <v>121</v>
      </c>
      <c r="DG87" s="1" t="s">
        <v>121</v>
      </c>
      <c r="DH87" s="1" t="s">
        <v>121</v>
      </c>
      <c r="DI87" s="1" t="s">
        <v>121</v>
      </c>
      <c r="DJ87" s="1" t="s">
        <v>121</v>
      </c>
      <c r="DK87" s="1" t="s">
        <v>121</v>
      </c>
      <c r="DL87" s="1" t="s">
        <v>121</v>
      </c>
      <c r="DM87" s="1" t="s">
        <v>121</v>
      </c>
      <c r="DN87" s="1" t="s">
        <v>121</v>
      </c>
      <c r="DO87" s="1" t="s">
        <v>121</v>
      </c>
      <c r="DP87" s="1" t="s">
        <v>121</v>
      </c>
      <c r="DQ87" s="1" t="s">
        <v>121</v>
      </c>
      <c r="DR87" s="1" t="s">
        <v>121</v>
      </c>
      <c r="DS87" s="1" t="s">
        <v>121</v>
      </c>
      <c r="DT87" s="1" t="s">
        <v>121</v>
      </c>
      <c r="DU87" s="1" t="s">
        <v>121</v>
      </c>
      <c r="DV87" s="1" t="s">
        <v>121</v>
      </c>
      <c r="DW87" s="1" t="s">
        <v>121</v>
      </c>
      <c r="DX87" s="1" t="s">
        <v>121</v>
      </c>
      <c r="DY87" s="1" t="s">
        <v>121</v>
      </c>
      <c r="DZ87" s="1" t="s">
        <v>121</v>
      </c>
      <c r="EA87" s="1" t="s">
        <v>121</v>
      </c>
      <c r="EB87" s="1" t="s">
        <v>121</v>
      </c>
      <c r="EC87" s="1" t="s">
        <v>121</v>
      </c>
      <c r="ED87" s="1" t="s">
        <v>121</v>
      </c>
      <c r="EE87" s="1" t="s">
        <v>121</v>
      </c>
      <c r="EF87" s="1" t="s">
        <v>121</v>
      </c>
      <c r="EG87" s="1" t="s">
        <v>121</v>
      </c>
      <c r="EH87" s="1" t="s">
        <v>121</v>
      </c>
      <c r="EI87" s="1" t="s">
        <v>121</v>
      </c>
      <c r="EJ87" s="1" t="s">
        <v>121</v>
      </c>
      <c r="EK87" s="1" t="s">
        <v>121</v>
      </c>
      <c r="EL87" s="1" t="s">
        <v>121</v>
      </c>
      <c r="EM87" s="1" t="s">
        <v>121</v>
      </c>
      <c r="EN87" s="1" t="s">
        <v>121</v>
      </c>
      <c r="EO87" s="1" t="s">
        <v>121</v>
      </c>
      <c r="EP87" s="1" t="s">
        <v>121</v>
      </c>
    </row>
    <row r="88" spans="1:146" x14ac:dyDescent="0.25">
      <c r="A88" s="72">
        <v>88</v>
      </c>
      <c r="B88" s="5" t="s">
        <v>263</v>
      </c>
      <c r="C88" s="323">
        <v>465.46852100000001</v>
      </c>
      <c r="D88" s="323">
        <v>465.92852099999999</v>
      </c>
      <c r="E88" s="323">
        <v>477.64403099999998</v>
      </c>
      <c r="F88" s="323">
        <v>477.64403099999998</v>
      </c>
      <c r="G88" s="323">
        <v>477.64403099999998</v>
      </c>
      <c r="H88" s="323">
        <v>477.64403099999998</v>
      </c>
      <c r="I88" s="323">
        <v>481.97983099999999</v>
      </c>
      <c r="J88" s="323">
        <v>481.97983099999999</v>
      </c>
      <c r="K88" s="323">
        <v>481.97983099999999</v>
      </c>
      <c r="L88" s="323">
        <v>481.97983099999999</v>
      </c>
      <c r="M88" s="323">
        <v>495.65423199999998</v>
      </c>
      <c r="N88" s="323">
        <v>495.65423199999998</v>
      </c>
      <c r="O88" s="335"/>
      <c r="P88" s="335"/>
      <c r="Q88" s="335"/>
      <c r="R88" s="323">
        <v>495.65423199999998</v>
      </c>
      <c r="S88" s="323">
        <v>495.65423199999998</v>
      </c>
      <c r="T88" s="323">
        <v>495.65423199999998</v>
      </c>
      <c r="U88" s="323">
        <v>507.65416699999997</v>
      </c>
      <c r="V88" s="323">
        <v>507.65416699999997</v>
      </c>
      <c r="W88" s="323">
        <v>507.65416699999997</v>
      </c>
      <c r="X88" s="323">
        <v>507.65416699999997</v>
      </c>
      <c r="Y88" s="323">
        <v>519.654</v>
      </c>
      <c r="Z88" s="323">
        <v>519.654</v>
      </c>
      <c r="AA88" s="323">
        <v>519.654</v>
      </c>
      <c r="AB88" s="323">
        <v>519.654</v>
      </c>
      <c r="AC88" s="323">
        <v>519.654</v>
      </c>
      <c r="AD88" s="323">
        <v>519.654</v>
      </c>
      <c r="AE88" s="323">
        <v>519.654</v>
      </c>
      <c r="AF88" s="323">
        <v>519.654</v>
      </c>
      <c r="AG88" s="323">
        <v>519.654</v>
      </c>
      <c r="AH88" s="323">
        <v>519.654</v>
      </c>
      <c r="AI88" s="323">
        <v>519.654</v>
      </c>
      <c r="AJ88" s="323">
        <v>459.654</v>
      </c>
      <c r="AK88" s="323">
        <v>459.654</v>
      </c>
      <c r="AL88" s="323">
        <v>459.654</v>
      </c>
      <c r="AM88" s="323">
        <v>459.654</v>
      </c>
      <c r="AN88" s="323">
        <v>459.654</v>
      </c>
      <c r="AO88" s="323">
        <v>459.654</v>
      </c>
      <c r="AP88" s="323">
        <v>459.654</v>
      </c>
      <c r="AQ88" s="323">
        <v>459.654</v>
      </c>
      <c r="AR88" s="323">
        <v>459.654</v>
      </c>
      <c r="AS88" s="323">
        <v>459.654</v>
      </c>
      <c r="AT88" s="323">
        <v>459.654</v>
      </c>
      <c r="AU88" s="323">
        <v>459.654</v>
      </c>
      <c r="AV88" s="323">
        <v>459.654</v>
      </c>
      <c r="AW88" s="323">
        <v>459.654</v>
      </c>
      <c r="AX88" s="323">
        <v>459.654</v>
      </c>
      <c r="AY88" s="323">
        <v>459.654</v>
      </c>
      <c r="AZ88" s="323">
        <v>386.02993500000002</v>
      </c>
      <c r="BA88" s="323">
        <v>386.02993500000002</v>
      </c>
      <c r="BB88" s="323">
        <v>386.02993500000002</v>
      </c>
      <c r="BC88" s="323">
        <v>386.02993500000002</v>
      </c>
      <c r="BD88" s="323">
        <v>386.02993500000002</v>
      </c>
      <c r="BE88" s="323">
        <v>386.02993500000002</v>
      </c>
      <c r="BF88" s="323">
        <v>386.02993500000002</v>
      </c>
      <c r="BG88" s="323">
        <v>386.02993500000002</v>
      </c>
      <c r="BH88" s="323">
        <v>386.02993500000002</v>
      </c>
      <c r="BI88" s="323">
        <v>367.46100000000001</v>
      </c>
      <c r="BJ88" s="323">
        <v>367.46100000000001</v>
      </c>
      <c r="BK88" s="323">
        <v>367.46100000000001</v>
      </c>
      <c r="BL88" s="1">
        <v>367.46100000000001</v>
      </c>
      <c r="BM88" s="1">
        <v>367.46100000000001</v>
      </c>
      <c r="BN88" s="1">
        <v>367.46100000000001</v>
      </c>
      <c r="BO88" s="1" t="s">
        <v>121</v>
      </c>
      <c r="BP88" s="1" t="s">
        <v>121</v>
      </c>
      <c r="BQ88" s="1" t="s">
        <v>121</v>
      </c>
      <c r="BR88" s="1" t="s">
        <v>121</v>
      </c>
      <c r="BS88" s="1" t="s">
        <v>121</v>
      </c>
      <c r="BT88" s="1" t="s">
        <v>121</v>
      </c>
      <c r="BU88" s="1" t="s">
        <v>121</v>
      </c>
      <c r="BV88" s="1" t="s">
        <v>121</v>
      </c>
      <c r="BW88" s="1" t="s">
        <v>121</v>
      </c>
      <c r="BX88" s="1" t="s">
        <v>121</v>
      </c>
      <c r="BY88" s="1" t="s">
        <v>121</v>
      </c>
      <c r="BZ88" s="1" t="s">
        <v>121</v>
      </c>
      <c r="CA88" s="1" t="s">
        <v>121</v>
      </c>
      <c r="CB88" s="1" t="s">
        <v>121</v>
      </c>
      <c r="CC88" s="1" t="s">
        <v>121</v>
      </c>
      <c r="CD88" s="1" t="s">
        <v>121</v>
      </c>
      <c r="CE88" s="1" t="s">
        <v>121</v>
      </c>
      <c r="CF88" s="1" t="s">
        <v>121</v>
      </c>
      <c r="CG88" s="1" t="s">
        <v>121</v>
      </c>
      <c r="CH88" s="1" t="s">
        <v>121</v>
      </c>
      <c r="CI88" s="1" t="s">
        <v>121</v>
      </c>
      <c r="CJ88" s="1" t="s">
        <v>121</v>
      </c>
      <c r="CK88" s="1" t="s">
        <v>121</v>
      </c>
      <c r="CL88" s="1" t="s">
        <v>121</v>
      </c>
      <c r="CM88" s="1" t="s">
        <v>121</v>
      </c>
      <c r="CN88" s="1" t="s">
        <v>121</v>
      </c>
      <c r="CO88" s="1" t="s">
        <v>121</v>
      </c>
      <c r="CP88" s="1" t="s">
        <v>121</v>
      </c>
      <c r="CQ88" s="1" t="s">
        <v>121</v>
      </c>
      <c r="CR88" s="1" t="s">
        <v>121</v>
      </c>
      <c r="CS88" s="1" t="s">
        <v>121</v>
      </c>
      <c r="CT88" s="1" t="s">
        <v>121</v>
      </c>
      <c r="CU88" s="1" t="s">
        <v>121</v>
      </c>
      <c r="CV88" s="1" t="s">
        <v>121</v>
      </c>
      <c r="CW88" s="1" t="s">
        <v>121</v>
      </c>
      <c r="CX88" s="1" t="s">
        <v>121</v>
      </c>
      <c r="CY88" s="1" t="s">
        <v>121</v>
      </c>
      <c r="CZ88" s="1" t="s">
        <v>121</v>
      </c>
      <c r="DA88" s="1" t="s">
        <v>121</v>
      </c>
      <c r="DB88" s="1" t="s">
        <v>121</v>
      </c>
      <c r="DC88" s="1" t="s">
        <v>121</v>
      </c>
      <c r="DD88" s="1" t="s">
        <v>121</v>
      </c>
      <c r="DE88" s="1" t="s">
        <v>121</v>
      </c>
      <c r="DF88" s="1" t="s">
        <v>121</v>
      </c>
      <c r="DG88" s="1" t="s">
        <v>121</v>
      </c>
      <c r="DH88" s="1" t="s">
        <v>121</v>
      </c>
      <c r="DI88" s="1" t="s">
        <v>121</v>
      </c>
      <c r="DJ88" s="1" t="s">
        <v>121</v>
      </c>
      <c r="DK88" s="1" t="s">
        <v>121</v>
      </c>
      <c r="DL88" s="1" t="s">
        <v>121</v>
      </c>
      <c r="DM88" s="1" t="s">
        <v>121</v>
      </c>
      <c r="DN88" s="1" t="s">
        <v>121</v>
      </c>
      <c r="DO88" s="1" t="s">
        <v>121</v>
      </c>
      <c r="DP88" s="1" t="s">
        <v>121</v>
      </c>
      <c r="DQ88" s="1" t="s">
        <v>121</v>
      </c>
      <c r="DR88" s="1" t="s">
        <v>121</v>
      </c>
      <c r="DS88" s="1" t="s">
        <v>121</v>
      </c>
      <c r="DT88" s="1" t="s">
        <v>121</v>
      </c>
      <c r="DU88" s="1" t="s">
        <v>121</v>
      </c>
      <c r="DV88" s="1" t="s">
        <v>121</v>
      </c>
      <c r="DW88" s="1" t="s">
        <v>121</v>
      </c>
      <c r="DX88" s="1" t="s">
        <v>121</v>
      </c>
      <c r="DY88" s="1" t="s">
        <v>121</v>
      </c>
      <c r="DZ88" s="1" t="s">
        <v>121</v>
      </c>
      <c r="EA88" s="1" t="s">
        <v>121</v>
      </c>
      <c r="EB88" s="1" t="s">
        <v>121</v>
      </c>
      <c r="EC88" s="1" t="s">
        <v>121</v>
      </c>
      <c r="ED88" s="1" t="s">
        <v>121</v>
      </c>
      <c r="EE88" s="1" t="s">
        <v>121</v>
      </c>
      <c r="EF88" s="1" t="s">
        <v>121</v>
      </c>
      <c r="EG88" s="1" t="s">
        <v>121</v>
      </c>
      <c r="EH88" s="1" t="s">
        <v>121</v>
      </c>
      <c r="EI88" s="1" t="s">
        <v>121</v>
      </c>
      <c r="EJ88" s="1" t="s">
        <v>121</v>
      </c>
      <c r="EK88" s="1" t="s">
        <v>121</v>
      </c>
      <c r="EL88" s="1" t="s">
        <v>121</v>
      </c>
      <c r="EM88" s="1" t="s">
        <v>121</v>
      </c>
      <c r="EN88" s="1" t="s">
        <v>121</v>
      </c>
      <c r="EO88" s="1" t="s">
        <v>121</v>
      </c>
      <c r="EP88" s="1" t="s">
        <v>121</v>
      </c>
    </row>
    <row r="91" spans="1:146" x14ac:dyDescent="0.25"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</row>
  </sheetData>
  <customSheetViews>
    <customSheetView guid="{0284F5E2-DB98-486F-B3F7-128FA2A0A465}" showGridLines="0" fitToPage="1">
      <pane ySplit="5" topLeftCell="A6" activePane="bottomLeft" state="frozen"/>
      <selection pane="bottomLeft" activeCell="I5" sqref="I5"/>
      <pageMargins left="0.25" right="0.25" top="0.75" bottom="0.75" header="0.3" footer="0.3"/>
      <pageSetup paperSize="9" scale="21" orientation="landscape" r:id="rId1"/>
    </customSheetView>
    <customSheetView guid="{E4AC4991-F371-4BAF-8335-AD017EF379C0}" showPageBreaks="1" showGridLines="0" fitToPage="1" printArea="1">
      <pane ySplit="5" topLeftCell="A6" activePane="bottomLeft" state="frozen"/>
      <selection pane="bottomLeft" activeCell="C8" sqref="C8"/>
      <pageMargins left="0.25" right="0.25" top="0.75" bottom="0.75" header="0.3" footer="0.3"/>
      <pageSetup paperSize="9" scale="21" orientation="landscape" r:id="rId2"/>
    </customSheetView>
  </customSheetViews>
  <mergeCells count="484">
    <mergeCell ref="BK7:BK8"/>
    <mergeCell ref="BK56:BK57"/>
    <mergeCell ref="BK68:BK69"/>
    <mergeCell ref="BK76:BK77"/>
    <mergeCell ref="BJ7:BJ8"/>
    <mergeCell ref="BJ56:BJ57"/>
    <mergeCell ref="BJ68:BJ69"/>
    <mergeCell ref="BJ76:BJ77"/>
    <mergeCell ref="F7:F8"/>
    <mergeCell ref="F20:F21"/>
    <mergeCell ref="F29:F30"/>
    <mergeCell ref="F40:F41"/>
    <mergeCell ref="F47:F48"/>
    <mergeCell ref="F56:F57"/>
    <mergeCell ref="F68:F69"/>
    <mergeCell ref="F76:F77"/>
    <mergeCell ref="G68:G69"/>
    <mergeCell ref="G76:G77"/>
    <mergeCell ref="G7:G8"/>
    <mergeCell ref="G20:G21"/>
    <mergeCell ref="G29:G30"/>
    <mergeCell ref="G40:G41"/>
    <mergeCell ref="G47:G48"/>
    <mergeCell ref="G56:G57"/>
    <mergeCell ref="H76:H77"/>
    <mergeCell ref="W7:W8"/>
    <mergeCell ref="W20:W21"/>
    <mergeCell ref="W29:W30"/>
    <mergeCell ref="H7:H8"/>
    <mergeCell ref="H20:H21"/>
    <mergeCell ref="H29:H30"/>
    <mergeCell ref="K20:K21"/>
    <mergeCell ref="H40:H41"/>
    <mergeCell ref="H47:H48"/>
    <mergeCell ref="T56:T57"/>
    <mergeCell ref="R7:R8"/>
    <mergeCell ref="R20:R21"/>
    <mergeCell ref="R29:R30"/>
    <mergeCell ref="R40:R41"/>
    <mergeCell ref="R47:R48"/>
    <mergeCell ref="R56:R57"/>
    <mergeCell ref="P7:P8"/>
    <mergeCell ref="P20:P21"/>
    <mergeCell ref="P29:P30"/>
    <mergeCell ref="P40:P41"/>
    <mergeCell ref="P47:P48"/>
    <mergeCell ref="P56:P57"/>
    <mergeCell ref="H56:H57"/>
    <mergeCell ref="H68:H69"/>
    <mergeCell ref="Z68:Z69"/>
    <mergeCell ref="W40:W41"/>
    <mergeCell ref="W47:W48"/>
    <mergeCell ref="W56:W57"/>
    <mergeCell ref="U68:U69"/>
    <mergeCell ref="T68:T69"/>
    <mergeCell ref="R68:R69"/>
    <mergeCell ref="P68:P69"/>
    <mergeCell ref="N68:N69"/>
    <mergeCell ref="X68:X69"/>
    <mergeCell ref="Z7:Z8"/>
    <mergeCell ref="Z20:Z21"/>
    <mergeCell ref="Z29:Z30"/>
    <mergeCell ref="Z40:Z41"/>
    <mergeCell ref="Z47:Z48"/>
    <mergeCell ref="Z56:Z57"/>
    <mergeCell ref="U29:U30"/>
    <mergeCell ref="T7:T8"/>
    <mergeCell ref="T20:T21"/>
    <mergeCell ref="T29:T30"/>
    <mergeCell ref="X7:X8"/>
    <mergeCell ref="X20:X21"/>
    <mergeCell ref="X29:X30"/>
    <mergeCell ref="X40:X41"/>
    <mergeCell ref="X47:X48"/>
    <mergeCell ref="X56:X57"/>
    <mergeCell ref="V7:V8"/>
    <mergeCell ref="U7:U8"/>
    <mergeCell ref="U20:U21"/>
    <mergeCell ref="X76:X77"/>
    <mergeCell ref="Y7:Y8"/>
    <mergeCell ref="V76:V77"/>
    <mergeCell ref="V56:V57"/>
    <mergeCell ref="W68:W69"/>
    <mergeCell ref="W76:W77"/>
    <mergeCell ref="AC7:AC8"/>
    <mergeCell ref="AC20:AC21"/>
    <mergeCell ref="AC29:AC30"/>
    <mergeCell ref="AC40:AC41"/>
    <mergeCell ref="AC47:AC48"/>
    <mergeCell ref="AC56:AC57"/>
    <mergeCell ref="AC68:AC69"/>
    <mergeCell ref="AC76:AC77"/>
    <mergeCell ref="AA7:AA8"/>
    <mergeCell ref="AA47:AA48"/>
    <mergeCell ref="AA40:AA41"/>
    <mergeCell ref="AA29:AA30"/>
    <mergeCell ref="AA20:AA21"/>
    <mergeCell ref="AA76:AA77"/>
    <mergeCell ref="AA68:AA69"/>
    <mergeCell ref="AA56:AA57"/>
    <mergeCell ref="AB7:AB8"/>
    <mergeCell ref="AB20:AB21"/>
    <mergeCell ref="AB29:AB30"/>
    <mergeCell ref="Z76:Z77"/>
    <mergeCell ref="AB40:AB41"/>
    <mergeCell ref="AB47:AB48"/>
    <mergeCell ref="AB56:AB57"/>
    <mergeCell ref="AB68:AB69"/>
    <mergeCell ref="AB76:AB77"/>
    <mergeCell ref="AF7:AF8"/>
    <mergeCell ref="AF20:AF21"/>
    <mergeCell ref="AF29:AF30"/>
    <mergeCell ref="AF40:AF41"/>
    <mergeCell ref="AF47:AF48"/>
    <mergeCell ref="AF56:AF57"/>
    <mergeCell ref="AF68:AF69"/>
    <mergeCell ref="AF76:AF77"/>
    <mergeCell ref="AD7:AD8"/>
    <mergeCell ref="AD20:AD21"/>
    <mergeCell ref="AD29:AD30"/>
    <mergeCell ref="AD40:AD41"/>
    <mergeCell ref="AD47:AD48"/>
    <mergeCell ref="AD56:AD57"/>
    <mergeCell ref="AD68:AD69"/>
    <mergeCell ref="AD76:AD77"/>
    <mergeCell ref="AE7:AE8"/>
    <mergeCell ref="AE20:AE21"/>
    <mergeCell ref="AE29:AE30"/>
    <mergeCell ref="AE40:AE41"/>
    <mergeCell ref="AE47:AE48"/>
    <mergeCell ref="AE56:AE57"/>
    <mergeCell ref="AE68:AE69"/>
    <mergeCell ref="AE76:AE77"/>
    <mergeCell ref="AH7:AH8"/>
    <mergeCell ref="AH20:AH21"/>
    <mergeCell ref="AH29:AH30"/>
    <mergeCell ref="AH40:AH41"/>
    <mergeCell ref="AH47:AH48"/>
    <mergeCell ref="AH56:AH57"/>
    <mergeCell ref="AH68:AH69"/>
    <mergeCell ref="AH76:AH77"/>
    <mergeCell ref="AG7:AG8"/>
    <mergeCell ref="AG20:AG21"/>
    <mergeCell ref="AG29:AG30"/>
    <mergeCell ref="AG40:AG41"/>
    <mergeCell ref="AG47:AG48"/>
    <mergeCell ref="AG56:AG57"/>
    <mergeCell ref="AG68:AG69"/>
    <mergeCell ref="AG76:AG77"/>
    <mergeCell ref="AU7:AU8"/>
    <mergeCell ref="AU20:AU21"/>
    <mergeCell ref="AU29:AU30"/>
    <mergeCell ref="AU40:AU41"/>
    <mergeCell ref="AU47:AU48"/>
    <mergeCell ref="AV68:AV69"/>
    <mergeCell ref="AP56:AP57"/>
    <mergeCell ref="AP68:AP69"/>
    <mergeCell ref="AP76:AP77"/>
    <mergeCell ref="AQ7:AQ8"/>
    <mergeCell ref="AQ20:AQ21"/>
    <mergeCell ref="AQ29:AQ30"/>
    <mergeCell ref="AQ40:AQ41"/>
    <mergeCell ref="AU56:AU57"/>
    <mergeCell ref="AV20:AV21"/>
    <mergeCell ref="AV7:AV8"/>
    <mergeCell ref="AV47:AV48"/>
    <mergeCell ref="AV40:AV41"/>
    <mergeCell ref="AR7:AR8"/>
    <mergeCell ref="AS7:AS8"/>
    <mergeCell ref="BB29:BB30"/>
    <mergeCell ref="BF29:BF30"/>
    <mergeCell ref="BC7:BC8"/>
    <mergeCell ref="BC47:BC48"/>
    <mergeCell ref="BE7:BE8"/>
    <mergeCell ref="BC29:BC30"/>
    <mergeCell ref="BE47:BE48"/>
    <mergeCell ref="AJ7:AJ8"/>
    <mergeCell ref="AJ20:AJ21"/>
    <mergeCell ref="AJ29:AJ30"/>
    <mergeCell ref="AJ40:AJ41"/>
    <mergeCell ref="AJ47:AJ48"/>
    <mergeCell ref="AT40:AT41"/>
    <mergeCell ref="AP29:AP30"/>
    <mergeCell ref="AP40:AP41"/>
    <mergeCell ref="AP47:AP48"/>
    <mergeCell ref="AM7:AM8"/>
    <mergeCell ref="AM20:AM21"/>
    <mergeCell ref="AM29:AM30"/>
    <mergeCell ref="AM40:AM41"/>
    <mergeCell ref="AM47:AM48"/>
    <mergeCell ref="AO7:AO8"/>
    <mergeCell ref="AO20:AO21"/>
    <mergeCell ref="AO29:AO30"/>
    <mergeCell ref="BH76:BH77"/>
    <mergeCell ref="BH68:BH69"/>
    <mergeCell ref="BG76:BG77"/>
    <mergeCell ref="BG68:BG69"/>
    <mergeCell ref="BD47:BD48"/>
    <mergeCell ref="BF47:BF48"/>
    <mergeCell ref="BH7:BH8"/>
    <mergeCell ref="BG7:BG8"/>
    <mergeCell ref="BH20:BH21"/>
    <mergeCell ref="BG20:BG21"/>
    <mergeCell ref="BH29:BH30"/>
    <mergeCell ref="BG29:BG30"/>
    <mergeCell ref="BG56:BG57"/>
    <mergeCell ref="BG47:BG48"/>
    <mergeCell ref="BG40:BG41"/>
    <mergeCell ref="BH40:BH41"/>
    <mergeCell ref="BH56:BH57"/>
    <mergeCell ref="BH47:BH48"/>
    <mergeCell ref="BF76:BF77"/>
    <mergeCell ref="BF68:BF69"/>
    <mergeCell ref="BE56:BE57"/>
    <mergeCell ref="BE76:BE77"/>
    <mergeCell ref="BD76:BD77"/>
    <mergeCell ref="BF7:BF8"/>
    <mergeCell ref="B68:B69"/>
    <mergeCell ref="AW68:AW69"/>
    <mergeCell ref="AX76:AX77"/>
    <mergeCell ref="AX68:AX69"/>
    <mergeCell ref="AY76:AY77"/>
    <mergeCell ref="B76:B77"/>
    <mergeCell ref="BD56:BD57"/>
    <mergeCell ref="BE68:BE69"/>
    <mergeCell ref="AY68:AY69"/>
    <mergeCell ref="BC76:BC77"/>
    <mergeCell ref="BA76:BA77"/>
    <mergeCell ref="BB76:BB77"/>
    <mergeCell ref="BB68:BB69"/>
    <mergeCell ref="BA68:BA69"/>
    <mergeCell ref="AX56:AX57"/>
    <mergeCell ref="AY56:AY57"/>
    <mergeCell ref="BB56:BB57"/>
    <mergeCell ref="BC56:BC57"/>
    <mergeCell ref="AZ76:AZ77"/>
    <mergeCell ref="AZ68:AZ69"/>
    <mergeCell ref="BC68:BC69"/>
    <mergeCell ref="BD68:BD69"/>
    <mergeCell ref="AV56:AV57"/>
    <mergeCell ref="AT68:AT69"/>
    <mergeCell ref="B7:B8"/>
    <mergeCell ref="B29:B30"/>
    <mergeCell ref="B20:B21"/>
    <mergeCell ref="B40:B41"/>
    <mergeCell ref="B47:B48"/>
    <mergeCell ref="B56:B57"/>
    <mergeCell ref="BF56:BF57"/>
    <mergeCell ref="AX29:AX30"/>
    <mergeCell ref="BC40:BC41"/>
    <mergeCell ref="AT7:AT8"/>
    <mergeCell ref="AT20:AT21"/>
    <mergeCell ref="AT29:AT30"/>
    <mergeCell ref="BF20:BF21"/>
    <mergeCell ref="BD7:BD8"/>
    <mergeCell ref="BF40:BF41"/>
    <mergeCell ref="BE40:BE41"/>
    <mergeCell ref="BD40:BD41"/>
    <mergeCell ref="AZ7:AZ8"/>
    <mergeCell ref="BB47:BB48"/>
    <mergeCell ref="BB40:BB41"/>
    <mergeCell ref="BD29:BD30"/>
    <mergeCell ref="AZ29:AZ30"/>
    <mergeCell ref="AP7:AP8"/>
    <mergeCell ref="AP20:AP21"/>
    <mergeCell ref="AN68:AN69"/>
    <mergeCell ref="AN76:AN77"/>
    <mergeCell ref="AW76:AW77"/>
    <mergeCell ref="AR20:AR21"/>
    <mergeCell ref="AR29:AR30"/>
    <mergeCell ref="AR40:AR41"/>
    <mergeCell ref="AR47:AR48"/>
    <mergeCell ref="AR56:AR57"/>
    <mergeCell ref="AR68:AR69"/>
    <mergeCell ref="AR76:AR77"/>
    <mergeCell ref="AS56:AS57"/>
    <mergeCell ref="AS68:AS69"/>
    <mergeCell ref="AS76:AS77"/>
    <mergeCell ref="AU68:AU69"/>
    <mergeCell ref="AU76:AU77"/>
    <mergeCell ref="AT76:AT77"/>
    <mergeCell ref="AV76:AV77"/>
    <mergeCell ref="AS47:AS48"/>
    <mergeCell ref="AS29:AS30"/>
    <mergeCell ref="AS20:AS21"/>
    <mergeCell ref="AI7:AI8"/>
    <mergeCell ref="AI20:AI21"/>
    <mergeCell ref="AI29:AI30"/>
    <mergeCell ref="AI40:AI41"/>
    <mergeCell ref="BA47:BA48"/>
    <mergeCell ref="BA29:BA30"/>
    <mergeCell ref="AO47:AO48"/>
    <mergeCell ref="AO56:AO57"/>
    <mergeCell ref="AO68:AO69"/>
    <mergeCell ref="AS40:AS41"/>
    <mergeCell ref="AT56:AT57"/>
    <mergeCell ref="AT47:AT48"/>
    <mergeCell ref="AV29:AV30"/>
    <mergeCell ref="AM56:AM57"/>
    <mergeCell ref="AM68:AM69"/>
    <mergeCell ref="AO40:AO41"/>
    <mergeCell ref="AI47:AI48"/>
    <mergeCell ref="AI56:AI57"/>
    <mergeCell ref="AZ40:AZ41"/>
    <mergeCell ref="AL7:AL8"/>
    <mergeCell ref="AL20:AL21"/>
    <mergeCell ref="AL29:AL30"/>
    <mergeCell ref="AL40:AL41"/>
    <mergeCell ref="AL47:AL48"/>
    <mergeCell ref="BD20:BD21"/>
    <mergeCell ref="AX7:AX8"/>
    <mergeCell ref="AJ56:AJ57"/>
    <mergeCell ref="AJ68:AJ69"/>
    <mergeCell ref="AJ76:AJ77"/>
    <mergeCell ref="AO76:AO77"/>
    <mergeCell ref="AM76:AM77"/>
    <mergeCell ref="AL56:AL57"/>
    <mergeCell ref="AL68:AL69"/>
    <mergeCell ref="AL76:AL77"/>
    <mergeCell ref="AK7:AK8"/>
    <mergeCell ref="AK20:AK21"/>
    <mergeCell ref="AK29:AK30"/>
    <mergeCell ref="AK40:AK41"/>
    <mergeCell ref="AK47:AK48"/>
    <mergeCell ref="AK56:AK57"/>
    <mergeCell ref="AK68:AK69"/>
    <mergeCell ref="AK76:AK77"/>
    <mergeCell ref="AN7:AN8"/>
    <mergeCell ref="AN20:AN21"/>
    <mergeCell ref="AN29:AN30"/>
    <mergeCell ref="AN40:AN41"/>
    <mergeCell ref="AN47:AN48"/>
    <mergeCell ref="AN56:AN57"/>
    <mergeCell ref="AY7:AY8"/>
    <mergeCell ref="BI56:BI57"/>
    <mergeCell ref="V68:V69"/>
    <mergeCell ref="BI68:BI69"/>
    <mergeCell ref="AY47:AY48"/>
    <mergeCell ref="AZ47:AZ48"/>
    <mergeCell ref="AX47:AX48"/>
    <mergeCell ref="AY40:AY41"/>
    <mergeCell ref="AX40:AX41"/>
    <mergeCell ref="AI68:AI69"/>
    <mergeCell ref="BI7:BI8"/>
    <mergeCell ref="V20:V21"/>
    <mergeCell ref="V29:V30"/>
    <mergeCell ref="V40:V41"/>
    <mergeCell ref="V47:V48"/>
    <mergeCell ref="BE20:BE21"/>
    <mergeCell ref="BC20:BC21"/>
    <mergeCell ref="BB20:BB21"/>
    <mergeCell ref="BA20:BA21"/>
    <mergeCell ref="AZ20:AZ21"/>
    <mergeCell ref="BA7:BA8"/>
    <mergeCell ref="BB7:BB8"/>
    <mergeCell ref="AW20:AW21"/>
    <mergeCell ref="AW7:AW8"/>
    <mergeCell ref="BI76:BI77"/>
    <mergeCell ref="BE29:BE30"/>
    <mergeCell ref="AX20:AX21"/>
    <mergeCell ref="AW29:AW30"/>
    <mergeCell ref="BA56:BA57"/>
    <mergeCell ref="AZ56:AZ57"/>
    <mergeCell ref="AW56:AW57"/>
    <mergeCell ref="AY29:AY30"/>
    <mergeCell ref="Y76:Y77"/>
    <mergeCell ref="Y68:Y69"/>
    <mergeCell ref="Y56:Y57"/>
    <mergeCell ref="Y47:Y48"/>
    <mergeCell ref="Y40:Y41"/>
    <mergeCell ref="Y29:Y30"/>
    <mergeCell ref="Y20:Y21"/>
    <mergeCell ref="AQ47:AQ48"/>
    <mergeCell ref="AQ56:AQ57"/>
    <mergeCell ref="AQ68:AQ69"/>
    <mergeCell ref="AQ76:AQ77"/>
    <mergeCell ref="BA40:BA41"/>
    <mergeCell ref="AW47:AW48"/>
    <mergeCell ref="AW40:AW41"/>
    <mergeCell ref="AI76:AI77"/>
    <mergeCell ref="AY20:AY21"/>
    <mergeCell ref="T76:T77"/>
    <mergeCell ref="U40:U41"/>
    <mergeCell ref="U47:U48"/>
    <mergeCell ref="U56:U57"/>
    <mergeCell ref="S7:S8"/>
    <mergeCell ref="S20:S21"/>
    <mergeCell ref="S29:S30"/>
    <mergeCell ref="S40:S41"/>
    <mergeCell ref="S47:S48"/>
    <mergeCell ref="S56:S57"/>
    <mergeCell ref="S68:S69"/>
    <mergeCell ref="S76:S77"/>
    <mergeCell ref="T40:T41"/>
    <mergeCell ref="T47:T48"/>
    <mergeCell ref="U76:U77"/>
    <mergeCell ref="R76:R77"/>
    <mergeCell ref="Q7:Q8"/>
    <mergeCell ref="Q20:Q21"/>
    <mergeCell ref="Q29:Q30"/>
    <mergeCell ref="Q40:Q41"/>
    <mergeCell ref="Q47:Q48"/>
    <mergeCell ref="Q56:Q57"/>
    <mergeCell ref="Q68:Q69"/>
    <mergeCell ref="Q76:Q77"/>
    <mergeCell ref="M76:M77"/>
    <mergeCell ref="N7:N8"/>
    <mergeCell ref="N20:N21"/>
    <mergeCell ref="N29:N30"/>
    <mergeCell ref="N40:N41"/>
    <mergeCell ref="N47:N48"/>
    <mergeCell ref="P76:P77"/>
    <mergeCell ref="O7:O8"/>
    <mergeCell ref="O20:O21"/>
    <mergeCell ref="O29:O30"/>
    <mergeCell ref="O40:O41"/>
    <mergeCell ref="O47:O48"/>
    <mergeCell ref="O56:O57"/>
    <mergeCell ref="O68:O69"/>
    <mergeCell ref="O76:O77"/>
    <mergeCell ref="J76:J77"/>
    <mergeCell ref="K7:K8"/>
    <mergeCell ref="K29:K30"/>
    <mergeCell ref="K40:K41"/>
    <mergeCell ref="K47:K48"/>
    <mergeCell ref="K56:K57"/>
    <mergeCell ref="K68:K69"/>
    <mergeCell ref="N76:N77"/>
    <mergeCell ref="L7:L8"/>
    <mergeCell ref="L20:L21"/>
    <mergeCell ref="L29:L30"/>
    <mergeCell ref="L40:L41"/>
    <mergeCell ref="L47:L48"/>
    <mergeCell ref="L56:L57"/>
    <mergeCell ref="L68:L69"/>
    <mergeCell ref="L76:L77"/>
    <mergeCell ref="N56:N57"/>
    <mergeCell ref="M7:M8"/>
    <mergeCell ref="M20:M21"/>
    <mergeCell ref="M29:M30"/>
    <mergeCell ref="M40:M41"/>
    <mergeCell ref="M47:M48"/>
    <mergeCell ref="M56:M57"/>
    <mergeCell ref="M68:M69"/>
    <mergeCell ref="E7:E8"/>
    <mergeCell ref="E20:E21"/>
    <mergeCell ref="E29:E30"/>
    <mergeCell ref="E40:E41"/>
    <mergeCell ref="E47:E48"/>
    <mergeCell ref="E56:E57"/>
    <mergeCell ref="E68:E69"/>
    <mergeCell ref="E76:E77"/>
    <mergeCell ref="K76:K77"/>
    <mergeCell ref="I7:I8"/>
    <mergeCell ref="I20:I21"/>
    <mergeCell ref="I29:I30"/>
    <mergeCell ref="I40:I41"/>
    <mergeCell ref="I47:I48"/>
    <mergeCell ref="I56:I57"/>
    <mergeCell ref="I68:I69"/>
    <mergeCell ref="I76:I77"/>
    <mergeCell ref="J7:J8"/>
    <mergeCell ref="J20:J21"/>
    <mergeCell ref="J29:J30"/>
    <mergeCell ref="J40:J41"/>
    <mergeCell ref="J47:J48"/>
    <mergeCell ref="J56:J57"/>
    <mergeCell ref="J68:J69"/>
    <mergeCell ref="C7:C8"/>
    <mergeCell ref="C20:C21"/>
    <mergeCell ref="C29:C30"/>
    <mergeCell ref="C40:C41"/>
    <mergeCell ref="C47:C48"/>
    <mergeCell ref="C56:C57"/>
    <mergeCell ref="C68:C69"/>
    <mergeCell ref="C76:C77"/>
    <mergeCell ref="D7:D8"/>
    <mergeCell ref="D20:D21"/>
    <mergeCell ref="D29:D30"/>
    <mergeCell ref="D40:D41"/>
    <mergeCell ref="D47:D48"/>
    <mergeCell ref="D56:D57"/>
    <mergeCell ref="D68:D69"/>
    <mergeCell ref="D76:D77"/>
  </mergeCells>
  <phoneticPr fontId="14" type="noConversion"/>
  <hyperlinks>
    <hyperlink ref="C5" location="Contents!A1" display="Contents!A1"/>
    <hyperlink ref="E5" location="'Assets and Liabili-s structure'!A1" display="Assets and Liabilities structure"/>
    <hyperlink ref="F5" location="'Loan Portfolio IFRS 9'!A1" display="Loan portfolio"/>
    <hyperlink ref="G5" location="'Customer Deposits'!A1" display="Customer deposits"/>
    <hyperlink ref="H5" location="Capital!A1" display="Capital"/>
    <hyperlink ref="I5" location="'Income and Expenses structure'!A1" display="Income and Expenses structure"/>
  </hyperlinks>
  <pageMargins left="0.25" right="0.25" top="0.75" bottom="0.75" header="0.3" footer="0.3"/>
  <pageSetup paperSize="9" scale="21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W95"/>
  <sheetViews>
    <sheetView showGridLines="0" zoomScale="90" zoomScaleNormal="90" workbookViewId="0">
      <pane ySplit="5" topLeftCell="A6" activePane="bottomLeft" state="frozen"/>
      <selection activeCell="A5" sqref="A5:XFD5"/>
      <selection pane="bottomLeft"/>
    </sheetView>
  </sheetViews>
  <sheetFormatPr defaultColWidth="9.140625" defaultRowHeight="15" x14ac:dyDescent="0.25"/>
  <cols>
    <col min="1" max="1" width="5.7109375" style="1" customWidth="1"/>
    <col min="2" max="2" width="56.28515625" style="1" customWidth="1"/>
    <col min="3" max="5" width="8.7109375" style="1" customWidth="1"/>
    <col min="6" max="43" width="16.7109375" style="1" customWidth="1"/>
    <col min="44" max="54" width="9.140625" style="1" customWidth="1"/>
    <col min="55" max="16384" width="9.140625" style="1"/>
  </cols>
  <sheetData>
    <row r="1" spans="1:153" ht="22.5" customHeight="1" x14ac:dyDescent="0.25">
      <c r="A1" s="307">
        <v>1</v>
      </c>
      <c r="B1" s="358">
        <v>2</v>
      </c>
      <c r="C1" s="359">
        <v>3</v>
      </c>
      <c r="D1" s="358">
        <v>4</v>
      </c>
      <c r="E1" s="359">
        <v>5</v>
      </c>
      <c r="F1" s="358">
        <v>6</v>
      </c>
      <c r="G1" s="359">
        <v>7</v>
      </c>
      <c r="H1" s="358">
        <v>8</v>
      </c>
      <c r="I1" s="359">
        <v>9</v>
      </c>
      <c r="J1" s="358">
        <v>10</v>
      </c>
      <c r="K1" s="359">
        <v>11</v>
      </c>
      <c r="L1" s="358">
        <v>12</v>
      </c>
      <c r="M1" s="359">
        <v>13</v>
      </c>
      <c r="N1" s="358">
        <v>14</v>
      </c>
      <c r="O1" s="359">
        <v>15</v>
      </c>
      <c r="P1" s="358">
        <v>16</v>
      </c>
      <c r="Q1" s="359">
        <v>17</v>
      </c>
      <c r="R1" s="358">
        <v>18</v>
      </c>
      <c r="S1" s="359">
        <v>19</v>
      </c>
      <c r="T1" s="358">
        <v>20</v>
      </c>
      <c r="U1" s="359">
        <v>21</v>
      </c>
      <c r="V1" s="358">
        <v>22</v>
      </c>
      <c r="W1" s="359">
        <v>23</v>
      </c>
      <c r="X1" s="358">
        <v>24</v>
      </c>
      <c r="Y1" s="359">
        <v>25</v>
      </c>
      <c r="Z1" s="358">
        <v>26</v>
      </c>
      <c r="AA1" s="359">
        <v>27</v>
      </c>
      <c r="AB1" s="358">
        <v>28</v>
      </c>
      <c r="AC1" s="359">
        <v>29</v>
      </c>
      <c r="AD1" s="358">
        <v>30</v>
      </c>
      <c r="AE1" s="359">
        <v>31</v>
      </c>
      <c r="AF1" s="358">
        <v>32</v>
      </c>
      <c r="AG1" s="359">
        <v>33</v>
      </c>
      <c r="AH1" s="358">
        <v>34</v>
      </c>
      <c r="AI1" s="359">
        <v>35</v>
      </c>
      <c r="AJ1" s="358">
        <v>36</v>
      </c>
      <c r="AK1" s="359">
        <v>37</v>
      </c>
      <c r="AL1" s="358">
        <v>38</v>
      </c>
      <c r="AM1" s="359">
        <v>39</v>
      </c>
      <c r="AN1" s="358">
        <v>40</v>
      </c>
      <c r="AO1" s="359">
        <v>41</v>
      </c>
      <c r="AP1" s="358">
        <v>42</v>
      </c>
      <c r="AQ1" s="359">
        <v>43</v>
      </c>
      <c r="AR1" s="358">
        <v>44</v>
      </c>
      <c r="AS1" s="359">
        <v>45</v>
      </c>
      <c r="AT1" s="358">
        <v>46</v>
      </c>
      <c r="AU1" s="359">
        <v>47</v>
      </c>
      <c r="AV1" s="358">
        <v>48</v>
      </c>
      <c r="AW1" s="359">
        <v>49</v>
      </c>
      <c r="AX1" s="358">
        <v>50</v>
      </c>
      <c r="AY1" s="359">
        <v>51</v>
      </c>
      <c r="AZ1" s="358">
        <v>52</v>
      </c>
      <c r="BA1" s="359">
        <v>53</v>
      </c>
      <c r="BB1" s="358">
        <v>54</v>
      </c>
      <c r="BC1" s="359">
        <v>55</v>
      </c>
      <c r="BD1" s="358">
        <v>56</v>
      </c>
      <c r="BE1" s="359">
        <v>57</v>
      </c>
      <c r="BF1" s="358">
        <v>58</v>
      </c>
      <c r="BG1" s="359">
        <v>59</v>
      </c>
      <c r="BH1" s="358">
        <v>60</v>
      </c>
      <c r="BI1" s="359">
        <v>61</v>
      </c>
      <c r="BJ1" s="358">
        <v>62</v>
      </c>
      <c r="BK1" s="359">
        <v>63</v>
      </c>
      <c r="BL1" s="358">
        <v>64</v>
      </c>
      <c r="BM1" s="359">
        <v>65</v>
      </c>
      <c r="BN1" s="358">
        <v>66</v>
      </c>
      <c r="BO1" s="359">
        <v>67</v>
      </c>
      <c r="BP1" s="358">
        <v>68</v>
      </c>
      <c r="BQ1" s="359">
        <v>69</v>
      </c>
      <c r="BR1" s="358">
        <v>70</v>
      </c>
      <c r="BS1" s="359">
        <v>71</v>
      </c>
      <c r="BT1" s="358">
        <v>72</v>
      </c>
      <c r="BU1" s="359">
        <v>73</v>
      </c>
      <c r="BV1" s="358">
        <v>74</v>
      </c>
      <c r="BW1" s="359">
        <v>75</v>
      </c>
      <c r="BX1" s="358">
        <v>76</v>
      </c>
      <c r="BY1" s="359">
        <v>77</v>
      </c>
      <c r="BZ1" s="358">
        <v>78</v>
      </c>
      <c r="CA1" s="359">
        <v>79</v>
      </c>
      <c r="CB1" s="358">
        <v>80</v>
      </c>
      <c r="CC1" s="359">
        <v>81</v>
      </c>
      <c r="CD1" s="358">
        <v>82</v>
      </c>
      <c r="CE1" s="359">
        <v>83</v>
      </c>
      <c r="CF1" s="358">
        <v>84</v>
      </c>
      <c r="CG1" s="359">
        <v>85</v>
      </c>
      <c r="CH1" s="358">
        <v>86</v>
      </c>
      <c r="CI1" s="359">
        <v>87</v>
      </c>
      <c r="CJ1" s="358">
        <v>88</v>
      </c>
      <c r="CK1" s="359">
        <v>89</v>
      </c>
      <c r="CL1" s="358">
        <v>90</v>
      </c>
      <c r="CM1" s="359">
        <v>91</v>
      </c>
      <c r="CN1" s="358">
        <v>92</v>
      </c>
      <c r="CO1" s="359">
        <v>93</v>
      </c>
      <c r="CP1" s="358">
        <v>94</v>
      </c>
      <c r="CQ1" s="359">
        <v>95</v>
      </c>
      <c r="CR1" s="358">
        <v>96</v>
      </c>
      <c r="CS1" s="359">
        <v>97</v>
      </c>
      <c r="CT1" s="358">
        <v>98</v>
      </c>
      <c r="CU1" s="359">
        <v>99</v>
      </c>
      <c r="CV1" s="358">
        <v>100</v>
      </c>
      <c r="CW1" s="359">
        <v>101</v>
      </c>
      <c r="CX1" s="358">
        <v>102</v>
      </c>
      <c r="CY1" s="359">
        <v>103</v>
      </c>
      <c r="CZ1" s="358">
        <v>104</v>
      </c>
      <c r="DA1" s="359">
        <v>105</v>
      </c>
      <c r="DB1" s="358">
        <v>106</v>
      </c>
      <c r="DC1" s="359">
        <v>107</v>
      </c>
      <c r="DD1" s="358">
        <v>108</v>
      </c>
      <c r="DE1" s="359">
        <v>109</v>
      </c>
      <c r="DF1" s="358">
        <v>110</v>
      </c>
      <c r="DG1" s="359">
        <v>111</v>
      </c>
      <c r="DH1" s="358">
        <v>112</v>
      </c>
      <c r="DI1" s="359">
        <v>113</v>
      </c>
      <c r="DJ1" s="358">
        <v>114</v>
      </c>
      <c r="DK1" s="359">
        <v>115</v>
      </c>
      <c r="DL1" s="358">
        <v>116</v>
      </c>
      <c r="DM1" s="359">
        <v>117</v>
      </c>
      <c r="DN1" s="358">
        <v>118</v>
      </c>
      <c r="DO1" s="359">
        <v>119</v>
      </c>
      <c r="DP1" s="358">
        <v>120</v>
      </c>
      <c r="DQ1" s="359">
        <v>121</v>
      </c>
      <c r="DR1" s="358">
        <v>122</v>
      </c>
      <c r="DS1" s="359">
        <v>123</v>
      </c>
      <c r="DT1" s="358">
        <v>124</v>
      </c>
      <c r="DU1" s="359">
        <v>125</v>
      </c>
      <c r="DV1" s="358">
        <v>126</v>
      </c>
      <c r="DW1" s="359">
        <v>127</v>
      </c>
      <c r="DX1" s="358">
        <v>128</v>
      </c>
      <c r="DY1" s="359">
        <v>129</v>
      </c>
      <c r="DZ1" s="358">
        <v>130</v>
      </c>
      <c r="EA1" s="359">
        <v>131</v>
      </c>
      <c r="EB1" s="358">
        <v>132</v>
      </c>
      <c r="EC1" s="359">
        <v>133</v>
      </c>
      <c r="ED1" s="358">
        <v>134</v>
      </c>
      <c r="EE1" s="359">
        <v>135</v>
      </c>
      <c r="EF1" s="358">
        <v>136</v>
      </c>
      <c r="EG1" s="359">
        <v>137</v>
      </c>
      <c r="EH1" s="358">
        <v>138</v>
      </c>
      <c r="EI1" s="359">
        <v>139</v>
      </c>
      <c r="EJ1" s="358">
        <v>140</v>
      </c>
      <c r="EK1" s="359">
        <v>141</v>
      </c>
      <c r="EL1" s="358">
        <v>142</v>
      </c>
      <c r="EM1" s="359">
        <v>143</v>
      </c>
      <c r="EN1" s="358">
        <v>144</v>
      </c>
      <c r="EO1" s="359">
        <v>145</v>
      </c>
      <c r="EP1" s="358">
        <v>146</v>
      </c>
      <c r="EQ1" s="359">
        <v>147</v>
      </c>
      <c r="ER1" s="358">
        <v>148</v>
      </c>
      <c r="ES1" s="359">
        <v>149</v>
      </c>
      <c r="ET1" s="358">
        <v>150</v>
      </c>
      <c r="EU1" s="359">
        <v>151</v>
      </c>
      <c r="EV1" s="358">
        <v>152</v>
      </c>
      <c r="EW1" s="359">
        <v>153</v>
      </c>
    </row>
    <row r="2" spans="1:153" x14ac:dyDescent="0.25">
      <c r="A2" s="72">
        <v>2</v>
      </c>
      <c r="M2" s="25"/>
    </row>
    <row r="3" spans="1:153" x14ac:dyDescent="0.25">
      <c r="A3" s="72">
        <v>3</v>
      </c>
    </row>
    <row r="4" spans="1:153" x14ac:dyDescent="0.25">
      <c r="A4" s="72">
        <v>4</v>
      </c>
      <c r="C4" s="6"/>
      <c r="D4" s="6"/>
    </row>
    <row r="5" spans="1:153" ht="51" customHeight="1" thickBot="1" x14ac:dyDescent="0.3">
      <c r="A5" s="72">
        <v>5</v>
      </c>
      <c r="B5" s="117" t="s">
        <v>53</v>
      </c>
      <c r="C5" s="433" t="s">
        <v>3</v>
      </c>
      <c r="D5" s="433"/>
      <c r="E5" s="433"/>
      <c r="F5" s="113" t="s">
        <v>0</v>
      </c>
      <c r="G5" s="114" t="s">
        <v>53</v>
      </c>
      <c r="H5" s="115" t="s">
        <v>56</v>
      </c>
      <c r="I5" s="115" t="s">
        <v>1</v>
      </c>
      <c r="J5" s="115" t="s">
        <v>2</v>
      </c>
      <c r="K5" s="116" t="s">
        <v>63</v>
      </c>
      <c r="M5" s="39"/>
      <c r="N5" s="39"/>
      <c r="O5" s="39"/>
    </row>
    <row r="6" spans="1:153" ht="15.75" thickTop="1" x14ac:dyDescent="0.25">
      <c r="A6" s="72">
        <v>6</v>
      </c>
      <c r="B6" s="60"/>
    </row>
    <row r="7" spans="1:153" ht="15.75" customHeight="1" x14ac:dyDescent="0.25">
      <c r="A7" s="72">
        <v>7</v>
      </c>
      <c r="B7" s="431" t="s">
        <v>264</v>
      </c>
      <c r="C7" s="436" t="s">
        <v>64</v>
      </c>
      <c r="D7" s="434" t="s">
        <v>265</v>
      </c>
      <c r="E7" s="434" t="s">
        <v>79</v>
      </c>
      <c r="F7" s="416">
        <v>45930</v>
      </c>
      <c r="G7" s="416">
        <v>45838</v>
      </c>
      <c r="H7" s="416">
        <v>45747</v>
      </c>
      <c r="I7" s="416">
        <v>45657</v>
      </c>
      <c r="J7" s="416">
        <v>45565</v>
      </c>
      <c r="K7" s="416">
        <v>45473</v>
      </c>
      <c r="L7" s="416">
        <v>45382</v>
      </c>
      <c r="M7" s="416">
        <v>45291</v>
      </c>
      <c r="N7" s="416">
        <v>45199</v>
      </c>
      <c r="O7" s="416">
        <v>45107</v>
      </c>
      <c r="P7" s="416">
        <v>45016</v>
      </c>
      <c r="Q7" s="416">
        <v>44926</v>
      </c>
      <c r="R7" s="416">
        <v>44834</v>
      </c>
      <c r="S7" s="416">
        <v>44742</v>
      </c>
      <c r="T7" s="416">
        <v>44651</v>
      </c>
      <c r="U7" s="416">
        <v>44561</v>
      </c>
      <c r="V7" s="416">
        <v>44469</v>
      </c>
      <c r="W7" s="416">
        <v>44377</v>
      </c>
      <c r="X7" s="416">
        <v>44286</v>
      </c>
      <c r="Y7" s="416">
        <v>44196</v>
      </c>
      <c r="Z7" s="416">
        <v>44104</v>
      </c>
      <c r="AA7" s="416">
        <v>44012</v>
      </c>
      <c r="AB7" s="416">
        <v>43921</v>
      </c>
      <c r="AC7" s="416">
        <v>43830</v>
      </c>
      <c r="AD7" s="416">
        <v>43738</v>
      </c>
      <c r="AE7" s="416">
        <v>43646</v>
      </c>
      <c r="AF7" s="416">
        <v>43555</v>
      </c>
      <c r="AG7" s="416">
        <v>43465</v>
      </c>
      <c r="AH7" s="416">
        <v>43373</v>
      </c>
      <c r="AI7" s="416">
        <v>43281</v>
      </c>
      <c r="AJ7" s="416">
        <v>43190</v>
      </c>
      <c r="AK7" s="416">
        <v>43100</v>
      </c>
      <c r="AL7" s="416">
        <v>43008</v>
      </c>
      <c r="AM7" s="416">
        <v>42916</v>
      </c>
      <c r="AN7" s="416">
        <v>42825</v>
      </c>
      <c r="AO7" s="416">
        <v>42735</v>
      </c>
      <c r="AP7" s="416">
        <v>42643</v>
      </c>
      <c r="AQ7" s="416">
        <v>42551</v>
      </c>
      <c r="AR7" s="416">
        <v>42460</v>
      </c>
      <c r="AS7" s="416">
        <v>42369</v>
      </c>
      <c r="AT7" s="416">
        <v>42277</v>
      </c>
      <c r="AU7" s="416">
        <v>42185</v>
      </c>
      <c r="AV7" s="416">
        <v>42094</v>
      </c>
      <c r="AW7" s="416">
        <v>42004</v>
      </c>
      <c r="AX7" s="416">
        <v>41912</v>
      </c>
      <c r="AY7" s="429">
        <v>41820</v>
      </c>
      <c r="AZ7" s="429">
        <v>41729</v>
      </c>
      <c r="BA7" s="416">
        <v>41639</v>
      </c>
      <c r="BB7" s="416">
        <v>41547</v>
      </c>
      <c r="BC7" s="416">
        <v>41455</v>
      </c>
      <c r="BD7" s="416">
        <v>41364</v>
      </c>
      <c r="BE7" s="416">
        <v>41274</v>
      </c>
      <c r="BF7" s="416">
        <v>41182</v>
      </c>
      <c r="BG7" s="416">
        <v>41090</v>
      </c>
      <c r="BH7" s="416">
        <v>40999</v>
      </c>
      <c r="BI7" s="416">
        <v>40908</v>
      </c>
      <c r="BJ7" s="416">
        <v>40816</v>
      </c>
      <c r="BK7" s="416">
        <v>40724</v>
      </c>
      <c r="BL7" s="416">
        <v>40633</v>
      </c>
      <c r="BM7" s="1">
        <v>40543</v>
      </c>
      <c r="BN7" s="1">
        <v>40451</v>
      </c>
      <c r="BO7" s="1">
        <v>40359</v>
      </c>
      <c r="BP7" s="1">
        <v>40268</v>
      </c>
      <c r="BQ7" s="1">
        <v>40178</v>
      </c>
      <c r="BR7" s="1" t="s">
        <v>121</v>
      </c>
      <c r="BS7" s="1" t="s">
        <v>121</v>
      </c>
      <c r="BT7" s="1" t="s">
        <v>121</v>
      </c>
      <c r="BU7" s="1" t="s">
        <v>121</v>
      </c>
      <c r="BV7" s="1" t="s">
        <v>121</v>
      </c>
      <c r="BW7" s="1" t="s">
        <v>121</v>
      </c>
      <c r="BX7" s="1" t="s">
        <v>121</v>
      </c>
      <c r="BY7" s="1" t="s">
        <v>121</v>
      </c>
      <c r="BZ7" s="1" t="s">
        <v>121</v>
      </c>
      <c r="CA7" s="1" t="s">
        <v>121</v>
      </c>
      <c r="CB7" s="1" t="s">
        <v>121</v>
      </c>
      <c r="CC7" s="1" t="s">
        <v>121</v>
      </c>
      <c r="CD7" s="1" t="s">
        <v>121</v>
      </c>
      <c r="CE7" s="1" t="s">
        <v>121</v>
      </c>
      <c r="CF7" s="1" t="s">
        <v>121</v>
      </c>
      <c r="CG7" s="1" t="s">
        <v>121</v>
      </c>
      <c r="CH7" s="1" t="s">
        <v>121</v>
      </c>
      <c r="CI7" s="1" t="s">
        <v>121</v>
      </c>
      <c r="CJ7" s="1" t="s">
        <v>121</v>
      </c>
      <c r="CK7" s="1" t="s">
        <v>121</v>
      </c>
      <c r="CL7" s="1" t="s">
        <v>121</v>
      </c>
      <c r="CM7" s="1" t="s">
        <v>121</v>
      </c>
      <c r="CN7" s="1" t="s">
        <v>121</v>
      </c>
      <c r="CO7" s="1" t="s">
        <v>121</v>
      </c>
      <c r="CP7" s="1" t="s">
        <v>121</v>
      </c>
      <c r="CQ7" s="1" t="s">
        <v>121</v>
      </c>
      <c r="CR7" s="1" t="s">
        <v>121</v>
      </c>
      <c r="CS7" s="1" t="s">
        <v>121</v>
      </c>
      <c r="CT7" s="1" t="s">
        <v>121</v>
      </c>
      <c r="CU7" s="1" t="s">
        <v>121</v>
      </c>
      <c r="CV7" s="1" t="s">
        <v>121</v>
      </c>
      <c r="CW7" s="1" t="s">
        <v>121</v>
      </c>
      <c r="CX7" s="1" t="s">
        <v>121</v>
      </c>
      <c r="CY7" s="1" t="s">
        <v>121</v>
      </c>
      <c r="CZ7" s="1" t="s">
        <v>121</v>
      </c>
      <c r="DA7" s="1" t="s">
        <v>121</v>
      </c>
      <c r="DB7" s="1" t="s">
        <v>121</v>
      </c>
      <c r="DC7" s="1" t="s">
        <v>121</v>
      </c>
      <c r="DD7" s="1" t="s">
        <v>121</v>
      </c>
      <c r="DE7" s="1" t="s">
        <v>121</v>
      </c>
      <c r="DF7" s="1" t="s">
        <v>121</v>
      </c>
      <c r="DG7" s="1" t="s">
        <v>121</v>
      </c>
      <c r="DH7" s="1" t="s">
        <v>121</v>
      </c>
      <c r="DI7" s="1" t="s">
        <v>121</v>
      </c>
      <c r="DJ7" s="1" t="s">
        <v>121</v>
      </c>
      <c r="DK7" s="1" t="s">
        <v>121</v>
      </c>
      <c r="DL7" s="1" t="s">
        <v>121</v>
      </c>
      <c r="DM7" s="1" t="s">
        <v>121</v>
      </c>
      <c r="DN7" s="1" t="s">
        <v>121</v>
      </c>
      <c r="DO7" s="1" t="s">
        <v>121</v>
      </c>
      <c r="DP7" s="1" t="s">
        <v>121</v>
      </c>
      <c r="DQ7" s="1" t="s">
        <v>121</v>
      </c>
      <c r="DR7" s="1" t="s">
        <v>121</v>
      </c>
      <c r="DS7" s="1" t="s">
        <v>121</v>
      </c>
      <c r="DT7" s="1" t="s">
        <v>121</v>
      </c>
      <c r="DU7" s="1" t="s">
        <v>121</v>
      </c>
      <c r="DV7" s="1" t="s">
        <v>121</v>
      </c>
      <c r="DW7" s="1" t="s">
        <v>121</v>
      </c>
      <c r="DX7" s="1" t="s">
        <v>121</v>
      </c>
      <c r="DY7" s="1" t="s">
        <v>121</v>
      </c>
      <c r="DZ7" s="1" t="s">
        <v>121</v>
      </c>
      <c r="EA7" s="1" t="s">
        <v>121</v>
      </c>
      <c r="EB7" s="1" t="s">
        <v>121</v>
      </c>
      <c r="EC7" s="1" t="s">
        <v>121</v>
      </c>
      <c r="ED7" s="1" t="s">
        <v>121</v>
      </c>
      <c r="EE7" s="1" t="s">
        <v>121</v>
      </c>
      <c r="EF7" s="1" t="s">
        <v>121</v>
      </c>
      <c r="EG7" s="1" t="s">
        <v>121</v>
      </c>
      <c r="EH7" s="1" t="s">
        <v>121</v>
      </c>
      <c r="EI7" s="1" t="s">
        <v>121</v>
      </c>
      <c r="EJ7" s="1" t="s">
        <v>121</v>
      </c>
      <c r="EK7" s="1" t="s">
        <v>121</v>
      </c>
    </row>
    <row r="8" spans="1:153" ht="15.75" customHeight="1" x14ac:dyDescent="0.25">
      <c r="A8" s="72">
        <v>8</v>
      </c>
      <c r="B8" s="432"/>
      <c r="C8" s="437"/>
      <c r="D8" s="435"/>
      <c r="E8" s="444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8"/>
      <c r="V8" s="417"/>
      <c r="W8" s="418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417"/>
      <c r="AN8" s="417"/>
      <c r="AO8" s="417"/>
      <c r="AP8" s="417"/>
      <c r="AQ8" s="417"/>
      <c r="AR8" s="417"/>
      <c r="AS8" s="417"/>
      <c r="AT8" s="417"/>
      <c r="AU8" s="417"/>
      <c r="AV8" s="417"/>
      <c r="AW8" s="417"/>
      <c r="AX8" s="417"/>
      <c r="AY8" s="430"/>
      <c r="AZ8" s="430"/>
      <c r="BA8" s="417"/>
      <c r="BB8" s="417"/>
      <c r="BC8" s="417"/>
      <c r="BD8" s="417"/>
      <c r="BE8" s="417"/>
      <c r="BF8" s="417"/>
      <c r="BG8" s="417"/>
      <c r="BH8" s="417"/>
      <c r="BI8" s="417"/>
      <c r="BJ8" s="417"/>
      <c r="BK8" s="417"/>
      <c r="BL8" s="417"/>
    </row>
    <row r="9" spans="1:153" ht="9.75" customHeight="1" x14ac:dyDescent="0.25">
      <c r="A9" s="72">
        <v>9</v>
      </c>
      <c r="B9" s="8" t="s">
        <v>4</v>
      </c>
      <c r="C9" s="87" t="s">
        <v>121</v>
      </c>
      <c r="D9" s="261" t="s">
        <v>121</v>
      </c>
      <c r="E9" s="88" t="s">
        <v>121</v>
      </c>
      <c r="F9" s="56" t="s">
        <v>121</v>
      </c>
      <c r="G9" s="56" t="s">
        <v>121</v>
      </c>
      <c r="H9" s="56" t="s">
        <v>121</v>
      </c>
      <c r="I9" s="56" t="s">
        <v>121</v>
      </c>
      <c r="J9" s="56" t="s">
        <v>121</v>
      </c>
      <c r="K9" s="56" t="s">
        <v>121</v>
      </c>
      <c r="L9" s="56" t="s">
        <v>121</v>
      </c>
      <c r="M9" s="56" t="s">
        <v>121</v>
      </c>
      <c r="N9" s="56" t="s">
        <v>121</v>
      </c>
      <c r="O9" s="56" t="s">
        <v>121</v>
      </c>
      <c r="P9" s="56" t="s">
        <v>121</v>
      </c>
      <c r="Q9" s="56" t="s">
        <v>121</v>
      </c>
      <c r="R9" s="56" t="s">
        <v>121</v>
      </c>
      <c r="S9" s="56" t="s">
        <v>121</v>
      </c>
      <c r="T9" s="56" t="s">
        <v>121</v>
      </c>
      <c r="U9" s="56" t="s">
        <v>121</v>
      </c>
      <c r="V9" s="56" t="s">
        <v>121</v>
      </c>
      <c r="W9" s="56" t="s">
        <v>121</v>
      </c>
      <c r="X9" s="56" t="s">
        <v>121</v>
      </c>
      <c r="Y9" s="56" t="s">
        <v>121</v>
      </c>
      <c r="Z9" s="56" t="s">
        <v>121</v>
      </c>
      <c r="AA9" s="56" t="s">
        <v>121</v>
      </c>
      <c r="AB9" s="56" t="s">
        <v>121</v>
      </c>
      <c r="AC9" s="56" t="s">
        <v>121</v>
      </c>
      <c r="AD9" s="56" t="s">
        <v>121</v>
      </c>
      <c r="AE9" s="56" t="s">
        <v>121</v>
      </c>
      <c r="AF9" s="56" t="s">
        <v>121</v>
      </c>
      <c r="AG9" s="56" t="s">
        <v>121</v>
      </c>
      <c r="AH9" s="56" t="s">
        <v>121</v>
      </c>
      <c r="AI9" s="56" t="s">
        <v>121</v>
      </c>
      <c r="AJ9" s="56" t="s">
        <v>121</v>
      </c>
      <c r="AK9" s="56" t="s">
        <v>121</v>
      </c>
      <c r="AL9" s="56" t="s">
        <v>121</v>
      </c>
      <c r="AM9" s="56" t="s">
        <v>121</v>
      </c>
      <c r="AN9" s="56" t="s">
        <v>121</v>
      </c>
      <c r="AO9" s="56" t="s">
        <v>121</v>
      </c>
      <c r="AP9" s="56" t="s">
        <v>121</v>
      </c>
      <c r="AQ9" s="56" t="s">
        <v>121</v>
      </c>
      <c r="AR9" s="56" t="s">
        <v>121</v>
      </c>
      <c r="AS9" s="56" t="s">
        <v>121</v>
      </c>
      <c r="AT9" s="56" t="s">
        <v>121</v>
      </c>
      <c r="AU9" s="56" t="s">
        <v>121</v>
      </c>
      <c r="AV9" s="56" t="s">
        <v>121</v>
      </c>
      <c r="AW9" s="56" t="s">
        <v>121</v>
      </c>
      <c r="AX9" s="56" t="s">
        <v>121</v>
      </c>
      <c r="AY9" s="56" t="s">
        <v>121</v>
      </c>
      <c r="AZ9" s="8" t="s">
        <v>121</v>
      </c>
      <c r="BA9" s="1" t="s">
        <v>121</v>
      </c>
      <c r="BB9" s="1" t="s">
        <v>121</v>
      </c>
      <c r="BC9" s="1" t="s">
        <v>121</v>
      </c>
      <c r="BD9" s="1" t="s">
        <v>121</v>
      </c>
      <c r="BE9" s="1" t="s">
        <v>121</v>
      </c>
      <c r="BF9" s="1" t="s">
        <v>121</v>
      </c>
      <c r="BG9" s="1" t="s">
        <v>121</v>
      </c>
      <c r="BH9" s="1" t="s">
        <v>121</v>
      </c>
      <c r="BI9" s="1" t="s">
        <v>121</v>
      </c>
      <c r="BJ9" s="1" t="s">
        <v>121</v>
      </c>
      <c r="BK9" s="1" t="s">
        <v>121</v>
      </c>
      <c r="BL9" s="1" t="s">
        <v>121</v>
      </c>
      <c r="BM9" s="1" t="s">
        <v>121</v>
      </c>
      <c r="BN9" s="1" t="s">
        <v>121</v>
      </c>
      <c r="BO9" s="1" t="s">
        <v>121</v>
      </c>
      <c r="BP9" s="1" t="s">
        <v>121</v>
      </c>
      <c r="BQ9" s="1" t="s">
        <v>121</v>
      </c>
      <c r="BR9" s="1" t="s">
        <v>121</v>
      </c>
      <c r="BS9" s="1" t="s">
        <v>121</v>
      </c>
      <c r="BT9" s="1" t="s">
        <v>121</v>
      </c>
      <c r="BU9" s="1" t="s">
        <v>121</v>
      </c>
      <c r="BV9" s="1" t="s">
        <v>121</v>
      </c>
      <c r="BW9" s="1" t="s">
        <v>121</v>
      </c>
      <c r="BX9" s="1" t="s">
        <v>121</v>
      </c>
      <c r="BY9" s="1" t="s">
        <v>121</v>
      </c>
      <c r="BZ9" s="1" t="s">
        <v>121</v>
      </c>
      <c r="CA9" s="1" t="s">
        <v>121</v>
      </c>
      <c r="CB9" s="1" t="s">
        <v>121</v>
      </c>
      <c r="CC9" s="1" t="s">
        <v>121</v>
      </c>
      <c r="CD9" s="1" t="s">
        <v>121</v>
      </c>
      <c r="CE9" s="1" t="s">
        <v>121</v>
      </c>
      <c r="CF9" s="1" t="s">
        <v>121</v>
      </c>
      <c r="CG9" s="1" t="s">
        <v>121</v>
      </c>
      <c r="CH9" s="1" t="s">
        <v>121</v>
      </c>
      <c r="CI9" s="1" t="s">
        <v>121</v>
      </c>
      <c r="CJ9" s="1" t="s">
        <v>121</v>
      </c>
      <c r="CK9" s="1" t="s">
        <v>121</v>
      </c>
      <c r="CL9" s="1" t="s">
        <v>121</v>
      </c>
      <c r="CM9" s="1" t="s">
        <v>121</v>
      </c>
      <c r="CN9" s="1" t="s">
        <v>121</v>
      </c>
      <c r="CO9" s="1" t="s">
        <v>121</v>
      </c>
      <c r="CP9" s="1" t="s">
        <v>121</v>
      </c>
      <c r="CQ9" s="1" t="s">
        <v>121</v>
      </c>
      <c r="CR9" s="1" t="s">
        <v>121</v>
      </c>
      <c r="CS9" s="1" t="s">
        <v>121</v>
      </c>
      <c r="CT9" s="1" t="s">
        <v>121</v>
      </c>
      <c r="CU9" s="1" t="s">
        <v>121</v>
      </c>
      <c r="CV9" s="1" t="s">
        <v>121</v>
      </c>
      <c r="CW9" s="1" t="s">
        <v>121</v>
      </c>
      <c r="CX9" s="1" t="s">
        <v>121</v>
      </c>
      <c r="CY9" s="1" t="s">
        <v>121</v>
      </c>
      <c r="CZ9" s="1" t="s">
        <v>121</v>
      </c>
      <c r="DA9" s="1" t="s">
        <v>121</v>
      </c>
      <c r="DB9" s="1" t="s">
        <v>121</v>
      </c>
      <c r="DC9" s="1" t="s">
        <v>121</v>
      </c>
      <c r="DD9" s="1" t="s">
        <v>121</v>
      </c>
      <c r="DE9" s="1" t="s">
        <v>121</v>
      </c>
      <c r="DF9" s="1" t="s">
        <v>121</v>
      </c>
      <c r="DG9" s="1" t="s">
        <v>121</v>
      </c>
      <c r="DH9" s="1" t="s">
        <v>121</v>
      </c>
      <c r="DI9" s="1" t="s">
        <v>121</v>
      </c>
      <c r="DJ9" s="1" t="s">
        <v>121</v>
      </c>
      <c r="DK9" s="1" t="s">
        <v>121</v>
      </c>
      <c r="DL9" s="1" t="s">
        <v>121</v>
      </c>
      <c r="DM9" s="1" t="s">
        <v>121</v>
      </c>
      <c r="DN9" s="1" t="s">
        <v>121</v>
      </c>
      <c r="DO9" s="1" t="s">
        <v>121</v>
      </c>
      <c r="DP9" s="1" t="s">
        <v>121</v>
      </c>
      <c r="DQ9" s="1" t="s">
        <v>121</v>
      </c>
      <c r="DR9" s="1" t="s">
        <v>121</v>
      </c>
      <c r="DS9" s="1" t="s">
        <v>121</v>
      </c>
      <c r="DT9" s="1" t="s">
        <v>121</v>
      </c>
      <c r="DU9" s="1" t="s">
        <v>121</v>
      </c>
      <c r="DV9" s="1" t="s">
        <v>121</v>
      </c>
      <c r="DW9" s="1" t="s">
        <v>121</v>
      </c>
      <c r="DX9" s="1" t="s">
        <v>121</v>
      </c>
      <c r="DY9" s="1" t="s">
        <v>121</v>
      </c>
      <c r="DZ9" s="1" t="s">
        <v>121</v>
      </c>
      <c r="EA9" s="1" t="s">
        <v>121</v>
      </c>
      <c r="EB9" s="1" t="s">
        <v>121</v>
      </c>
      <c r="EC9" s="1" t="s">
        <v>121</v>
      </c>
      <c r="ED9" s="1" t="s">
        <v>121</v>
      </c>
      <c r="EE9" s="1" t="s">
        <v>121</v>
      </c>
      <c r="EF9" s="1" t="s">
        <v>121</v>
      </c>
      <c r="EG9" s="1" t="s">
        <v>121</v>
      </c>
      <c r="EH9" s="1" t="s">
        <v>121</v>
      </c>
      <c r="EI9" s="1" t="s">
        <v>121</v>
      </c>
      <c r="EJ9" s="1" t="s">
        <v>121</v>
      </c>
      <c r="EK9" s="1" t="s">
        <v>121</v>
      </c>
    </row>
    <row r="10" spans="1:153" ht="15" customHeight="1" x14ac:dyDescent="0.25">
      <c r="A10" s="72">
        <v>10</v>
      </c>
      <c r="B10" s="18" t="s">
        <v>266</v>
      </c>
      <c r="C10" s="89" t="s">
        <v>121</v>
      </c>
      <c r="D10" s="122" t="s">
        <v>121</v>
      </c>
      <c r="E10" s="90" t="s">
        <v>121</v>
      </c>
      <c r="F10" s="122" t="s">
        <v>121</v>
      </c>
      <c r="G10" s="122" t="s">
        <v>121</v>
      </c>
      <c r="H10" s="122" t="s">
        <v>121</v>
      </c>
      <c r="I10" s="122" t="s">
        <v>121</v>
      </c>
      <c r="J10" s="122" t="s">
        <v>121</v>
      </c>
      <c r="K10" s="122" t="s">
        <v>121</v>
      </c>
      <c r="L10" s="122" t="s">
        <v>121</v>
      </c>
      <c r="M10" s="122" t="s">
        <v>121</v>
      </c>
      <c r="N10" s="122" t="s">
        <v>121</v>
      </c>
      <c r="O10" s="122" t="s">
        <v>121</v>
      </c>
      <c r="P10" s="122" t="s">
        <v>121</v>
      </c>
      <c r="Q10" s="122" t="s">
        <v>121</v>
      </c>
      <c r="R10" s="122" t="s">
        <v>121</v>
      </c>
      <c r="S10" s="122" t="s">
        <v>121</v>
      </c>
      <c r="T10" s="122" t="s">
        <v>121</v>
      </c>
      <c r="U10" s="122" t="s">
        <v>121</v>
      </c>
      <c r="V10" s="122" t="s">
        <v>121</v>
      </c>
      <c r="W10" s="122" t="s">
        <v>121</v>
      </c>
      <c r="X10" s="122" t="s">
        <v>121</v>
      </c>
      <c r="Y10" s="122" t="s">
        <v>121</v>
      </c>
      <c r="Z10" s="122" t="s">
        <v>121</v>
      </c>
      <c r="AA10" s="122" t="s">
        <v>121</v>
      </c>
      <c r="AB10" s="122" t="s">
        <v>121</v>
      </c>
      <c r="AC10" s="122" t="s">
        <v>121</v>
      </c>
      <c r="AD10" s="122" t="s">
        <v>121</v>
      </c>
      <c r="AE10" s="122" t="s">
        <v>121</v>
      </c>
      <c r="AF10" s="122" t="s">
        <v>121</v>
      </c>
      <c r="AG10" s="122" t="s">
        <v>121</v>
      </c>
      <c r="AH10" s="122" t="s">
        <v>121</v>
      </c>
      <c r="AI10" s="122" t="s">
        <v>121</v>
      </c>
      <c r="AJ10" s="122" t="s">
        <v>121</v>
      </c>
      <c r="AK10" s="122" t="s">
        <v>121</v>
      </c>
      <c r="AL10" s="122" t="s">
        <v>121</v>
      </c>
      <c r="AM10" s="122" t="s">
        <v>121</v>
      </c>
      <c r="AN10" s="122" t="s">
        <v>121</v>
      </c>
      <c r="AO10" s="122" t="s">
        <v>121</v>
      </c>
      <c r="AP10" s="122" t="s">
        <v>121</v>
      </c>
      <c r="AQ10" s="122" t="s">
        <v>121</v>
      </c>
      <c r="AR10" s="122" t="s">
        <v>121</v>
      </c>
      <c r="AS10" s="122" t="s">
        <v>121</v>
      </c>
      <c r="AT10" s="122" t="s">
        <v>121</v>
      </c>
      <c r="AU10" s="122" t="s">
        <v>121</v>
      </c>
      <c r="AV10" s="122" t="s">
        <v>121</v>
      </c>
      <c r="AW10" s="122" t="s">
        <v>121</v>
      </c>
      <c r="AX10" s="122" t="s">
        <v>121</v>
      </c>
      <c r="AY10" s="122" t="s">
        <v>121</v>
      </c>
      <c r="AZ10" s="18" t="s">
        <v>121</v>
      </c>
      <c r="BA10" s="1" t="s">
        <v>121</v>
      </c>
      <c r="BB10" s="1" t="s">
        <v>121</v>
      </c>
      <c r="BC10" s="1" t="s">
        <v>121</v>
      </c>
      <c r="BD10" s="1" t="s">
        <v>121</v>
      </c>
      <c r="BE10" s="1" t="s">
        <v>121</v>
      </c>
      <c r="BF10" s="1" t="s">
        <v>121</v>
      </c>
      <c r="BG10" s="1" t="s">
        <v>121</v>
      </c>
      <c r="BH10" s="1" t="s">
        <v>121</v>
      </c>
      <c r="BI10" s="1" t="s">
        <v>121</v>
      </c>
      <c r="BJ10" s="1" t="s">
        <v>121</v>
      </c>
      <c r="BK10" s="1" t="s">
        <v>121</v>
      </c>
      <c r="BL10" s="1" t="s">
        <v>121</v>
      </c>
      <c r="BM10" s="1" t="s">
        <v>121</v>
      </c>
      <c r="BN10" s="1" t="s">
        <v>121</v>
      </c>
      <c r="BO10" s="1" t="s">
        <v>121</v>
      </c>
      <c r="BP10" s="1" t="s">
        <v>121</v>
      </c>
      <c r="BQ10" s="1" t="s">
        <v>121</v>
      </c>
      <c r="BR10" s="1" t="s">
        <v>121</v>
      </c>
      <c r="BS10" s="1" t="s">
        <v>121</v>
      </c>
      <c r="BT10" s="1" t="s">
        <v>121</v>
      </c>
      <c r="BU10" s="1" t="s">
        <v>121</v>
      </c>
      <c r="BV10" s="1" t="s">
        <v>121</v>
      </c>
      <c r="BW10" s="1" t="s">
        <v>121</v>
      </c>
      <c r="BX10" s="1" t="s">
        <v>121</v>
      </c>
      <c r="BY10" s="1" t="s">
        <v>121</v>
      </c>
      <c r="BZ10" s="1" t="s">
        <v>121</v>
      </c>
      <c r="CA10" s="1" t="s">
        <v>121</v>
      </c>
      <c r="CB10" s="1" t="s">
        <v>121</v>
      </c>
      <c r="CC10" s="1" t="s">
        <v>121</v>
      </c>
      <c r="CD10" s="1" t="s">
        <v>121</v>
      </c>
      <c r="CE10" s="1" t="s">
        <v>121</v>
      </c>
      <c r="CF10" s="1" t="s">
        <v>121</v>
      </c>
      <c r="CG10" s="1" t="s">
        <v>121</v>
      </c>
      <c r="CH10" s="1" t="s">
        <v>121</v>
      </c>
      <c r="CI10" s="1" t="s">
        <v>121</v>
      </c>
      <c r="CJ10" s="1" t="s">
        <v>121</v>
      </c>
      <c r="CK10" s="1" t="s">
        <v>121</v>
      </c>
      <c r="CL10" s="1" t="s">
        <v>121</v>
      </c>
      <c r="CM10" s="1" t="s">
        <v>121</v>
      </c>
      <c r="CN10" s="1" t="s">
        <v>121</v>
      </c>
      <c r="CO10" s="1" t="s">
        <v>121</v>
      </c>
      <c r="CP10" s="1" t="s">
        <v>121</v>
      </c>
      <c r="CQ10" s="1" t="s">
        <v>121</v>
      </c>
      <c r="CR10" s="1" t="s">
        <v>121</v>
      </c>
      <c r="CS10" s="1" t="s">
        <v>121</v>
      </c>
      <c r="CT10" s="1" t="s">
        <v>121</v>
      </c>
      <c r="CU10" s="1" t="s">
        <v>121</v>
      </c>
      <c r="CV10" s="1" t="s">
        <v>121</v>
      </c>
      <c r="CW10" s="1" t="s">
        <v>121</v>
      </c>
      <c r="CX10" s="1" t="s">
        <v>121</v>
      </c>
      <c r="CY10" s="1" t="s">
        <v>121</v>
      </c>
      <c r="CZ10" s="1" t="s">
        <v>121</v>
      </c>
      <c r="DA10" s="1" t="s">
        <v>121</v>
      </c>
      <c r="DB10" s="1" t="s">
        <v>121</v>
      </c>
      <c r="DC10" s="1" t="s">
        <v>121</v>
      </c>
      <c r="DD10" s="1" t="s">
        <v>121</v>
      </c>
      <c r="DE10" s="1" t="s">
        <v>121</v>
      </c>
      <c r="DF10" s="1" t="s">
        <v>121</v>
      </c>
      <c r="DG10" s="1" t="s">
        <v>121</v>
      </c>
      <c r="DH10" s="1" t="s">
        <v>121</v>
      </c>
      <c r="DI10" s="1" t="s">
        <v>121</v>
      </c>
      <c r="DJ10" s="1" t="s">
        <v>121</v>
      </c>
      <c r="DK10" s="1" t="s">
        <v>121</v>
      </c>
      <c r="DL10" s="1" t="s">
        <v>121</v>
      </c>
      <c r="DM10" s="1" t="s">
        <v>121</v>
      </c>
      <c r="DN10" s="1" t="s">
        <v>121</v>
      </c>
      <c r="DO10" s="1" t="s">
        <v>121</v>
      </c>
      <c r="DP10" s="1" t="s">
        <v>121</v>
      </c>
      <c r="DQ10" s="1" t="s">
        <v>121</v>
      </c>
      <c r="DR10" s="1" t="s">
        <v>121</v>
      </c>
      <c r="DS10" s="1" t="s">
        <v>121</v>
      </c>
      <c r="DT10" s="1" t="s">
        <v>121</v>
      </c>
      <c r="DU10" s="1" t="s">
        <v>121</v>
      </c>
      <c r="DV10" s="1" t="s">
        <v>121</v>
      </c>
      <c r="DW10" s="1" t="s">
        <v>121</v>
      </c>
      <c r="DX10" s="1" t="s">
        <v>121</v>
      </c>
      <c r="DY10" s="1" t="s">
        <v>121</v>
      </c>
      <c r="DZ10" s="1" t="s">
        <v>121</v>
      </c>
      <c r="EA10" s="1" t="s">
        <v>121</v>
      </c>
      <c r="EB10" s="1" t="s">
        <v>121</v>
      </c>
      <c r="EC10" s="1" t="s">
        <v>121</v>
      </c>
      <c r="ED10" s="1" t="s">
        <v>121</v>
      </c>
      <c r="EE10" s="1" t="s">
        <v>121</v>
      </c>
      <c r="EF10" s="1" t="s">
        <v>121</v>
      </c>
      <c r="EG10" s="1" t="s">
        <v>121</v>
      </c>
      <c r="EH10" s="1" t="s">
        <v>121</v>
      </c>
      <c r="EI10" s="1" t="s">
        <v>121</v>
      </c>
      <c r="EJ10" s="1" t="s">
        <v>121</v>
      </c>
      <c r="EK10" s="1" t="s">
        <v>121</v>
      </c>
    </row>
    <row r="11" spans="1:153" ht="15" customHeight="1" x14ac:dyDescent="0.25">
      <c r="A11" s="72">
        <v>11</v>
      </c>
      <c r="B11" s="15" t="s">
        <v>267</v>
      </c>
      <c r="C11" s="91" t="s">
        <v>121</v>
      </c>
      <c r="D11" s="86" t="s">
        <v>121</v>
      </c>
      <c r="E11" s="92" t="s">
        <v>121</v>
      </c>
      <c r="F11" s="84">
        <v>63433</v>
      </c>
      <c r="G11" s="84">
        <v>43483</v>
      </c>
      <c r="H11" s="84">
        <v>105044</v>
      </c>
      <c r="I11" s="84">
        <v>53996</v>
      </c>
      <c r="J11" s="84">
        <v>33258</v>
      </c>
      <c r="K11" s="84">
        <v>62174</v>
      </c>
      <c r="L11" s="84">
        <v>73733</v>
      </c>
      <c r="M11" s="84">
        <v>55865</v>
      </c>
      <c r="N11" s="84">
        <v>53237</v>
      </c>
      <c r="O11" s="84">
        <v>54700</v>
      </c>
      <c r="P11" s="84">
        <v>30203</v>
      </c>
      <c r="Q11" s="84">
        <v>47374</v>
      </c>
      <c r="R11" s="404"/>
      <c r="S11" s="404"/>
      <c r="T11" s="404"/>
      <c r="U11" s="84">
        <v>34052</v>
      </c>
      <c r="V11" s="84">
        <v>51047.927000000003</v>
      </c>
      <c r="W11" s="84">
        <v>31732.782999999999</v>
      </c>
      <c r="X11" s="84">
        <v>54325.103000000003</v>
      </c>
      <c r="Y11" s="84">
        <v>60271</v>
      </c>
      <c r="Z11" s="84">
        <v>44807.572999999997</v>
      </c>
      <c r="AA11" s="84">
        <v>60610.135000000002</v>
      </c>
      <c r="AB11" s="84">
        <v>48073.305</v>
      </c>
      <c r="AC11" s="84">
        <v>42556.256999999998</v>
      </c>
      <c r="AD11" s="84">
        <v>58680.851000000002</v>
      </c>
      <c r="AE11" s="84">
        <v>59950.781999999999</v>
      </c>
      <c r="AF11" s="84">
        <v>42085.919000000002</v>
      </c>
      <c r="AG11" s="84">
        <v>37189.218999999997</v>
      </c>
      <c r="AH11" s="84">
        <v>40559.391000000003</v>
      </c>
      <c r="AI11" s="84">
        <v>40752.324999999997</v>
      </c>
      <c r="AJ11" s="185">
        <v>33239.858</v>
      </c>
      <c r="AK11" s="84">
        <v>39198.51</v>
      </c>
      <c r="AL11" s="84">
        <v>55549.622000000003</v>
      </c>
      <c r="AM11" s="84">
        <v>60284.667999999998</v>
      </c>
      <c r="AN11" s="84">
        <v>64903.936000000002</v>
      </c>
      <c r="AO11" s="84">
        <v>33881.203999999998</v>
      </c>
      <c r="AP11" s="84">
        <v>45531.258000000002</v>
      </c>
      <c r="AQ11" s="84">
        <v>60960.946000000004</v>
      </c>
      <c r="AR11" s="84">
        <v>27674.526000000002</v>
      </c>
      <c r="AS11" s="84">
        <v>36558.917000000001</v>
      </c>
      <c r="AT11" s="84">
        <v>47304.531999999999</v>
      </c>
      <c r="AU11" s="84">
        <v>46478.811000000002</v>
      </c>
      <c r="AV11" s="84">
        <v>43006.247000000003</v>
      </c>
      <c r="AW11" s="84">
        <v>57240.622000000003</v>
      </c>
      <c r="AX11" s="84">
        <v>43889.824999999997</v>
      </c>
      <c r="AY11" s="84">
        <v>62786.122000000003</v>
      </c>
      <c r="AZ11" s="84">
        <v>46198.686999999998</v>
      </c>
      <c r="BA11" s="11">
        <v>40060.451999999997</v>
      </c>
      <c r="BB11" s="11">
        <v>45689.837</v>
      </c>
      <c r="BC11" s="11">
        <v>37894.771999999997</v>
      </c>
      <c r="BD11" s="11">
        <v>27602.734</v>
      </c>
      <c r="BE11" s="11">
        <v>43938.150999999998</v>
      </c>
      <c r="BF11" s="11">
        <v>20938.054</v>
      </c>
      <c r="BG11" s="11">
        <v>26663.624</v>
      </c>
      <c r="BH11" s="11">
        <v>26491.541000000001</v>
      </c>
      <c r="BI11" s="11">
        <v>32775.307000000001</v>
      </c>
      <c r="BJ11" s="11">
        <v>19541.86</v>
      </c>
      <c r="BK11" s="11">
        <v>13906.249</v>
      </c>
      <c r="BL11" s="11">
        <v>14090.084999999999</v>
      </c>
      <c r="BM11" s="1">
        <v>13180.183999999999</v>
      </c>
      <c r="BN11" s="1">
        <v>16608.978999999999</v>
      </c>
      <c r="BO11" s="1">
        <v>27889.476999999999</v>
      </c>
      <c r="BP11" s="1">
        <v>14924.432000000001</v>
      </c>
      <c r="BQ11" s="1">
        <v>21419.473000000002</v>
      </c>
      <c r="BR11" s="1" t="s">
        <v>121</v>
      </c>
      <c r="BS11" s="1" t="s">
        <v>121</v>
      </c>
      <c r="BT11" s="1" t="s">
        <v>121</v>
      </c>
      <c r="BU11" s="1" t="s">
        <v>121</v>
      </c>
      <c r="BV11" s="1" t="s">
        <v>121</v>
      </c>
      <c r="BW11" s="1" t="s">
        <v>121</v>
      </c>
      <c r="BX11" s="1" t="s">
        <v>121</v>
      </c>
      <c r="BY11" s="1" t="s">
        <v>121</v>
      </c>
      <c r="BZ11" s="1" t="s">
        <v>121</v>
      </c>
      <c r="CA11" s="1" t="s">
        <v>121</v>
      </c>
      <c r="CB11" s="1" t="s">
        <v>121</v>
      </c>
      <c r="CC11" s="1" t="s">
        <v>121</v>
      </c>
      <c r="CD11" s="1" t="s">
        <v>121</v>
      </c>
      <c r="CE11" s="1" t="s">
        <v>121</v>
      </c>
      <c r="CF11" s="1" t="s">
        <v>121</v>
      </c>
      <c r="CG11" s="1" t="s">
        <v>121</v>
      </c>
      <c r="CH11" s="1" t="s">
        <v>121</v>
      </c>
      <c r="CI11" s="1" t="s">
        <v>121</v>
      </c>
      <c r="CJ11" s="1" t="s">
        <v>121</v>
      </c>
      <c r="CK11" s="1" t="s">
        <v>121</v>
      </c>
      <c r="CL11" s="1" t="s">
        <v>121</v>
      </c>
      <c r="CM11" s="1" t="s">
        <v>121</v>
      </c>
      <c r="CN11" s="1" t="s">
        <v>121</v>
      </c>
      <c r="CO11" s="1" t="s">
        <v>121</v>
      </c>
      <c r="CP11" s="1" t="s">
        <v>121</v>
      </c>
      <c r="CQ11" s="1" t="s">
        <v>121</v>
      </c>
      <c r="CR11" s="1" t="s">
        <v>121</v>
      </c>
      <c r="CS11" s="1" t="s">
        <v>121</v>
      </c>
      <c r="CT11" s="1" t="s">
        <v>121</v>
      </c>
      <c r="CU11" s="1" t="s">
        <v>121</v>
      </c>
      <c r="CV11" s="1" t="s">
        <v>121</v>
      </c>
      <c r="CW11" s="1" t="s">
        <v>121</v>
      </c>
      <c r="CX11" s="1" t="s">
        <v>121</v>
      </c>
      <c r="CY11" s="1" t="s">
        <v>121</v>
      </c>
      <c r="CZ11" s="1" t="s">
        <v>121</v>
      </c>
      <c r="DA11" s="1" t="s">
        <v>121</v>
      </c>
      <c r="DB11" s="1" t="s">
        <v>121</v>
      </c>
      <c r="DC11" s="1" t="s">
        <v>121</v>
      </c>
      <c r="DD11" s="1" t="s">
        <v>121</v>
      </c>
      <c r="DE11" s="1" t="s">
        <v>121</v>
      </c>
      <c r="DF11" s="1" t="s">
        <v>121</v>
      </c>
      <c r="DG11" s="1" t="s">
        <v>121</v>
      </c>
      <c r="DH11" s="1" t="s">
        <v>121</v>
      </c>
      <c r="DI11" s="1" t="s">
        <v>121</v>
      </c>
      <c r="DJ11" s="1" t="s">
        <v>121</v>
      </c>
      <c r="DK11" s="1" t="s">
        <v>121</v>
      </c>
      <c r="DL11" s="1" t="s">
        <v>121</v>
      </c>
      <c r="DM11" s="1" t="s">
        <v>121</v>
      </c>
      <c r="DN11" s="1" t="s">
        <v>121</v>
      </c>
      <c r="DO11" s="1" t="s">
        <v>121</v>
      </c>
      <c r="DP11" s="1" t="s">
        <v>121</v>
      </c>
      <c r="DQ11" s="1" t="s">
        <v>121</v>
      </c>
      <c r="DR11" s="1" t="s">
        <v>121</v>
      </c>
      <c r="DS11" s="1" t="s">
        <v>121</v>
      </c>
      <c r="DT11" s="1" t="s">
        <v>121</v>
      </c>
      <c r="DU11" s="1" t="s">
        <v>121</v>
      </c>
      <c r="DV11" s="1" t="s">
        <v>121</v>
      </c>
      <c r="DW11" s="1" t="s">
        <v>121</v>
      </c>
      <c r="DX11" s="1" t="s">
        <v>121</v>
      </c>
      <c r="DY11" s="1" t="s">
        <v>121</v>
      </c>
      <c r="DZ11" s="1" t="s">
        <v>121</v>
      </c>
      <c r="EA11" s="1" t="s">
        <v>121</v>
      </c>
      <c r="EB11" s="1" t="s">
        <v>121</v>
      </c>
      <c r="EC11" s="1" t="s">
        <v>121</v>
      </c>
      <c r="ED11" s="1" t="s">
        <v>121</v>
      </c>
      <c r="EE11" s="1" t="s">
        <v>121</v>
      </c>
      <c r="EF11" s="1" t="s">
        <v>121</v>
      </c>
      <c r="EG11" s="1" t="s">
        <v>121</v>
      </c>
      <c r="EH11" s="1" t="s">
        <v>121</v>
      </c>
      <c r="EI11" s="1" t="s">
        <v>121</v>
      </c>
      <c r="EJ11" s="1" t="s">
        <v>121</v>
      </c>
      <c r="EK11" s="1" t="s">
        <v>121</v>
      </c>
    </row>
    <row r="12" spans="1:153" ht="27" customHeight="1" x14ac:dyDescent="0.25">
      <c r="A12" s="72">
        <v>12</v>
      </c>
      <c r="B12" s="16" t="s">
        <v>268</v>
      </c>
      <c r="C12" s="91" t="s">
        <v>121</v>
      </c>
      <c r="D12" s="86" t="s">
        <v>121</v>
      </c>
      <c r="E12" s="92" t="s">
        <v>121</v>
      </c>
      <c r="F12" s="67">
        <v>3106</v>
      </c>
      <c r="G12" s="67">
        <v>3106</v>
      </c>
      <c r="H12" s="67">
        <v>3106</v>
      </c>
      <c r="I12" s="67">
        <v>2903</v>
      </c>
      <c r="J12" s="67">
        <v>2903</v>
      </c>
      <c r="K12" s="67">
        <v>2903</v>
      </c>
      <c r="L12" s="67">
        <v>2903</v>
      </c>
      <c r="M12" s="67">
        <v>1978</v>
      </c>
      <c r="N12" s="67">
        <v>1978</v>
      </c>
      <c r="O12" s="67">
        <v>1978</v>
      </c>
      <c r="P12" s="67">
        <v>1978</v>
      </c>
      <c r="Q12" s="67">
        <v>1073</v>
      </c>
      <c r="R12" s="404"/>
      <c r="S12" s="404"/>
      <c r="T12" s="404"/>
      <c r="U12" s="67">
        <v>4612</v>
      </c>
      <c r="V12" s="67">
        <v>4711.3490000000002</v>
      </c>
      <c r="W12" s="67">
        <v>4511.7160000000003</v>
      </c>
      <c r="X12" s="67">
        <v>4532.6260000000002</v>
      </c>
      <c r="Y12" s="67">
        <v>4588</v>
      </c>
      <c r="Z12" s="67">
        <v>4169.3329999999996</v>
      </c>
      <c r="AA12" s="67">
        <v>3942.027</v>
      </c>
      <c r="AB12" s="67">
        <v>3946.3560000000002</v>
      </c>
      <c r="AC12" s="67">
        <v>3885.9639999999999</v>
      </c>
      <c r="AD12" s="67">
        <v>3853.0650000000001</v>
      </c>
      <c r="AE12" s="67">
        <v>3643.7159999999999</v>
      </c>
      <c r="AF12" s="67">
        <v>3757.0250000000001</v>
      </c>
      <c r="AG12" s="67">
        <v>3705.4229999999998</v>
      </c>
      <c r="AH12" s="67">
        <v>3495.3519999999999</v>
      </c>
      <c r="AI12" s="67">
        <v>3201.652</v>
      </c>
      <c r="AJ12" s="186">
        <v>3198.808</v>
      </c>
      <c r="AK12" s="67">
        <v>3020.4850000000001</v>
      </c>
      <c r="AL12" s="67">
        <v>2957.5940000000001</v>
      </c>
      <c r="AM12" s="67">
        <v>2884.5540000000001</v>
      </c>
      <c r="AN12" s="67">
        <v>3071.18</v>
      </c>
      <c r="AO12" s="67">
        <v>3220.8029999999999</v>
      </c>
      <c r="AP12" s="67">
        <v>3178.3980000000001</v>
      </c>
      <c r="AQ12" s="67">
        <v>2551.7750000000001</v>
      </c>
      <c r="AR12" s="67">
        <v>2539.6889999999999</v>
      </c>
      <c r="AS12" s="67">
        <v>2388.1379999999999</v>
      </c>
      <c r="AT12" s="67">
        <v>2400.2190000000001</v>
      </c>
      <c r="AU12" s="67">
        <v>3253.5740000000001</v>
      </c>
      <c r="AV12" s="67">
        <v>3617.14</v>
      </c>
      <c r="AW12" s="67">
        <v>3290.0839999999998</v>
      </c>
      <c r="AX12" s="67">
        <v>2986.8850000000002</v>
      </c>
      <c r="AY12" s="67">
        <v>2980.0059999999999</v>
      </c>
      <c r="AZ12" s="67">
        <v>2963.9479999999999</v>
      </c>
      <c r="BA12" s="11">
        <v>2800.069</v>
      </c>
      <c r="BB12" s="11">
        <v>3699.6889999999999</v>
      </c>
      <c r="BC12" s="11">
        <v>3645.37</v>
      </c>
      <c r="BD12" s="11">
        <v>3175.8690000000001</v>
      </c>
      <c r="BE12" s="11">
        <v>3125.502</v>
      </c>
      <c r="BF12" s="11">
        <v>3097.105</v>
      </c>
      <c r="BG12" s="11">
        <v>3092.6489999999999</v>
      </c>
      <c r="BH12" s="11">
        <v>3129.105</v>
      </c>
      <c r="BI12" s="11">
        <v>2978.2959999999998</v>
      </c>
      <c r="BJ12" s="11">
        <v>3009.8429999999998</v>
      </c>
      <c r="BK12" s="11">
        <v>2905.1089999999999</v>
      </c>
      <c r="BL12" s="11">
        <v>2109.16</v>
      </c>
      <c r="BM12" s="1">
        <v>1670.712</v>
      </c>
      <c r="BN12" s="1">
        <v>1429.9069999999999</v>
      </c>
      <c r="BO12" s="1">
        <v>1553.52</v>
      </c>
      <c r="BP12" s="1">
        <v>1453.11</v>
      </c>
      <c r="BQ12" s="1">
        <v>1373.8150000000001</v>
      </c>
      <c r="BR12" s="1" t="s">
        <v>121</v>
      </c>
      <c r="BS12" s="1" t="s">
        <v>121</v>
      </c>
      <c r="BT12" s="1" t="s">
        <v>121</v>
      </c>
      <c r="BU12" s="1" t="s">
        <v>121</v>
      </c>
      <c r="BV12" s="1" t="s">
        <v>121</v>
      </c>
      <c r="BW12" s="1" t="s">
        <v>121</v>
      </c>
      <c r="BX12" s="1" t="s">
        <v>121</v>
      </c>
      <c r="BY12" s="1" t="s">
        <v>121</v>
      </c>
      <c r="BZ12" s="1" t="s">
        <v>121</v>
      </c>
      <c r="CA12" s="1" t="s">
        <v>121</v>
      </c>
      <c r="CB12" s="1" t="s">
        <v>121</v>
      </c>
      <c r="CC12" s="1" t="s">
        <v>121</v>
      </c>
      <c r="CD12" s="1" t="s">
        <v>121</v>
      </c>
      <c r="CE12" s="1" t="s">
        <v>121</v>
      </c>
      <c r="CF12" s="1" t="s">
        <v>121</v>
      </c>
      <c r="CG12" s="1" t="s">
        <v>121</v>
      </c>
      <c r="CH12" s="1" t="s">
        <v>121</v>
      </c>
      <c r="CI12" s="1" t="s">
        <v>121</v>
      </c>
      <c r="CJ12" s="1" t="s">
        <v>121</v>
      </c>
      <c r="CK12" s="1" t="s">
        <v>121</v>
      </c>
      <c r="CL12" s="1" t="s">
        <v>121</v>
      </c>
      <c r="CM12" s="1" t="s">
        <v>121</v>
      </c>
      <c r="CN12" s="1" t="s">
        <v>121</v>
      </c>
      <c r="CO12" s="1" t="s">
        <v>121</v>
      </c>
      <c r="CP12" s="1" t="s">
        <v>121</v>
      </c>
      <c r="CQ12" s="1" t="s">
        <v>121</v>
      </c>
      <c r="CR12" s="1" t="s">
        <v>121</v>
      </c>
      <c r="CS12" s="1" t="s">
        <v>121</v>
      </c>
      <c r="CT12" s="1" t="s">
        <v>121</v>
      </c>
      <c r="CU12" s="1" t="s">
        <v>121</v>
      </c>
      <c r="CV12" s="1" t="s">
        <v>121</v>
      </c>
      <c r="CW12" s="1" t="s">
        <v>121</v>
      </c>
      <c r="CX12" s="1" t="s">
        <v>121</v>
      </c>
      <c r="CY12" s="1" t="s">
        <v>121</v>
      </c>
      <c r="CZ12" s="1" t="s">
        <v>121</v>
      </c>
      <c r="DA12" s="1" t="s">
        <v>121</v>
      </c>
      <c r="DB12" s="1" t="s">
        <v>121</v>
      </c>
      <c r="DC12" s="1" t="s">
        <v>121</v>
      </c>
      <c r="DD12" s="1" t="s">
        <v>121</v>
      </c>
      <c r="DE12" s="1" t="s">
        <v>121</v>
      </c>
      <c r="DF12" s="1" t="s">
        <v>121</v>
      </c>
      <c r="DG12" s="1" t="s">
        <v>121</v>
      </c>
      <c r="DH12" s="1" t="s">
        <v>121</v>
      </c>
      <c r="DI12" s="1" t="s">
        <v>121</v>
      </c>
      <c r="DJ12" s="1" t="s">
        <v>121</v>
      </c>
      <c r="DK12" s="1" t="s">
        <v>121</v>
      </c>
      <c r="DL12" s="1" t="s">
        <v>121</v>
      </c>
      <c r="DM12" s="1" t="s">
        <v>121</v>
      </c>
      <c r="DN12" s="1" t="s">
        <v>121</v>
      </c>
      <c r="DO12" s="1" t="s">
        <v>121</v>
      </c>
      <c r="DP12" s="1" t="s">
        <v>121</v>
      </c>
      <c r="DQ12" s="1" t="s">
        <v>121</v>
      </c>
      <c r="DR12" s="1" t="s">
        <v>121</v>
      </c>
      <c r="DS12" s="1" t="s">
        <v>121</v>
      </c>
      <c r="DT12" s="1" t="s">
        <v>121</v>
      </c>
      <c r="DU12" s="1" t="s">
        <v>121</v>
      </c>
      <c r="DV12" s="1" t="s">
        <v>121</v>
      </c>
      <c r="DW12" s="1" t="s">
        <v>121</v>
      </c>
      <c r="DX12" s="1" t="s">
        <v>121</v>
      </c>
      <c r="DY12" s="1" t="s">
        <v>121</v>
      </c>
      <c r="DZ12" s="1" t="s">
        <v>121</v>
      </c>
      <c r="EA12" s="1" t="s">
        <v>121</v>
      </c>
      <c r="EB12" s="1" t="s">
        <v>121</v>
      </c>
      <c r="EC12" s="1" t="s">
        <v>121</v>
      </c>
      <c r="ED12" s="1" t="s">
        <v>121</v>
      </c>
      <c r="EE12" s="1" t="s">
        <v>121</v>
      </c>
      <c r="EF12" s="1" t="s">
        <v>121</v>
      </c>
      <c r="EG12" s="1" t="s">
        <v>121</v>
      </c>
      <c r="EH12" s="1" t="s">
        <v>121</v>
      </c>
      <c r="EI12" s="1" t="s">
        <v>121</v>
      </c>
      <c r="EJ12" s="1" t="s">
        <v>121</v>
      </c>
      <c r="EK12" s="1" t="s">
        <v>121</v>
      </c>
    </row>
    <row r="13" spans="1:153" ht="28.5" customHeight="1" x14ac:dyDescent="0.25">
      <c r="A13" s="72">
        <v>13</v>
      </c>
      <c r="B13" s="28" t="s">
        <v>269</v>
      </c>
      <c r="C13" s="91" t="s">
        <v>121</v>
      </c>
      <c r="D13" s="86" t="s">
        <v>121</v>
      </c>
      <c r="E13" s="92" t="s">
        <v>121</v>
      </c>
      <c r="F13" s="84">
        <v>35811</v>
      </c>
      <c r="G13" s="84">
        <v>28200</v>
      </c>
      <c r="H13" s="84">
        <v>12661</v>
      </c>
      <c r="I13" s="84">
        <v>9943</v>
      </c>
      <c r="J13" s="84">
        <v>37764</v>
      </c>
      <c r="K13" s="84">
        <v>38315</v>
      </c>
      <c r="L13" s="84">
        <v>44709</v>
      </c>
      <c r="M13" s="84">
        <v>41006</v>
      </c>
      <c r="N13" s="84">
        <v>10727</v>
      </c>
      <c r="O13" s="84">
        <v>17961</v>
      </c>
      <c r="P13" s="84">
        <v>21746</v>
      </c>
      <c r="Q13" s="84">
        <v>30145</v>
      </c>
      <c r="R13" s="404"/>
      <c r="S13" s="404"/>
      <c r="T13" s="404"/>
      <c r="U13" s="84">
        <v>27360</v>
      </c>
      <c r="V13" s="84">
        <v>24047.848000000002</v>
      </c>
      <c r="W13" s="84">
        <v>15142.347</v>
      </c>
      <c r="X13" s="84">
        <v>8761.7314000000006</v>
      </c>
      <c r="Y13" s="84">
        <v>6977</v>
      </c>
      <c r="Z13" s="84">
        <v>6819.2619999999997</v>
      </c>
      <c r="AA13" s="84">
        <v>11395.154</v>
      </c>
      <c r="AB13" s="84">
        <v>12589.544</v>
      </c>
      <c r="AC13" s="84">
        <v>44211.961000000003</v>
      </c>
      <c r="AD13" s="84">
        <v>17851.168000000001</v>
      </c>
      <c r="AE13" s="84">
        <v>48669.464999999997</v>
      </c>
      <c r="AF13" s="84">
        <v>43598.877</v>
      </c>
      <c r="AG13" s="84">
        <v>80647.485000000001</v>
      </c>
      <c r="AH13" s="84">
        <v>29369.47</v>
      </c>
      <c r="AI13" s="84">
        <v>60722.088000000003</v>
      </c>
      <c r="AJ13" s="185">
        <v>11153.698</v>
      </c>
      <c r="AK13" s="84">
        <v>64483.953000000001</v>
      </c>
      <c r="AL13" s="84">
        <v>15556.315000000001</v>
      </c>
      <c r="AM13" s="84">
        <v>14252.938</v>
      </c>
      <c r="AN13" s="84">
        <v>10895.851000000001</v>
      </c>
      <c r="AO13" s="84">
        <v>17126.046999999999</v>
      </c>
      <c r="AP13" s="84">
        <v>16657.852999999999</v>
      </c>
      <c r="AQ13" s="84">
        <v>14699.395</v>
      </c>
      <c r="AR13" s="84">
        <v>13411.118</v>
      </c>
      <c r="AS13" s="84">
        <v>13193.472</v>
      </c>
      <c r="AT13" s="84">
        <v>11335.368</v>
      </c>
      <c r="AU13" s="84">
        <v>3899.431</v>
      </c>
      <c r="AV13" s="84">
        <v>253.90700000000001</v>
      </c>
      <c r="AW13" s="84">
        <v>205.42500000000001</v>
      </c>
      <c r="AX13" s="84">
        <v>8913.3070000000007</v>
      </c>
      <c r="AY13" s="84">
        <v>7889.5479999999998</v>
      </c>
      <c r="AZ13" s="84">
        <v>11511.152</v>
      </c>
      <c r="BA13" s="11">
        <v>17592.637999999999</v>
      </c>
      <c r="BB13" s="11">
        <v>7436.6949999999997</v>
      </c>
      <c r="BC13" s="11">
        <v>16312.355</v>
      </c>
      <c r="BD13" s="11">
        <v>17353.724999999999</v>
      </c>
      <c r="BE13" s="11">
        <v>11463.053</v>
      </c>
      <c r="BF13" s="11">
        <v>31108.968000000001</v>
      </c>
      <c r="BG13" s="11">
        <v>24523.323</v>
      </c>
      <c r="BH13" s="11">
        <v>14881.96</v>
      </c>
      <c r="BI13" s="11">
        <v>29043.655999999999</v>
      </c>
      <c r="BJ13" s="11">
        <v>38257.546999999999</v>
      </c>
      <c r="BK13" s="11">
        <v>34606.504999999997</v>
      </c>
      <c r="BL13" s="11">
        <v>35394.211000000003</v>
      </c>
      <c r="BM13" s="1">
        <v>36524.627</v>
      </c>
      <c r="BN13" s="1">
        <v>26547.006000000001</v>
      </c>
      <c r="BO13" s="1">
        <v>20333.273000000001</v>
      </c>
      <c r="BP13" s="1">
        <v>23102.542000000001</v>
      </c>
      <c r="BQ13" s="1">
        <v>29075.842000000001</v>
      </c>
      <c r="BR13" s="1" t="s">
        <v>121</v>
      </c>
      <c r="BS13" s="1" t="s">
        <v>121</v>
      </c>
      <c r="BT13" s="1" t="s">
        <v>121</v>
      </c>
      <c r="BU13" s="1" t="s">
        <v>121</v>
      </c>
      <c r="BV13" s="1" t="s">
        <v>121</v>
      </c>
      <c r="BW13" s="1" t="s">
        <v>121</v>
      </c>
      <c r="BX13" s="1" t="s">
        <v>121</v>
      </c>
      <c r="BY13" s="1" t="s">
        <v>121</v>
      </c>
      <c r="BZ13" s="1" t="s">
        <v>121</v>
      </c>
      <c r="CA13" s="1" t="s">
        <v>121</v>
      </c>
      <c r="CB13" s="1" t="s">
        <v>121</v>
      </c>
      <c r="CC13" s="1" t="s">
        <v>121</v>
      </c>
      <c r="CD13" s="1" t="s">
        <v>121</v>
      </c>
      <c r="CE13" s="1" t="s">
        <v>121</v>
      </c>
      <c r="CF13" s="1" t="s">
        <v>121</v>
      </c>
      <c r="CG13" s="1" t="s">
        <v>121</v>
      </c>
      <c r="CH13" s="1" t="s">
        <v>121</v>
      </c>
      <c r="CI13" s="1" t="s">
        <v>121</v>
      </c>
      <c r="CJ13" s="1" t="s">
        <v>121</v>
      </c>
      <c r="CK13" s="1" t="s">
        <v>121</v>
      </c>
      <c r="CL13" s="1" t="s">
        <v>121</v>
      </c>
      <c r="CM13" s="1" t="s">
        <v>121</v>
      </c>
      <c r="CN13" s="1" t="s">
        <v>121</v>
      </c>
      <c r="CO13" s="1" t="s">
        <v>121</v>
      </c>
      <c r="CP13" s="1" t="s">
        <v>121</v>
      </c>
      <c r="CQ13" s="1" t="s">
        <v>121</v>
      </c>
      <c r="CR13" s="1" t="s">
        <v>121</v>
      </c>
      <c r="CS13" s="1" t="s">
        <v>121</v>
      </c>
      <c r="CT13" s="1" t="s">
        <v>121</v>
      </c>
      <c r="CU13" s="1" t="s">
        <v>121</v>
      </c>
      <c r="CV13" s="1" t="s">
        <v>121</v>
      </c>
      <c r="CW13" s="1" t="s">
        <v>121</v>
      </c>
      <c r="CX13" s="1" t="s">
        <v>121</v>
      </c>
      <c r="CY13" s="1" t="s">
        <v>121</v>
      </c>
      <c r="CZ13" s="1" t="s">
        <v>121</v>
      </c>
      <c r="DA13" s="1" t="s">
        <v>121</v>
      </c>
      <c r="DB13" s="1" t="s">
        <v>121</v>
      </c>
      <c r="DC13" s="1" t="s">
        <v>121</v>
      </c>
      <c r="DD13" s="1" t="s">
        <v>121</v>
      </c>
      <c r="DE13" s="1" t="s">
        <v>121</v>
      </c>
      <c r="DF13" s="1" t="s">
        <v>121</v>
      </c>
      <c r="DG13" s="1" t="s">
        <v>121</v>
      </c>
      <c r="DH13" s="1" t="s">
        <v>121</v>
      </c>
      <c r="DI13" s="1" t="s">
        <v>121</v>
      </c>
      <c r="DJ13" s="1" t="s">
        <v>121</v>
      </c>
      <c r="DK13" s="1" t="s">
        <v>121</v>
      </c>
      <c r="DL13" s="1" t="s">
        <v>121</v>
      </c>
      <c r="DM13" s="1" t="s">
        <v>121</v>
      </c>
      <c r="DN13" s="1" t="s">
        <v>121</v>
      </c>
      <c r="DO13" s="1" t="s">
        <v>121</v>
      </c>
      <c r="DP13" s="1" t="s">
        <v>121</v>
      </c>
      <c r="DQ13" s="1" t="s">
        <v>121</v>
      </c>
      <c r="DR13" s="1" t="s">
        <v>121</v>
      </c>
      <c r="DS13" s="1" t="s">
        <v>121</v>
      </c>
      <c r="DT13" s="1" t="s">
        <v>121</v>
      </c>
      <c r="DU13" s="1" t="s">
        <v>121</v>
      </c>
      <c r="DV13" s="1" t="s">
        <v>121</v>
      </c>
      <c r="DW13" s="1" t="s">
        <v>121</v>
      </c>
      <c r="DX13" s="1" t="s">
        <v>121</v>
      </c>
      <c r="DY13" s="1" t="s">
        <v>121</v>
      </c>
      <c r="DZ13" s="1" t="s">
        <v>121</v>
      </c>
      <c r="EA13" s="1" t="s">
        <v>121</v>
      </c>
      <c r="EB13" s="1" t="s">
        <v>121</v>
      </c>
      <c r="EC13" s="1" t="s">
        <v>121</v>
      </c>
      <c r="ED13" s="1" t="s">
        <v>121</v>
      </c>
      <c r="EE13" s="1" t="s">
        <v>121</v>
      </c>
      <c r="EF13" s="1" t="s">
        <v>121</v>
      </c>
      <c r="EG13" s="1" t="s">
        <v>121</v>
      </c>
      <c r="EH13" s="1" t="s">
        <v>121</v>
      </c>
      <c r="EI13" s="1" t="s">
        <v>121</v>
      </c>
      <c r="EJ13" s="1" t="s">
        <v>121</v>
      </c>
      <c r="EK13" s="1" t="s">
        <v>121</v>
      </c>
    </row>
    <row r="14" spans="1:153" ht="15" customHeight="1" x14ac:dyDescent="0.25">
      <c r="A14" s="72">
        <v>14</v>
      </c>
      <c r="B14" s="15" t="s">
        <v>270</v>
      </c>
      <c r="C14" s="91" t="s">
        <v>121</v>
      </c>
      <c r="D14" s="86" t="s">
        <v>121</v>
      </c>
      <c r="E14" s="92" t="s">
        <v>121</v>
      </c>
      <c r="F14" s="84" t="s">
        <v>121</v>
      </c>
      <c r="G14" s="84" t="s">
        <v>121</v>
      </c>
      <c r="H14" s="84" t="s">
        <v>121</v>
      </c>
      <c r="I14" s="84" t="s">
        <v>121</v>
      </c>
      <c r="J14" s="84" t="s">
        <v>121</v>
      </c>
      <c r="K14" s="84" t="s">
        <v>121</v>
      </c>
      <c r="L14" s="84" t="s">
        <v>121</v>
      </c>
      <c r="M14" s="84" t="s">
        <v>121</v>
      </c>
      <c r="N14" s="84" t="s">
        <v>121</v>
      </c>
      <c r="O14" s="84" t="s">
        <v>121</v>
      </c>
      <c r="P14" s="84" t="s">
        <v>121</v>
      </c>
      <c r="Q14" s="84" t="s">
        <v>121</v>
      </c>
      <c r="R14" s="404"/>
      <c r="S14" s="404"/>
      <c r="T14" s="404"/>
      <c r="U14" s="84" t="s">
        <v>121</v>
      </c>
      <c r="V14" s="84" t="s">
        <v>121</v>
      </c>
      <c r="W14" s="84" t="s">
        <v>121</v>
      </c>
      <c r="X14" s="84" t="s">
        <v>121</v>
      </c>
      <c r="Y14" s="84" t="s">
        <v>121</v>
      </c>
      <c r="Z14" s="84" t="s">
        <v>121</v>
      </c>
      <c r="AA14" s="84" t="s">
        <v>121</v>
      </c>
      <c r="AB14" s="84" t="s">
        <v>121</v>
      </c>
      <c r="AC14" s="84" t="s">
        <v>121</v>
      </c>
      <c r="AD14" s="84" t="s">
        <v>121</v>
      </c>
      <c r="AE14" s="84" t="s">
        <v>121</v>
      </c>
      <c r="AF14" s="84" t="s">
        <v>121</v>
      </c>
      <c r="AG14" s="84" t="s">
        <v>121</v>
      </c>
      <c r="AH14" s="84">
        <v>66168.997000000003</v>
      </c>
      <c r="AI14" s="84">
        <v>81585.774000000005</v>
      </c>
      <c r="AJ14" s="185">
        <v>91190.339000000007</v>
      </c>
      <c r="AK14" s="84" t="s">
        <v>121</v>
      </c>
      <c r="AL14" s="84">
        <v>71025.993000000002</v>
      </c>
      <c r="AM14" s="84">
        <v>80370.414999999994</v>
      </c>
      <c r="AN14" s="84">
        <v>59449.915999999997</v>
      </c>
      <c r="AO14" s="84">
        <v>61800.245999999999</v>
      </c>
      <c r="AP14" s="84">
        <v>64447.411999999997</v>
      </c>
      <c r="AQ14" s="84">
        <v>87560.535999999993</v>
      </c>
      <c r="AR14" s="84">
        <v>84711.741999999998</v>
      </c>
      <c r="AS14" s="84">
        <v>70314.051000000007</v>
      </c>
      <c r="AT14" s="84">
        <v>49262.296000000002</v>
      </c>
      <c r="AU14" s="84">
        <v>66268.562000000005</v>
      </c>
      <c r="AV14" s="84">
        <v>54239.923999999999</v>
      </c>
      <c r="AW14" s="84">
        <v>39138.709000000003</v>
      </c>
      <c r="AX14" s="84">
        <v>56793.877</v>
      </c>
      <c r="AY14" s="84">
        <v>57404.89</v>
      </c>
      <c r="AZ14" s="84">
        <v>56928.025999999998</v>
      </c>
      <c r="BA14" s="11">
        <v>51728.946000000004</v>
      </c>
      <c r="BB14" s="11">
        <v>46771.040999999997</v>
      </c>
      <c r="BC14" s="11">
        <v>37662.137999999999</v>
      </c>
      <c r="BD14" s="11">
        <v>36969.805</v>
      </c>
      <c r="BE14" s="11">
        <v>35291.038999999997</v>
      </c>
      <c r="BF14" s="11">
        <v>12002.912</v>
      </c>
      <c r="BG14" s="11">
        <v>28930.399000000001</v>
      </c>
      <c r="BH14" s="11">
        <v>36458.724999999999</v>
      </c>
      <c r="BI14" s="11">
        <v>15134.382</v>
      </c>
      <c r="BJ14" s="11">
        <v>7251.0360000000001</v>
      </c>
      <c r="BK14" s="11">
        <v>11678.09</v>
      </c>
      <c r="BL14" s="11">
        <v>6889.4390000000003</v>
      </c>
      <c r="BM14" s="1">
        <v>254.35599999999999</v>
      </c>
      <c r="BN14" s="1">
        <v>3659.991</v>
      </c>
      <c r="BO14" s="1">
        <v>6946.799</v>
      </c>
      <c r="BP14" s="1">
        <v>8935.9490000000005</v>
      </c>
      <c r="BQ14" s="1">
        <v>640.54</v>
      </c>
      <c r="BR14" s="1" t="s">
        <v>121</v>
      </c>
      <c r="BS14" s="1" t="s">
        <v>121</v>
      </c>
      <c r="BT14" s="1" t="s">
        <v>121</v>
      </c>
      <c r="BU14" s="1" t="s">
        <v>121</v>
      </c>
      <c r="BV14" s="1" t="s">
        <v>121</v>
      </c>
      <c r="BW14" s="1" t="s">
        <v>121</v>
      </c>
      <c r="BX14" s="1" t="s">
        <v>121</v>
      </c>
      <c r="BY14" s="1" t="s">
        <v>121</v>
      </c>
      <c r="BZ14" s="1" t="s">
        <v>121</v>
      </c>
      <c r="CA14" s="1" t="s">
        <v>121</v>
      </c>
      <c r="CB14" s="1" t="s">
        <v>121</v>
      </c>
      <c r="CC14" s="1" t="s">
        <v>121</v>
      </c>
      <c r="CD14" s="1" t="s">
        <v>121</v>
      </c>
      <c r="CE14" s="1" t="s">
        <v>121</v>
      </c>
      <c r="CF14" s="1" t="s">
        <v>121</v>
      </c>
      <c r="CG14" s="1" t="s">
        <v>121</v>
      </c>
      <c r="CH14" s="1" t="s">
        <v>121</v>
      </c>
      <c r="CI14" s="1" t="s">
        <v>121</v>
      </c>
      <c r="CJ14" s="1" t="s">
        <v>121</v>
      </c>
      <c r="CK14" s="1" t="s">
        <v>121</v>
      </c>
      <c r="CL14" s="1" t="s">
        <v>121</v>
      </c>
      <c r="CM14" s="1" t="s">
        <v>121</v>
      </c>
      <c r="CN14" s="1" t="s">
        <v>121</v>
      </c>
      <c r="CO14" s="1" t="s">
        <v>121</v>
      </c>
      <c r="CP14" s="1" t="s">
        <v>121</v>
      </c>
      <c r="CQ14" s="1" t="s">
        <v>121</v>
      </c>
      <c r="CR14" s="1" t="s">
        <v>121</v>
      </c>
      <c r="CS14" s="1" t="s">
        <v>121</v>
      </c>
      <c r="CT14" s="1" t="s">
        <v>121</v>
      </c>
      <c r="CU14" s="1" t="s">
        <v>121</v>
      </c>
      <c r="CV14" s="1" t="s">
        <v>121</v>
      </c>
      <c r="CW14" s="1" t="s">
        <v>121</v>
      </c>
      <c r="CX14" s="1" t="s">
        <v>121</v>
      </c>
      <c r="CY14" s="1" t="s">
        <v>121</v>
      </c>
      <c r="CZ14" s="1" t="s">
        <v>121</v>
      </c>
      <c r="DA14" s="1" t="s">
        <v>121</v>
      </c>
      <c r="DB14" s="1" t="s">
        <v>121</v>
      </c>
      <c r="DC14" s="1" t="s">
        <v>121</v>
      </c>
      <c r="DD14" s="1" t="s">
        <v>121</v>
      </c>
      <c r="DE14" s="1" t="s">
        <v>121</v>
      </c>
      <c r="DF14" s="1" t="s">
        <v>121</v>
      </c>
      <c r="DG14" s="1" t="s">
        <v>121</v>
      </c>
      <c r="DH14" s="1" t="s">
        <v>121</v>
      </c>
      <c r="DI14" s="1" t="s">
        <v>121</v>
      </c>
      <c r="DJ14" s="1" t="s">
        <v>121</v>
      </c>
      <c r="DK14" s="1" t="s">
        <v>121</v>
      </c>
      <c r="DL14" s="1" t="s">
        <v>121</v>
      </c>
      <c r="DM14" s="1" t="s">
        <v>121</v>
      </c>
      <c r="DN14" s="1" t="s">
        <v>121</v>
      </c>
      <c r="DO14" s="1" t="s">
        <v>121</v>
      </c>
      <c r="DP14" s="1" t="s">
        <v>121</v>
      </c>
      <c r="DQ14" s="1" t="s">
        <v>121</v>
      </c>
      <c r="DR14" s="1" t="s">
        <v>121</v>
      </c>
      <c r="DS14" s="1" t="s">
        <v>121</v>
      </c>
      <c r="DT14" s="1" t="s">
        <v>121</v>
      </c>
      <c r="DU14" s="1" t="s">
        <v>121</v>
      </c>
      <c r="DV14" s="1" t="s">
        <v>121</v>
      </c>
      <c r="DW14" s="1" t="s">
        <v>121</v>
      </c>
      <c r="DX14" s="1" t="s">
        <v>121</v>
      </c>
      <c r="DY14" s="1" t="s">
        <v>121</v>
      </c>
      <c r="DZ14" s="1" t="s">
        <v>121</v>
      </c>
      <c r="EA14" s="1" t="s">
        <v>121</v>
      </c>
      <c r="EB14" s="1" t="s">
        <v>121</v>
      </c>
      <c r="EC14" s="1" t="s">
        <v>121</v>
      </c>
      <c r="ED14" s="1" t="s">
        <v>121</v>
      </c>
      <c r="EE14" s="1" t="s">
        <v>121</v>
      </c>
      <c r="EF14" s="1" t="s">
        <v>121</v>
      </c>
      <c r="EG14" s="1" t="s">
        <v>121</v>
      </c>
      <c r="EH14" s="1" t="s">
        <v>121</v>
      </c>
      <c r="EI14" s="1" t="s">
        <v>121</v>
      </c>
      <c r="EJ14" s="1" t="s">
        <v>121</v>
      </c>
      <c r="EK14" s="1" t="s">
        <v>121</v>
      </c>
    </row>
    <row r="15" spans="1:153" ht="15" hidden="1" customHeight="1" x14ac:dyDescent="0.25">
      <c r="A15" s="72">
        <v>15</v>
      </c>
      <c r="B15" s="5" t="s">
        <v>271</v>
      </c>
      <c r="C15" s="91" t="s">
        <v>121</v>
      </c>
      <c r="D15" s="86" t="s">
        <v>121</v>
      </c>
      <c r="E15" s="92" t="s">
        <v>121</v>
      </c>
      <c r="F15" s="84" t="s">
        <v>121</v>
      </c>
      <c r="G15" s="84" t="s">
        <v>121</v>
      </c>
      <c r="H15" s="84" t="s">
        <v>121</v>
      </c>
      <c r="I15" s="84" t="s">
        <v>121</v>
      </c>
      <c r="J15" s="84" t="s">
        <v>121</v>
      </c>
      <c r="K15" s="84" t="s">
        <v>121</v>
      </c>
      <c r="L15" s="84" t="s">
        <v>121</v>
      </c>
      <c r="M15" s="84" t="s">
        <v>121</v>
      </c>
      <c r="N15" s="84" t="s">
        <v>121</v>
      </c>
      <c r="O15" s="84" t="s">
        <v>121</v>
      </c>
      <c r="P15" s="84" t="s">
        <v>121</v>
      </c>
      <c r="Q15" s="84" t="s">
        <v>121</v>
      </c>
      <c r="R15" s="404"/>
      <c r="S15" s="404"/>
      <c r="T15" s="404"/>
      <c r="U15" s="84" t="s">
        <v>121</v>
      </c>
      <c r="V15" s="84" t="s">
        <v>121</v>
      </c>
      <c r="W15" s="84" t="s">
        <v>121</v>
      </c>
      <c r="X15" s="84" t="s">
        <v>121</v>
      </c>
      <c r="Y15" s="84" t="s">
        <v>121</v>
      </c>
      <c r="Z15" s="84" t="s">
        <v>121</v>
      </c>
      <c r="AA15" s="84" t="s">
        <v>121</v>
      </c>
      <c r="AB15" s="84" t="s">
        <v>121</v>
      </c>
      <c r="AC15" s="84" t="s">
        <v>121</v>
      </c>
      <c r="AD15" s="84" t="s">
        <v>121</v>
      </c>
      <c r="AE15" s="84" t="s">
        <v>121</v>
      </c>
      <c r="AF15" s="84" t="s">
        <v>121</v>
      </c>
      <c r="AG15" s="84" t="s">
        <v>121</v>
      </c>
      <c r="AH15" s="84" t="s">
        <v>121</v>
      </c>
      <c r="AI15" s="84" t="s">
        <v>121</v>
      </c>
      <c r="AJ15" s="185" t="s">
        <v>121</v>
      </c>
      <c r="AK15" s="84" t="s">
        <v>121</v>
      </c>
      <c r="AL15" s="84" t="s">
        <v>121</v>
      </c>
      <c r="AM15" s="84" t="s">
        <v>121</v>
      </c>
      <c r="AN15" s="84" t="s">
        <v>121</v>
      </c>
      <c r="AO15" s="84" t="s">
        <v>121</v>
      </c>
      <c r="AP15" s="84" t="s">
        <v>121</v>
      </c>
      <c r="AQ15" s="84" t="s">
        <v>121</v>
      </c>
      <c r="AR15" s="84" t="s">
        <v>121</v>
      </c>
      <c r="AS15" s="84" t="s">
        <v>121</v>
      </c>
      <c r="AT15" s="84" t="s">
        <v>121</v>
      </c>
      <c r="AU15" s="84" t="s">
        <v>121</v>
      </c>
      <c r="AV15" s="84" t="s">
        <v>121</v>
      </c>
      <c r="AW15" s="84" t="s">
        <v>121</v>
      </c>
      <c r="AX15" s="84" t="s">
        <v>121</v>
      </c>
      <c r="AY15" s="84" t="s">
        <v>121</v>
      </c>
      <c r="AZ15" s="84" t="s">
        <v>121</v>
      </c>
      <c r="BA15" s="11" t="s">
        <v>121</v>
      </c>
      <c r="BB15" s="11" t="s">
        <v>121</v>
      </c>
      <c r="BC15" s="11" t="s">
        <v>121</v>
      </c>
      <c r="BD15" s="11">
        <v>622.80799999999999</v>
      </c>
      <c r="BE15" s="11">
        <v>608.56799999999998</v>
      </c>
      <c r="BF15" s="11">
        <v>619.36900000000003</v>
      </c>
      <c r="BG15" s="11">
        <v>657.43200000000002</v>
      </c>
      <c r="BH15" s="11" t="s">
        <v>121</v>
      </c>
      <c r="BI15" s="11" t="s">
        <v>121</v>
      </c>
      <c r="BJ15" s="11" t="s">
        <v>121</v>
      </c>
      <c r="BK15" s="11" t="s">
        <v>121</v>
      </c>
      <c r="BL15" s="11" t="s">
        <v>121</v>
      </c>
      <c r="BM15" s="1" t="s">
        <v>121</v>
      </c>
      <c r="BN15" s="1" t="s">
        <v>121</v>
      </c>
      <c r="BO15" s="1" t="s">
        <v>121</v>
      </c>
      <c r="BP15" s="1" t="s">
        <v>121</v>
      </c>
      <c r="BQ15" s="1" t="s">
        <v>121</v>
      </c>
      <c r="BR15" s="1" t="s">
        <v>121</v>
      </c>
      <c r="BS15" s="1" t="s">
        <v>121</v>
      </c>
      <c r="BT15" s="1" t="s">
        <v>121</v>
      </c>
      <c r="BU15" s="1" t="s">
        <v>121</v>
      </c>
      <c r="BV15" s="1" t="s">
        <v>121</v>
      </c>
      <c r="BW15" s="1" t="s">
        <v>121</v>
      </c>
      <c r="BX15" s="1" t="s">
        <v>121</v>
      </c>
      <c r="BY15" s="1" t="s">
        <v>121</v>
      </c>
      <c r="BZ15" s="1" t="s">
        <v>121</v>
      </c>
      <c r="CA15" s="1" t="s">
        <v>121</v>
      </c>
      <c r="CB15" s="1" t="s">
        <v>121</v>
      </c>
      <c r="CC15" s="1" t="s">
        <v>121</v>
      </c>
      <c r="CD15" s="1" t="s">
        <v>121</v>
      </c>
      <c r="CE15" s="1" t="s">
        <v>121</v>
      </c>
      <c r="CF15" s="1" t="s">
        <v>121</v>
      </c>
      <c r="CG15" s="1" t="s">
        <v>121</v>
      </c>
      <c r="CH15" s="1" t="s">
        <v>121</v>
      </c>
      <c r="CI15" s="1" t="s">
        <v>121</v>
      </c>
      <c r="CJ15" s="1" t="s">
        <v>121</v>
      </c>
      <c r="CK15" s="1" t="s">
        <v>121</v>
      </c>
      <c r="CL15" s="1" t="s">
        <v>121</v>
      </c>
      <c r="CM15" s="1" t="s">
        <v>121</v>
      </c>
      <c r="CN15" s="1" t="s">
        <v>121</v>
      </c>
      <c r="CO15" s="1" t="s">
        <v>121</v>
      </c>
      <c r="CP15" s="1" t="s">
        <v>121</v>
      </c>
      <c r="CQ15" s="1" t="s">
        <v>121</v>
      </c>
      <c r="CR15" s="1" t="s">
        <v>121</v>
      </c>
      <c r="CS15" s="1" t="s">
        <v>121</v>
      </c>
      <c r="CT15" s="1" t="s">
        <v>121</v>
      </c>
      <c r="CU15" s="1" t="s">
        <v>121</v>
      </c>
      <c r="CV15" s="1" t="s">
        <v>121</v>
      </c>
      <c r="CW15" s="1" t="s">
        <v>121</v>
      </c>
      <c r="CX15" s="1" t="s">
        <v>121</v>
      </c>
      <c r="CY15" s="1" t="s">
        <v>121</v>
      </c>
      <c r="CZ15" s="1" t="s">
        <v>121</v>
      </c>
      <c r="DA15" s="1" t="s">
        <v>121</v>
      </c>
      <c r="DB15" s="1" t="s">
        <v>121</v>
      </c>
      <c r="DC15" s="1" t="s">
        <v>121</v>
      </c>
      <c r="DD15" s="1" t="s">
        <v>121</v>
      </c>
      <c r="DE15" s="1" t="s">
        <v>121</v>
      </c>
      <c r="DF15" s="1" t="s">
        <v>121</v>
      </c>
      <c r="DG15" s="1" t="s">
        <v>121</v>
      </c>
      <c r="DH15" s="1" t="s">
        <v>121</v>
      </c>
      <c r="DI15" s="1" t="s">
        <v>121</v>
      </c>
      <c r="DJ15" s="1" t="s">
        <v>121</v>
      </c>
      <c r="DK15" s="1" t="s">
        <v>121</v>
      </c>
      <c r="DL15" s="1" t="s">
        <v>121</v>
      </c>
      <c r="DM15" s="1" t="s">
        <v>121</v>
      </c>
      <c r="DN15" s="1" t="s">
        <v>121</v>
      </c>
      <c r="DO15" s="1" t="s">
        <v>121</v>
      </c>
      <c r="DP15" s="1" t="s">
        <v>121</v>
      </c>
      <c r="DQ15" s="1" t="s">
        <v>121</v>
      </c>
      <c r="DR15" s="1" t="s">
        <v>121</v>
      </c>
      <c r="DS15" s="1" t="s">
        <v>121</v>
      </c>
      <c r="DT15" s="1" t="s">
        <v>121</v>
      </c>
      <c r="DU15" s="1" t="s">
        <v>121</v>
      </c>
      <c r="DV15" s="1" t="s">
        <v>121</v>
      </c>
      <c r="DW15" s="1" t="s">
        <v>121</v>
      </c>
      <c r="DX15" s="1" t="s">
        <v>121</v>
      </c>
      <c r="DY15" s="1" t="s">
        <v>121</v>
      </c>
      <c r="DZ15" s="1" t="s">
        <v>121</v>
      </c>
      <c r="EA15" s="1" t="s">
        <v>121</v>
      </c>
      <c r="EB15" s="1" t="s">
        <v>121</v>
      </c>
      <c r="EC15" s="1" t="s">
        <v>121</v>
      </c>
      <c r="ED15" s="1" t="s">
        <v>121</v>
      </c>
      <c r="EE15" s="1" t="s">
        <v>121</v>
      </c>
      <c r="EF15" s="1" t="s">
        <v>121</v>
      </c>
      <c r="EG15" s="1" t="s">
        <v>121</v>
      </c>
      <c r="EH15" s="1" t="s">
        <v>121</v>
      </c>
      <c r="EI15" s="1" t="s">
        <v>121</v>
      </c>
      <c r="EJ15" s="1" t="s">
        <v>121</v>
      </c>
      <c r="EK15" s="1" t="s">
        <v>121</v>
      </c>
    </row>
    <row r="16" spans="1:153" s="39" customFormat="1" ht="15" customHeight="1" x14ac:dyDescent="0.25">
      <c r="A16" s="72">
        <v>16</v>
      </c>
      <c r="B16" s="40" t="s">
        <v>272</v>
      </c>
      <c r="C16" s="91" t="s">
        <v>121</v>
      </c>
      <c r="D16" s="86" t="s">
        <v>121</v>
      </c>
      <c r="E16" s="92" t="s">
        <v>121</v>
      </c>
      <c r="F16" s="85">
        <v>133902</v>
      </c>
      <c r="G16" s="85">
        <v>188141</v>
      </c>
      <c r="H16" s="85">
        <v>92232</v>
      </c>
      <c r="I16" s="85">
        <v>118223</v>
      </c>
      <c r="J16" s="85">
        <v>109254</v>
      </c>
      <c r="K16" s="85">
        <v>115116</v>
      </c>
      <c r="L16" s="85">
        <v>38481</v>
      </c>
      <c r="M16" s="85">
        <v>123916</v>
      </c>
      <c r="N16" s="85">
        <v>75115</v>
      </c>
      <c r="O16" s="85">
        <v>30191</v>
      </c>
      <c r="P16" s="85">
        <v>36509</v>
      </c>
      <c r="Q16" s="85">
        <v>98106</v>
      </c>
      <c r="R16" s="404"/>
      <c r="S16" s="404"/>
      <c r="T16" s="404"/>
      <c r="U16" s="85">
        <v>134963</v>
      </c>
      <c r="V16" s="85">
        <v>116570.629</v>
      </c>
      <c r="W16" s="85">
        <v>98551.301000000007</v>
      </c>
      <c r="X16" s="85">
        <v>94819.02</v>
      </c>
      <c r="Y16" s="85">
        <v>104272</v>
      </c>
      <c r="Z16" s="85">
        <v>102346.11</v>
      </c>
      <c r="AA16" s="85">
        <v>100286.467</v>
      </c>
      <c r="AB16" s="85">
        <v>69086.040999999997</v>
      </c>
      <c r="AC16" s="85">
        <v>95407.101999999999</v>
      </c>
      <c r="AD16" s="85">
        <v>80441.835999999996</v>
      </c>
      <c r="AE16" s="85">
        <v>87719.657999999996</v>
      </c>
      <c r="AF16" s="85">
        <v>89755.381999999998</v>
      </c>
      <c r="AG16" s="85">
        <v>88118.487999999998</v>
      </c>
      <c r="AH16" s="85">
        <v>53761.457000000002</v>
      </c>
      <c r="AI16" s="85">
        <v>34063.660000000003</v>
      </c>
      <c r="AJ16" s="187">
        <v>68195.78</v>
      </c>
      <c r="AK16" s="85">
        <v>67809.092999999993</v>
      </c>
      <c r="AL16" s="85">
        <v>58524.737999999998</v>
      </c>
      <c r="AM16" s="85">
        <v>42251.112000000001</v>
      </c>
      <c r="AN16" s="85">
        <v>49545.095000000001</v>
      </c>
      <c r="AO16" s="85">
        <v>58499.451999999997</v>
      </c>
      <c r="AP16" s="85">
        <v>34134.595999999998</v>
      </c>
      <c r="AQ16" s="85">
        <v>24089.831999999999</v>
      </c>
      <c r="AR16" s="85">
        <v>25982.003000000001</v>
      </c>
      <c r="AS16" s="85">
        <v>15220.59</v>
      </c>
      <c r="AT16" s="85">
        <v>27021.864000000001</v>
      </c>
      <c r="AU16" s="85">
        <v>33147.811000000002</v>
      </c>
      <c r="AV16" s="85">
        <v>33206.235999999997</v>
      </c>
      <c r="AW16" s="85">
        <v>29511.109</v>
      </c>
      <c r="AX16" s="85">
        <v>32216.744999999999</v>
      </c>
      <c r="AY16" s="85">
        <v>21221.814999999999</v>
      </c>
      <c r="AZ16" s="85">
        <v>20547.648000000001</v>
      </c>
      <c r="BA16" s="45">
        <v>14853.88</v>
      </c>
      <c r="BB16" s="45">
        <v>14833.155000000001</v>
      </c>
      <c r="BC16" s="45">
        <v>10518.468999999999</v>
      </c>
      <c r="BD16" s="45">
        <v>6258.9309999999996</v>
      </c>
      <c r="BE16" s="45">
        <v>9082.3979999999992</v>
      </c>
      <c r="BF16" s="45">
        <v>646.59</v>
      </c>
      <c r="BG16" s="45">
        <v>2094.201</v>
      </c>
      <c r="BH16" s="45">
        <v>15339.691999999999</v>
      </c>
      <c r="BI16" s="45">
        <v>7849.0119999999997</v>
      </c>
      <c r="BJ16" s="45">
        <v>6836.0749999999998</v>
      </c>
      <c r="BK16" s="45">
        <v>4727.9889999999996</v>
      </c>
      <c r="BL16" s="45">
        <v>5495.3670000000002</v>
      </c>
      <c r="BM16" s="39">
        <v>8423.5380000000005</v>
      </c>
      <c r="BN16" s="39">
        <v>5486.4930000000004</v>
      </c>
      <c r="BO16" s="39">
        <v>7876.8729999999996</v>
      </c>
      <c r="BP16" s="39">
        <v>7056.6819999999998</v>
      </c>
      <c r="BQ16" s="39">
        <v>3576.299</v>
      </c>
      <c r="BR16" s="39" t="s">
        <v>121</v>
      </c>
      <c r="BS16" s="39" t="s">
        <v>121</v>
      </c>
      <c r="BT16" s="39" t="s">
        <v>121</v>
      </c>
      <c r="BU16" s="39" t="s">
        <v>121</v>
      </c>
      <c r="BV16" s="39" t="s">
        <v>121</v>
      </c>
      <c r="BW16" s="39" t="s">
        <v>121</v>
      </c>
      <c r="BX16" s="39" t="s">
        <v>121</v>
      </c>
      <c r="BY16" s="39" t="s">
        <v>121</v>
      </c>
      <c r="BZ16" s="39" t="s">
        <v>121</v>
      </c>
      <c r="CA16" s="39" t="s">
        <v>121</v>
      </c>
      <c r="CB16" s="39" t="s">
        <v>121</v>
      </c>
      <c r="CC16" s="39" t="s">
        <v>121</v>
      </c>
      <c r="CD16" s="39" t="s">
        <v>121</v>
      </c>
      <c r="CE16" s="39" t="s">
        <v>121</v>
      </c>
      <c r="CF16" s="39" t="s">
        <v>121</v>
      </c>
      <c r="CG16" s="39" t="s">
        <v>121</v>
      </c>
      <c r="CH16" s="39" t="s">
        <v>121</v>
      </c>
      <c r="CI16" s="39" t="s">
        <v>121</v>
      </c>
      <c r="CJ16" s="39" t="s">
        <v>121</v>
      </c>
      <c r="CK16" s="39" t="s">
        <v>121</v>
      </c>
      <c r="CL16" s="39" t="s">
        <v>121</v>
      </c>
      <c r="CM16" s="39" t="s">
        <v>121</v>
      </c>
      <c r="CN16" s="39" t="s">
        <v>121</v>
      </c>
      <c r="CO16" s="39" t="s">
        <v>121</v>
      </c>
      <c r="CP16" s="39" t="s">
        <v>121</v>
      </c>
      <c r="CQ16" s="39" t="s">
        <v>121</v>
      </c>
      <c r="CR16" s="39" t="s">
        <v>121</v>
      </c>
      <c r="CS16" s="39" t="s">
        <v>121</v>
      </c>
      <c r="CT16" s="39" t="s">
        <v>121</v>
      </c>
      <c r="CU16" s="39" t="s">
        <v>121</v>
      </c>
      <c r="CV16" s="39" t="s">
        <v>121</v>
      </c>
      <c r="CW16" s="39" t="s">
        <v>121</v>
      </c>
      <c r="CX16" s="39" t="s">
        <v>121</v>
      </c>
      <c r="CY16" s="39" t="s">
        <v>121</v>
      </c>
      <c r="CZ16" s="39" t="s">
        <v>121</v>
      </c>
      <c r="DA16" s="39" t="s">
        <v>121</v>
      </c>
      <c r="DB16" s="39" t="s">
        <v>121</v>
      </c>
      <c r="DC16" s="39" t="s">
        <v>121</v>
      </c>
      <c r="DD16" s="39" t="s">
        <v>121</v>
      </c>
      <c r="DE16" s="39" t="s">
        <v>121</v>
      </c>
      <c r="DF16" s="39" t="s">
        <v>121</v>
      </c>
      <c r="DG16" s="39" t="s">
        <v>121</v>
      </c>
      <c r="DH16" s="39" t="s">
        <v>121</v>
      </c>
      <c r="DI16" s="39" t="s">
        <v>121</v>
      </c>
      <c r="DJ16" s="39" t="s">
        <v>121</v>
      </c>
      <c r="DK16" s="39" t="s">
        <v>121</v>
      </c>
      <c r="DL16" s="39" t="s">
        <v>121</v>
      </c>
      <c r="DM16" s="39" t="s">
        <v>121</v>
      </c>
      <c r="DN16" s="39" t="s">
        <v>121</v>
      </c>
      <c r="DO16" s="39" t="s">
        <v>121</v>
      </c>
      <c r="DP16" s="39" t="s">
        <v>121</v>
      </c>
      <c r="DQ16" s="39" t="s">
        <v>121</v>
      </c>
      <c r="DR16" s="39" t="s">
        <v>121</v>
      </c>
      <c r="DS16" s="39" t="s">
        <v>121</v>
      </c>
      <c r="DT16" s="39" t="s">
        <v>121</v>
      </c>
      <c r="DU16" s="39" t="s">
        <v>121</v>
      </c>
      <c r="DV16" s="39" t="s">
        <v>121</v>
      </c>
      <c r="DW16" s="39" t="s">
        <v>121</v>
      </c>
      <c r="DX16" s="39" t="s">
        <v>121</v>
      </c>
      <c r="DY16" s="39" t="s">
        <v>121</v>
      </c>
      <c r="DZ16" s="39" t="s">
        <v>121</v>
      </c>
      <c r="EA16" s="39" t="s">
        <v>121</v>
      </c>
      <c r="EB16" s="39" t="s">
        <v>121</v>
      </c>
      <c r="EC16" s="39" t="s">
        <v>121</v>
      </c>
      <c r="ED16" s="39" t="s">
        <v>121</v>
      </c>
      <c r="EE16" s="39" t="s">
        <v>121</v>
      </c>
      <c r="EF16" s="39" t="s">
        <v>121</v>
      </c>
      <c r="EG16" s="39" t="s">
        <v>121</v>
      </c>
      <c r="EH16" s="39" t="s">
        <v>121</v>
      </c>
      <c r="EI16" s="39" t="s">
        <v>121</v>
      </c>
      <c r="EJ16" s="39" t="s">
        <v>121</v>
      </c>
      <c r="EK16" s="39" t="s">
        <v>121</v>
      </c>
    </row>
    <row r="17" spans="1:141" s="39" customFormat="1" ht="15" customHeight="1" x14ac:dyDescent="0.25">
      <c r="A17" s="72">
        <v>17</v>
      </c>
      <c r="B17" s="40" t="s">
        <v>273</v>
      </c>
      <c r="C17" s="91" t="s">
        <v>121</v>
      </c>
      <c r="D17" s="86" t="s">
        <v>121</v>
      </c>
      <c r="E17" s="92" t="s">
        <v>121</v>
      </c>
      <c r="F17" s="85">
        <v>4732</v>
      </c>
      <c r="G17" s="85">
        <v>7883</v>
      </c>
      <c r="H17" s="85">
        <v>8441</v>
      </c>
      <c r="I17" s="85">
        <v>5589</v>
      </c>
      <c r="J17" s="85">
        <v>6951</v>
      </c>
      <c r="K17" s="85">
        <v>8387</v>
      </c>
      <c r="L17" s="85">
        <v>3488</v>
      </c>
      <c r="M17" s="85">
        <v>3394</v>
      </c>
      <c r="N17" s="85">
        <v>3207</v>
      </c>
      <c r="O17" s="85">
        <v>2727</v>
      </c>
      <c r="P17" s="85">
        <v>1921</v>
      </c>
      <c r="Q17" s="85">
        <v>4084</v>
      </c>
      <c r="R17" s="404"/>
      <c r="S17" s="404"/>
      <c r="T17" s="404"/>
      <c r="U17" s="85">
        <v>5543</v>
      </c>
      <c r="V17" s="85">
        <v>4173.0479999999998</v>
      </c>
      <c r="W17" s="85">
        <v>6056.4129999999996</v>
      </c>
      <c r="X17" s="85">
        <v>6347.259</v>
      </c>
      <c r="Y17" s="85">
        <v>5048</v>
      </c>
      <c r="Z17" s="85">
        <v>8869.1659999999993</v>
      </c>
      <c r="AA17" s="85">
        <v>7085.1530000000002</v>
      </c>
      <c r="AB17" s="85">
        <v>10463.207</v>
      </c>
      <c r="AC17" s="85">
        <v>5350.8549999999996</v>
      </c>
      <c r="AD17" s="85">
        <v>6842.7479999999996</v>
      </c>
      <c r="AE17" s="85">
        <v>4331.7650000000003</v>
      </c>
      <c r="AF17" s="85">
        <v>5815.1480000000001</v>
      </c>
      <c r="AG17" s="85">
        <v>6877.0950000000003</v>
      </c>
      <c r="AH17" s="85">
        <v>3074.0230000000001</v>
      </c>
      <c r="AI17" s="85">
        <v>2218.3960000000002</v>
      </c>
      <c r="AJ17" s="187">
        <v>1313.7670000000001</v>
      </c>
      <c r="AK17" s="85">
        <v>1217.5340000000001</v>
      </c>
      <c r="AL17" s="85">
        <v>1324.422</v>
      </c>
      <c r="AM17" s="85">
        <v>702.62199999999996</v>
      </c>
      <c r="AN17" s="85">
        <v>6291.4440000000004</v>
      </c>
      <c r="AO17" s="85">
        <v>5537.9750000000004</v>
      </c>
      <c r="AP17" s="85">
        <v>3946.4650000000001</v>
      </c>
      <c r="AQ17" s="85">
        <v>4225.3159999999998</v>
      </c>
      <c r="AR17" s="85">
        <v>4530.5690000000004</v>
      </c>
      <c r="AS17" s="85">
        <v>4974.7950000000001</v>
      </c>
      <c r="AT17" s="85" t="s">
        <v>121</v>
      </c>
      <c r="AU17" s="85" t="s">
        <v>121</v>
      </c>
      <c r="AV17" s="85" t="s">
        <v>121</v>
      </c>
      <c r="AW17" s="85" t="s">
        <v>121</v>
      </c>
      <c r="AX17" s="85" t="s">
        <v>121</v>
      </c>
      <c r="AY17" s="85" t="s">
        <v>121</v>
      </c>
      <c r="AZ17" s="85" t="s">
        <v>121</v>
      </c>
      <c r="BA17" s="45" t="s">
        <v>121</v>
      </c>
      <c r="BB17" s="45" t="s">
        <v>121</v>
      </c>
      <c r="BC17" s="45" t="s">
        <v>121</v>
      </c>
      <c r="BD17" s="45" t="s">
        <v>121</v>
      </c>
      <c r="BE17" s="45" t="s">
        <v>121</v>
      </c>
      <c r="BF17" s="45" t="s">
        <v>121</v>
      </c>
      <c r="BG17" s="45" t="s">
        <v>121</v>
      </c>
      <c r="BH17" s="45" t="s">
        <v>121</v>
      </c>
      <c r="BI17" s="45" t="s">
        <v>121</v>
      </c>
      <c r="BJ17" s="45" t="s">
        <v>121</v>
      </c>
      <c r="BK17" s="45" t="s">
        <v>121</v>
      </c>
      <c r="BL17" s="45" t="s">
        <v>121</v>
      </c>
      <c r="BM17" s="39" t="s">
        <v>121</v>
      </c>
      <c r="BN17" s="39" t="s">
        <v>121</v>
      </c>
      <c r="BO17" s="39" t="s">
        <v>121</v>
      </c>
      <c r="BP17" s="39" t="s">
        <v>121</v>
      </c>
      <c r="BQ17" s="39" t="s">
        <v>121</v>
      </c>
      <c r="BR17" s="39" t="s">
        <v>121</v>
      </c>
      <c r="BS17" s="39" t="s">
        <v>121</v>
      </c>
      <c r="BT17" s="39" t="s">
        <v>121</v>
      </c>
      <c r="BU17" s="39" t="s">
        <v>121</v>
      </c>
      <c r="BV17" s="39" t="s">
        <v>121</v>
      </c>
      <c r="BW17" s="39" t="s">
        <v>121</v>
      </c>
      <c r="BX17" s="39" t="s">
        <v>121</v>
      </c>
      <c r="BY17" s="39" t="s">
        <v>121</v>
      </c>
      <c r="BZ17" s="39" t="s">
        <v>121</v>
      </c>
      <c r="CA17" s="39" t="s">
        <v>121</v>
      </c>
      <c r="CB17" s="39" t="s">
        <v>121</v>
      </c>
      <c r="CC17" s="39" t="s">
        <v>121</v>
      </c>
      <c r="CD17" s="39" t="s">
        <v>121</v>
      </c>
      <c r="CE17" s="39" t="s">
        <v>121</v>
      </c>
      <c r="CF17" s="39" t="s">
        <v>121</v>
      </c>
      <c r="CG17" s="39" t="s">
        <v>121</v>
      </c>
      <c r="CH17" s="39" t="s">
        <v>121</v>
      </c>
      <c r="CI17" s="39" t="s">
        <v>121</v>
      </c>
      <c r="CJ17" s="39" t="s">
        <v>121</v>
      </c>
      <c r="CK17" s="39" t="s">
        <v>121</v>
      </c>
      <c r="CL17" s="39" t="s">
        <v>121</v>
      </c>
      <c r="CM17" s="39" t="s">
        <v>121</v>
      </c>
      <c r="CN17" s="39" t="s">
        <v>121</v>
      </c>
      <c r="CO17" s="39" t="s">
        <v>121</v>
      </c>
      <c r="CP17" s="39" t="s">
        <v>121</v>
      </c>
      <c r="CQ17" s="39" t="s">
        <v>121</v>
      </c>
      <c r="CR17" s="39" t="s">
        <v>121</v>
      </c>
      <c r="CS17" s="39" t="s">
        <v>121</v>
      </c>
      <c r="CT17" s="39" t="s">
        <v>121</v>
      </c>
      <c r="CU17" s="39" t="s">
        <v>121</v>
      </c>
      <c r="CV17" s="39" t="s">
        <v>121</v>
      </c>
      <c r="CW17" s="39" t="s">
        <v>121</v>
      </c>
      <c r="CX17" s="39" t="s">
        <v>121</v>
      </c>
      <c r="CY17" s="39" t="s">
        <v>121</v>
      </c>
      <c r="CZ17" s="39" t="s">
        <v>121</v>
      </c>
      <c r="DA17" s="39" t="s">
        <v>121</v>
      </c>
      <c r="DB17" s="39" t="s">
        <v>121</v>
      </c>
      <c r="DC17" s="39" t="s">
        <v>121</v>
      </c>
      <c r="DD17" s="39" t="s">
        <v>121</v>
      </c>
      <c r="DE17" s="39" t="s">
        <v>121</v>
      </c>
      <c r="DF17" s="39" t="s">
        <v>121</v>
      </c>
      <c r="DG17" s="39" t="s">
        <v>121</v>
      </c>
      <c r="DH17" s="39" t="s">
        <v>121</v>
      </c>
      <c r="DI17" s="39" t="s">
        <v>121</v>
      </c>
      <c r="DJ17" s="39" t="s">
        <v>121</v>
      </c>
      <c r="DK17" s="39" t="s">
        <v>121</v>
      </c>
      <c r="DL17" s="39" t="s">
        <v>121</v>
      </c>
      <c r="DM17" s="39" t="s">
        <v>121</v>
      </c>
      <c r="DN17" s="39" t="s">
        <v>121</v>
      </c>
      <c r="DO17" s="39" t="s">
        <v>121</v>
      </c>
      <c r="DP17" s="39" t="s">
        <v>121</v>
      </c>
      <c r="DQ17" s="39" t="s">
        <v>121</v>
      </c>
      <c r="DR17" s="39" t="s">
        <v>121</v>
      </c>
      <c r="DS17" s="39" t="s">
        <v>121</v>
      </c>
      <c r="DT17" s="39" t="s">
        <v>121</v>
      </c>
      <c r="DU17" s="39" t="s">
        <v>121</v>
      </c>
      <c r="DV17" s="39" t="s">
        <v>121</v>
      </c>
      <c r="DW17" s="39" t="s">
        <v>121</v>
      </c>
      <c r="DX17" s="39" t="s">
        <v>121</v>
      </c>
      <c r="DY17" s="39" t="s">
        <v>121</v>
      </c>
      <c r="DZ17" s="39" t="s">
        <v>121</v>
      </c>
      <c r="EA17" s="39" t="s">
        <v>121</v>
      </c>
      <c r="EB17" s="39" t="s">
        <v>121</v>
      </c>
      <c r="EC17" s="39" t="s">
        <v>121</v>
      </c>
      <c r="ED17" s="39" t="s">
        <v>121</v>
      </c>
      <c r="EE17" s="39" t="s">
        <v>121</v>
      </c>
      <c r="EF17" s="39" t="s">
        <v>121</v>
      </c>
      <c r="EG17" s="39" t="s">
        <v>121</v>
      </c>
      <c r="EH17" s="39" t="s">
        <v>121</v>
      </c>
      <c r="EI17" s="39" t="s">
        <v>121</v>
      </c>
      <c r="EJ17" s="39" t="s">
        <v>121</v>
      </c>
      <c r="EK17" s="39" t="s">
        <v>121</v>
      </c>
    </row>
    <row r="18" spans="1:141" s="39" customFormat="1" ht="15" customHeight="1" x14ac:dyDescent="0.25">
      <c r="A18" s="72">
        <v>18</v>
      </c>
      <c r="B18" s="40" t="s">
        <v>274</v>
      </c>
      <c r="C18" s="91">
        <v>2.6539343009931247</v>
      </c>
      <c r="D18" s="86">
        <v>1.8434506902701631</v>
      </c>
      <c r="E18" s="92">
        <v>-0.41432653061224489</v>
      </c>
      <c r="F18" s="85">
        <v>43047</v>
      </c>
      <c r="G18" s="85">
        <v>11781</v>
      </c>
      <c r="H18" s="85">
        <v>37453</v>
      </c>
      <c r="I18" s="85">
        <v>73500</v>
      </c>
      <c r="J18" s="85">
        <v>15139</v>
      </c>
      <c r="K18" s="85">
        <v>23978</v>
      </c>
      <c r="L18" s="85">
        <v>39307</v>
      </c>
      <c r="M18" s="85">
        <v>43813</v>
      </c>
      <c r="N18" s="85">
        <v>38089</v>
      </c>
      <c r="O18" s="85">
        <v>56681</v>
      </c>
      <c r="P18" s="85">
        <v>29105</v>
      </c>
      <c r="Q18" s="85">
        <v>38312</v>
      </c>
      <c r="R18" s="404"/>
      <c r="S18" s="404"/>
      <c r="T18" s="404"/>
      <c r="U18" s="85">
        <v>27103</v>
      </c>
      <c r="V18" s="85">
        <v>11072.734</v>
      </c>
      <c r="W18" s="85">
        <v>24858.802</v>
      </c>
      <c r="X18" s="85">
        <v>20294.686000000002</v>
      </c>
      <c r="Y18" s="85">
        <v>22460</v>
      </c>
      <c r="Z18" s="85">
        <v>14084.787</v>
      </c>
      <c r="AA18" s="85">
        <v>5922.6090000000004</v>
      </c>
      <c r="AB18" s="85">
        <v>25001.845000000001</v>
      </c>
      <c r="AC18" s="85">
        <v>28022.486000000001</v>
      </c>
      <c r="AD18" s="85">
        <v>46930.076000000001</v>
      </c>
      <c r="AE18" s="85">
        <v>20155.455000000002</v>
      </c>
      <c r="AF18" s="85">
        <v>47747.483999999997</v>
      </c>
      <c r="AG18" s="85">
        <v>32368.148000000001</v>
      </c>
      <c r="AH18" s="85">
        <v>29017.672999999999</v>
      </c>
      <c r="AI18" s="85">
        <v>23974.952000000001</v>
      </c>
      <c r="AJ18" s="187">
        <v>43757.226000000002</v>
      </c>
      <c r="AK18" s="85">
        <v>34939.256000000001</v>
      </c>
      <c r="AL18" s="85">
        <v>19507.591</v>
      </c>
      <c r="AM18" s="85">
        <v>11344.49</v>
      </c>
      <c r="AN18" s="85">
        <v>3536.5120000000002</v>
      </c>
      <c r="AO18" s="85">
        <v>33371.758000000002</v>
      </c>
      <c r="AP18" s="85">
        <v>5062.2299999999996</v>
      </c>
      <c r="AQ18" s="85">
        <v>4192.0529999999999</v>
      </c>
      <c r="AR18" s="85">
        <v>28384.887999999999</v>
      </c>
      <c r="AS18" s="85">
        <v>35122.584000000003</v>
      </c>
      <c r="AT18" s="85">
        <v>8088.5159999999996</v>
      </c>
      <c r="AU18" s="85">
        <v>24420.210999999999</v>
      </c>
      <c r="AV18" s="85">
        <v>26548.024000000001</v>
      </c>
      <c r="AW18" s="85">
        <v>29264.47</v>
      </c>
      <c r="AX18" s="85">
        <v>1768.1369999999999</v>
      </c>
      <c r="AY18" s="85">
        <v>1393.046</v>
      </c>
      <c r="AZ18" s="85">
        <v>3823.6770000000001</v>
      </c>
      <c r="BA18" s="45">
        <v>8617.2939999999999</v>
      </c>
      <c r="BB18" s="45">
        <v>2209.2950000000001</v>
      </c>
      <c r="BC18" s="45">
        <v>2007.903</v>
      </c>
      <c r="BD18" s="45">
        <v>3398.386</v>
      </c>
      <c r="BE18" s="45">
        <v>2899.1590000000001</v>
      </c>
      <c r="BF18" s="45">
        <v>1975.4179999999999</v>
      </c>
      <c r="BG18" s="45">
        <v>3866.1149999999998</v>
      </c>
      <c r="BH18" s="45">
        <v>6727.5519999999997</v>
      </c>
      <c r="BI18" s="45">
        <v>2998.6529999999998</v>
      </c>
      <c r="BJ18" s="45">
        <v>3105.6750000000002</v>
      </c>
      <c r="BK18" s="45">
        <v>3598.6790000000001</v>
      </c>
      <c r="BL18" s="45">
        <v>5250.69</v>
      </c>
      <c r="BM18" s="39">
        <v>12397.924999999999</v>
      </c>
      <c r="BN18" s="39">
        <v>1003.69</v>
      </c>
      <c r="BO18" s="39">
        <v>1040.9690000000001</v>
      </c>
      <c r="BP18" s="39">
        <v>1256.2470000000001</v>
      </c>
      <c r="BQ18" s="39">
        <v>5867.3549999999996</v>
      </c>
      <c r="BR18" s="39" t="s">
        <v>121</v>
      </c>
      <c r="BS18" s="39" t="s">
        <v>121</v>
      </c>
      <c r="BT18" s="39" t="s">
        <v>121</v>
      </c>
      <c r="BU18" s="39" t="s">
        <v>121</v>
      </c>
      <c r="BV18" s="39" t="s">
        <v>121</v>
      </c>
      <c r="BW18" s="39" t="s">
        <v>121</v>
      </c>
      <c r="BX18" s="39" t="s">
        <v>121</v>
      </c>
      <c r="BY18" s="39" t="s">
        <v>121</v>
      </c>
      <c r="BZ18" s="39" t="s">
        <v>121</v>
      </c>
      <c r="CA18" s="39" t="s">
        <v>121</v>
      </c>
      <c r="CB18" s="39" t="s">
        <v>121</v>
      </c>
      <c r="CC18" s="39" t="s">
        <v>121</v>
      </c>
      <c r="CD18" s="39" t="s">
        <v>121</v>
      </c>
      <c r="CE18" s="39" t="s">
        <v>121</v>
      </c>
      <c r="CF18" s="39" t="s">
        <v>121</v>
      </c>
      <c r="CG18" s="39" t="s">
        <v>121</v>
      </c>
      <c r="CH18" s="39" t="s">
        <v>121</v>
      </c>
      <c r="CI18" s="39" t="s">
        <v>121</v>
      </c>
      <c r="CJ18" s="39" t="s">
        <v>121</v>
      </c>
      <c r="CK18" s="39" t="s">
        <v>121</v>
      </c>
      <c r="CL18" s="39" t="s">
        <v>121</v>
      </c>
      <c r="CM18" s="39" t="s">
        <v>121</v>
      </c>
      <c r="CN18" s="39" t="s">
        <v>121</v>
      </c>
      <c r="CO18" s="39" t="s">
        <v>121</v>
      </c>
      <c r="CP18" s="39" t="s">
        <v>121</v>
      </c>
      <c r="CQ18" s="39" t="s">
        <v>121</v>
      </c>
      <c r="CR18" s="39" t="s">
        <v>121</v>
      </c>
      <c r="CS18" s="39" t="s">
        <v>121</v>
      </c>
      <c r="CT18" s="39" t="s">
        <v>121</v>
      </c>
      <c r="CU18" s="39" t="s">
        <v>121</v>
      </c>
      <c r="CV18" s="39" t="s">
        <v>121</v>
      </c>
      <c r="CW18" s="39" t="s">
        <v>121</v>
      </c>
      <c r="CX18" s="39" t="s">
        <v>121</v>
      </c>
      <c r="CY18" s="39" t="s">
        <v>121</v>
      </c>
      <c r="CZ18" s="39" t="s">
        <v>121</v>
      </c>
      <c r="DA18" s="39" t="s">
        <v>121</v>
      </c>
      <c r="DB18" s="39" t="s">
        <v>121</v>
      </c>
      <c r="DC18" s="39" t="s">
        <v>121</v>
      </c>
      <c r="DD18" s="39" t="s">
        <v>121</v>
      </c>
      <c r="DE18" s="39" t="s">
        <v>121</v>
      </c>
      <c r="DF18" s="39" t="s">
        <v>121</v>
      </c>
      <c r="DG18" s="39" t="s">
        <v>121</v>
      </c>
      <c r="DH18" s="39" t="s">
        <v>121</v>
      </c>
      <c r="DI18" s="39" t="s">
        <v>121</v>
      </c>
      <c r="DJ18" s="39" t="s">
        <v>121</v>
      </c>
      <c r="DK18" s="39" t="s">
        <v>121</v>
      </c>
      <c r="DL18" s="39" t="s">
        <v>121</v>
      </c>
      <c r="DM18" s="39" t="s">
        <v>121</v>
      </c>
      <c r="DN18" s="39" t="s">
        <v>121</v>
      </c>
      <c r="DO18" s="39" t="s">
        <v>121</v>
      </c>
      <c r="DP18" s="39" t="s">
        <v>121</v>
      </c>
      <c r="DQ18" s="39" t="s">
        <v>121</v>
      </c>
      <c r="DR18" s="39" t="s">
        <v>121</v>
      </c>
      <c r="DS18" s="39" t="s">
        <v>121</v>
      </c>
      <c r="DT18" s="39" t="s">
        <v>121</v>
      </c>
      <c r="DU18" s="39" t="s">
        <v>121</v>
      </c>
      <c r="DV18" s="39" t="s">
        <v>121</v>
      </c>
      <c r="DW18" s="39" t="s">
        <v>121</v>
      </c>
      <c r="DX18" s="39" t="s">
        <v>121</v>
      </c>
      <c r="DY18" s="39" t="s">
        <v>121</v>
      </c>
      <c r="DZ18" s="39" t="s">
        <v>121</v>
      </c>
      <c r="EA18" s="39" t="s">
        <v>121</v>
      </c>
      <c r="EB18" s="39" t="s">
        <v>121</v>
      </c>
      <c r="EC18" s="39" t="s">
        <v>121</v>
      </c>
      <c r="ED18" s="39" t="s">
        <v>121</v>
      </c>
      <c r="EE18" s="39" t="s">
        <v>121</v>
      </c>
      <c r="EF18" s="39" t="s">
        <v>121</v>
      </c>
      <c r="EG18" s="39" t="s">
        <v>121</v>
      </c>
      <c r="EH18" s="39" t="s">
        <v>121</v>
      </c>
      <c r="EI18" s="39" t="s">
        <v>121</v>
      </c>
      <c r="EJ18" s="39" t="s">
        <v>121</v>
      </c>
      <c r="EK18" s="39" t="s">
        <v>121</v>
      </c>
    </row>
    <row r="19" spans="1:141" s="39" customFormat="1" ht="15" customHeight="1" x14ac:dyDescent="0.25">
      <c r="A19" s="72">
        <v>19</v>
      </c>
      <c r="B19" s="242" t="s">
        <v>275</v>
      </c>
      <c r="C19" s="91">
        <v>0.11734228890227349</v>
      </c>
      <c r="D19" s="86">
        <v>0.29556013617708099</v>
      </c>
      <c r="E19" s="92">
        <v>0.27935304460252852</v>
      </c>
      <c r="F19" s="250">
        <v>918271</v>
      </c>
      <c r="G19" s="250">
        <v>821835</v>
      </c>
      <c r="H19" s="250">
        <v>729349</v>
      </c>
      <c r="I19" s="250">
        <v>717762</v>
      </c>
      <c r="J19" s="83">
        <v>708783</v>
      </c>
      <c r="K19" s="83">
        <v>686952</v>
      </c>
      <c r="L19" s="83">
        <v>675607</v>
      </c>
      <c r="M19" s="250">
        <v>651757</v>
      </c>
      <c r="N19" s="83">
        <v>623516</v>
      </c>
      <c r="O19" s="83">
        <v>538589</v>
      </c>
      <c r="P19" s="83">
        <v>561400</v>
      </c>
      <c r="Q19" s="83">
        <v>515269</v>
      </c>
      <c r="R19" s="404"/>
      <c r="S19" s="404"/>
      <c r="T19" s="404"/>
      <c r="U19" s="83">
        <v>473799</v>
      </c>
      <c r="V19" s="83">
        <v>472663.63099999999</v>
      </c>
      <c r="W19" s="83">
        <v>464833.99599999998</v>
      </c>
      <c r="X19" s="83">
        <v>440448.87800000003</v>
      </c>
      <c r="Y19" s="83">
        <v>419465</v>
      </c>
      <c r="Z19" s="83">
        <v>427182.34500000003</v>
      </c>
      <c r="AA19" s="83">
        <v>378472.17800000001</v>
      </c>
      <c r="AB19" s="83">
        <v>396604.96400000004</v>
      </c>
      <c r="AC19" s="83">
        <v>368069.65399999998</v>
      </c>
      <c r="AD19" s="83">
        <v>354946.16200000001</v>
      </c>
      <c r="AE19" s="83">
        <v>329403.24</v>
      </c>
      <c r="AF19" s="83">
        <v>335272.59299999999</v>
      </c>
      <c r="AG19" s="83">
        <v>338783.58600000001</v>
      </c>
      <c r="AH19" s="83">
        <v>338548.39299999998</v>
      </c>
      <c r="AI19" s="45">
        <v>318159.95399999997</v>
      </c>
      <c r="AJ19" s="45">
        <v>309997.75800000003</v>
      </c>
      <c r="AK19" s="45">
        <v>318215.91000000003</v>
      </c>
      <c r="AL19" s="45">
        <v>305496.41500000004</v>
      </c>
      <c r="AM19" s="45">
        <v>311091.27799999999</v>
      </c>
      <c r="AN19" s="45">
        <v>305491.63299999997</v>
      </c>
      <c r="AO19" s="45">
        <v>314711.06500000006</v>
      </c>
      <c r="AP19" s="45">
        <v>314482.96699999995</v>
      </c>
      <c r="AQ19" s="45">
        <v>327948.17099999997</v>
      </c>
      <c r="AR19" s="45">
        <v>329370.26199999999</v>
      </c>
      <c r="AS19" s="45">
        <v>335302.09999999998</v>
      </c>
      <c r="AT19" s="45">
        <v>321018.46799999999</v>
      </c>
      <c r="AU19" s="45">
        <v>305911.40800000005</v>
      </c>
      <c r="AV19" s="45">
        <v>309699.092</v>
      </c>
      <c r="AW19" s="45">
        <v>315338.995</v>
      </c>
      <c r="AX19" s="45">
        <v>277011.31199999998</v>
      </c>
      <c r="AY19" s="45">
        <v>261582.36499999999</v>
      </c>
      <c r="AZ19" s="45">
        <v>264624.78200000001</v>
      </c>
      <c r="BA19" s="45">
        <v>250884.103</v>
      </c>
      <c r="BB19" s="45">
        <v>257483.16200000001</v>
      </c>
      <c r="BC19" s="45">
        <v>243726.72499999998</v>
      </c>
      <c r="BD19" s="45">
        <v>230969.25199999998</v>
      </c>
      <c r="BE19" s="45">
        <v>222378.92</v>
      </c>
      <c r="BF19" s="45">
        <v>223011.924</v>
      </c>
      <c r="BG19" s="45">
        <v>221735.77499999997</v>
      </c>
      <c r="BH19" s="45">
        <v>208992.378</v>
      </c>
      <c r="BI19" s="45">
        <v>209907.068</v>
      </c>
      <c r="BJ19" s="45">
        <v>203365.94899999999</v>
      </c>
      <c r="BK19" s="45">
        <v>198346.72900000002</v>
      </c>
      <c r="BL19" s="45">
        <v>192575.166</v>
      </c>
      <c r="BM19" s="39">
        <v>182818.33899999998</v>
      </c>
      <c r="BN19" s="39">
        <v>176249.37</v>
      </c>
      <c r="BO19" s="39">
        <v>157624.59099999999</v>
      </c>
      <c r="BP19" s="39">
        <v>159606.44400000002</v>
      </c>
      <c r="BQ19" s="39">
        <v>158200.489</v>
      </c>
      <c r="BR19" s="39" t="s">
        <v>121</v>
      </c>
      <c r="BS19" s="39" t="s">
        <v>121</v>
      </c>
      <c r="BT19" s="39" t="s">
        <v>121</v>
      </c>
      <c r="BU19" s="39" t="s">
        <v>121</v>
      </c>
      <c r="BV19" s="39" t="s">
        <v>121</v>
      </c>
      <c r="BW19" s="39" t="s">
        <v>121</v>
      </c>
      <c r="BX19" s="39" t="s">
        <v>121</v>
      </c>
      <c r="BY19" s="39" t="s">
        <v>121</v>
      </c>
      <c r="BZ19" s="39" t="s">
        <v>121</v>
      </c>
      <c r="CA19" s="39" t="s">
        <v>121</v>
      </c>
      <c r="CB19" s="39" t="s">
        <v>121</v>
      </c>
      <c r="CC19" s="39" t="s">
        <v>121</v>
      </c>
      <c r="CD19" s="39" t="s">
        <v>121</v>
      </c>
      <c r="CE19" s="39" t="s">
        <v>121</v>
      </c>
      <c r="CF19" s="39" t="s">
        <v>121</v>
      </c>
      <c r="CG19" s="39" t="s">
        <v>121</v>
      </c>
      <c r="CH19" s="39" t="s">
        <v>121</v>
      </c>
      <c r="CI19" s="39" t="s">
        <v>121</v>
      </c>
      <c r="CJ19" s="39" t="s">
        <v>121</v>
      </c>
      <c r="CK19" s="39" t="s">
        <v>121</v>
      </c>
      <c r="CL19" s="39" t="s">
        <v>121</v>
      </c>
      <c r="CM19" s="39" t="s">
        <v>121</v>
      </c>
      <c r="CN19" s="39" t="s">
        <v>121</v>
      </c>
      <c r="CO19" s="39" t="s">
        <v>121</v>
      </c>
      <c r="CP19" s="39" t="s">
        <v>121</v>
      </c>
      <c r="CQ19" s="39" t="s">
        <v>121</v>
      </c>
      <c r="CR19" s="39" t="s">
        <v>121</v>
      </c>
      <c r="CS19" s="39" t="s">
        <v>121</v>
      </c>
      <c r="CT19" s="39" t="s">
        <v>121</v>
      </c>
      <c r="CU19" s="39" t="s">
        <v>121</v>
      </c>
      <c r="CV19" s="39" t="s">
        <v>121</v>
      </c>
      <c r="CW19" s="39" t="s">
        <v>121</v>
      </c>
      <c r="CX19" s="39" t="s">
        <v>121</v>
      </c>
      <c r="CY19" s="39" t="s">
        <v>121</v>
      </c>
      <c r="CZ19" s="39" t="s">
        <v>121</v>
      </c>
      <c r="DA19" s="39" t="s">
        <v>121</v>
      </c>
      <c r="DB19" s="39" t="s">
        <v>121</v>
      </c>
      <c r="DC19" s="39" t="s">
        <v>121</v>
      </c>
      <c r="DD19" s="39" t="s">
        <v>121</v>
      </c>
      <c r="DE19" s="39" t="s">
        <v>121</v>
      </c>
      <c r="DF19" s="39" t="s">
        <v>121</v>
      </c>
      <c r="DG19" s="39" t="s">
        <v>121</v>
      </c>
      <c r="DH19" s="39" t="s">
        <v>121</v>
      </c>
      <c r="DI19" s="39" t="s">
        <v>121</v>
      </c>
      <c r="DJ19" s="39" t="s">
        <v>121</v>
      </c>
      <c r="DK19" s="39" t="s">
        <v>121</v>
      </c>
      <c r="DL19" s="39" t="s">
        <v>121</v>
      </c>
      <c r="DM19" s="39" t="s">
        <v>121</v>
      </c>
      <c r="DN19" s="39" t="s">
        <v>121</v>
      </c>
      <c r="DO19" s="39" t="s">
        <v>121</v>
      </c>
      <c r="DP19" s="39" t="s">
        <v>121</v>
      </c>
      <c r="DQ19" s="39" t="s">
        <v>121</v>
      </c>
      <c r="DR19" s="39" t="s">
        <v>121</v>
      </c>
      <c r="DS19" s="39" t="s">
        <v>121</v>
      </c>
      <c r="DT19" s="39" t="s">
        <v>121</v>
      </c>
      <c r="DU19" s="39" t="s">
        <v>121</v>
      </c>
      <c r="DV19" s="39" t="s">
        <v>121</v>
      </c>
      <c r="DW19" s="39" t="s">
        <v>121</v>
      </c>
      <c r="DX19" s="39" t="s">
        <v>121</v>
      </c>
      <c r="DY19" s="39" t="s">
        <v>121</v>
      </c>
      <c r="DZ19" s="39" t="s">
        <v>121</v>
      </c>
      <c r="EA19" s="39" t="s">
        <v>121</v>
      </c>
      <c r="EB19" s="39" t="s">
        <v>121</v>
      </c>
      <c r="EC19" s="39" t="s">
        <v>121</v>
      </c>
      <c r="ED19" s="39" t="s">
        <v>121</v>
      </c>
      <c r="EE19" s="39" t="s">
        <v>121</v>
      </c>
      <c r="EF19" s="39" t="s">
        <v>121</v>
      </c>
      <c r="EG19" s="39" t="s">
        <v>121</v>
      </c>
      <c r="EH19" s="39" t="s">
        <v>121</v>
      </c>
      <c r="EI19" s="39" t="s">
        <v>121</v>
      </c>
      <c r="EJ19" s="39" t="s">
        <v>121</v>
      </c>
      <c r="EK19" s="39" t="s">
        <v>121</v>
      </c>
    </row>
    <row r="20" spans="1:141" s="39" customFormat="1" ht="15" customHeight="1" x14ac:dyDescent="0.25">
      <c r="A20" s="72">
        <v>20</v>
      </c>
      <c r="B20" s="175" t="s">
        <v>276</v>
      </c>
      <c r="C20" s="173">
        <v>0.13210652786414556</v>
      </c>
      <c r="D20" s="259">
        <v>0.33017023026909231</v>
      </c>
      <c r="E20" s="174">
        <v>0.31731571490592558</v>
      </c>
      <c r="F20" s="176">
        <v>737324</v>
      </c>
      <c r="G20" s="176">
        <v>651285</v>
      </c>
      <c r="H20" s="176">
        <v>563140</v>
      </c>
      <c r="I20" s="176">
        <v>559717</v>
      </c>
      <c r="J20" s="176">
        <v>554308</v>
      </c>
      <c r="K20" s="176">
        <v>532634</v>
      </c>
      <c r="L20" s="176">
        <v>523409</v>
      </c>
      <c r="M20" s="176">
        <v>497957</v>
      </c>
      <c r="N20" s="176">
        <v>470751</v>
      </c>
      <c r="O20" s="176">
        <v>392319</v>
      </c>
      <c r="P20" s="176">
        <v>420195</v>
      </c>
      <c r="Q20" s="176">
        <v>378373</v>
      </c>
      <c r="R20" s="404"/>
      <c r="S20" s="404"/>
      <c r="T20" s="404"/>
      <c r="U20" s="176">
        <v>342762</v>
      </c>
      <c r="V20" s="176">
        <v>347457.413</v>
      </c>
      <c r="W20" s="176">
        <v>342419.402</v>
      </c>
      <c r="X20" s="176">
        <v>327120.86800000002</v>
      </c>
      <c r="Y20" s="176">
        <v>309647</v>
      </c>
      <c r="Z20" s="176">
        <v>321072.82400000002</v>
      </c>
      <c r="AA20" s="176">
        <v>278080.90600000002</v>
      </c>
      <c r="AB20" s="176">
        <v>295972.53600000002</v>
      </c>
      <c r="AC20" s="176">
        <v>269108.45600000001</v>
      </c>
      <c r="AD20" s="176">
        <v>256369.49799999999</v>
      </c>
      <c r="AE20" s="176">
        <v>234258.989</v>
      </c>
      <c r="AF20" s="176">
        <v>246054.823</v>
      </c>
      <c r="AG20" s="176">
        <v>252761.43700000001</v>
      </c>
      <c r="AH20" s="176">
        <v>256350.72399999999</v>
      </c>
      <c r="AI20" s="176">
        <v>239817.49299999999</v>
      </c>
      <c r="AJ20" s="188">
        <v>235506.902</v>
      </c>
      <c r="AK20" s="176">
        <v>245238.842</v>
      </c>
      <c r="AL20" s="176">
        <v>237126.77100000001</v>
      </c>
      <c r="AM20" s="176">
        <v>247484.36900000001</v>
      </c>
      <c r="AN20" s="176">
        <v>246755.89799999999</v>
      </c>
      <c r="AO20" s="176">
        <v>256602.22000000003</v>
      </c>
      <c r="AP20" s="176">
        <v>257745.21299999996</v>
      </c>
      <c r="AQ20" s="176">
        <v>272697.89899999998</v>
      </c>
      <c r="AR20" s="176">
        <v>275254.136</v>
      </c>
      <c r="AS20" s="176">
        <v>283556.95299999998</v>
      </c>
      <c r="AT20" s="176">
        <v>269601.91599999997</v>
      </c>
      <c r="AU20" s="176">
        <v>257839.13500000004</v>
      </c>
      <c r="AV20" s="176">
        <v>261211.13699999999</v>
      </c>
      <c r="AW20" s="176">
        <v>264745.63099999999</v>
      </c>
      <c r="AX20" s="176">
        <v>229349.11</v>
      </c>
      <c r="AY20" s="176">
        <v>217880.39799999999</v>
      </c>
      <c r="AZ20" s="176">
        <v>224264.109</v>
      </c>
      <c r="BA20" s="176">
        <v>213954.416</v>
      </c>
      <c r="BB20" s="176">
        <v>223423.712</v>
      </c>
      <c r="BC20" s="176">
        <v>213536.56399999998</v>
      </c>
      <c r="BD20" s="176">
        <v>205158.20699999999</v>
      </c>
      <c r="BE20" s="176">
        <v>200235.948</v>
      </c>
      <c r="BF20" s="176">
        <v>204500.56399999998</v>
      </c>
      <c r="BG20" s="176">
        <v>205032.54599999997</v>
      </c>
      <c r="BH20" s="176">
        <v>193463.26800000001</v>
      </c>
      <c r="BI20" s="176">
        <v>194786.03899999999</v>
      </c>
      <c r="BJ20" s="176">
        <v>188635.18</v>
      </c>
      <c r="BK20" s="176">
        <v>185161.09700000001</v>
      </c>
      <c r="BL20" s="176">
        <v>179364.76499999998</v>
      </c>
      <c r="BM20" s="39">
        <v>169990.90099999998</v>
      </c>
      <c r="BN20" s="39">
        <v>163340.772</v>
      </c>
      <c r="BO20" s="39">
        <v>144384.75699999998</v>
      </c>
      <c r="BP20" s="39">
        <v>146508.92200000002</v>
      </c>
      <c r="BQ20" s="39">
        <v>144551.01699999999</v>
      </c>
      <c r="BR20" s="39" t="s">
        <v>121</v>
      </c>
      <c r="BS20" s="39" t="s">
        <v>121</v>
      </c>
      <c r="BT20" s="39" t="s">
        <v>121</v>
      </c>
      <c r="BU20" s="39" t="s">
        <v>121</v>
      </c>
      <c r="BV20" s="39" t="s">
        <v>121</v>
      </c>
      <c r="BW20" s="39" t="s">
        <v>121</v>
      </c>
      <c r="BX20" s="39" t="s">
        <v>121</v>
      </c>
      <c r="BY20" s="39" t="s">
        <v>121</v>
      </c>
      <c r="BZ20" s="39" t="s">
        <v>121</v>
      </c>
      <c r="CA20" s="39" t="s">
        <v>121</v>
      </c>
      <c r="CB20" s="39" t="s">
        <v>121</v>
      </c>
      <c r="CC20" s="39" t="s">
        <v>121</v>
      </c>
      <c r="CD20" s="39" t="s">
        <v>121</v>
      </c>
      <c r="CE20" s="39" t="s">
        <v>121</v>
      </c>
      <c r="CF20" s="39" t="s">
        <v>121</v>
      </c>
      <c r="CG20" s="39" t="s">
        <v>121</v>
      </c>
      <c r="CH20" s="39" t="s">
        <v>121</v>
      </c>
      <c r="CI20" s="39" t="s">
        <v>121</v>
      </c>
      <c r="CJ20" s="39" t="s">
        <v>121</v>
      </c>
      <c r="CK20" s="39" t="s">
        <v>121</v>
      </c>
      <c r="CL20" s="39" t="s">
        <v>121</v>
      </c>
      <c r="CM20" s="39" t="s">
        <v>121</v>
      </c>
      <c r="CN20" s="39" t="s">
        <v>121</v>
      </c>
      <c r="CO20" s="39" t="s">
        <v>121</v>
      </c>
      <c r="CP20" s="39" t="s">
        <v>121</v>
      </c>
      <c r="CQ20" s="39" t="s">
        <v>121</v>
      </c>
      <c r="CR20" s="39" t="s">
        <v>121</v>
      </c>
      <c r="CS20" s="39" t="s">
        <v>121</v>
      </c>
      <c r="CT20" s="39" t="s">
        <v>121</v>
      </c>
      <c r="CU20" s="39" t="s">
        <v>121</v>
      </c>
      <c r="CV20" s="39" t="s">
        <v>121</v>
      </c>
      <c r="CW20" s="39" t="s">
        <v>121</v>
      </c>
      <c r="CX20" s="39" t="s">
        <v>121</v>
      </c>
      <c r="CY20" s="39" t="s">
        <v>121</v>
      </c>
      <c r="CZ20" s="39" t="s">
        <v>121</v>
      </c>
      <c r="DA20" s="39" t="s">
        <v>121</v>
      </c>
      <c r="DB20" s="39" t="s">
        <v>121</v>
      </c>
      <c r="DC20" s="39" t="s">
        <v>121</v>
      </c>
      <c r="DD20" s="39" t="s">
        <v>121</v>
      </c>
      <c r="DE20" s="39" t="s">
        <v>121</v>
      </c>
      <c r="DF20" s="39" t="s">
        <v>121</v>
      </c>
      <c r="DG20" s="39" t="s">
        <v>121</v>
      </c>
      <c r="DH20" s="39" t="s">
        <v>121</v>
      </c>
      <c r="DI20" s="39" t="s">
        <v>121</v>
      </c>
      <c r="DJ20" s="39" t="s">
        <v>121</v>
      </c>
      <c r="DK20" s="39" t="s">
        <v>121</v>
      </c>
      <c r="DL20" s="39" t="s">
        <v>121</v>
      </c>
      <c r="DM20" s="39" t="s">
        <v>121</v>
      </c>
      <c r="DN20" s="39" t="s">
        <v>121</v>
      </c>
      <c r="DO20" s="39" t="s">
        <v>121</v>
      </c>
      <c r="DP20" s="39" t="s">
        <v>121</v>
      </c>
      <c r="DQ20" s="39" t="s">
        <v>121</v>
      </c>
      <c r="DR20" s="39" t="s">
        <v>121</v>
      </c>
      <c r="DS20" s="39" t="s">
        <v>121</v>
      </c>
      <c r="DT20" s="39" t="s">
        <v>121</v>
      </c>
      <c r="DU20" s="39" t="s">
        <v>121</v>
      </c>
      <c r="DV20" s="39" t="s">
        <v>121</v>
      </c>
      <c r="DW20" s="39" t="s">
        <v>121</v>
      </c>
      <c r="DX20" s="39" t="s">
        <v>121</v>
      </c>
      <c r="DY20" s="39" t="s">
        <v>121</v>
      </c>
      <c r="DZ20" s="39" t="s">
        <v>121</v>
      </c>
      <c r="EA20" s="39" t="s">
        <v>121</v>
      </c>
      <c r="EB20" s="39" t="s">
        <v>121</v>
      </c>
      <c r="EC20" s="39" t="s">
        <v>121</v>
      </c>
      <c r="ED20" s="39" t="s">
        <v>121</v>
      </c>
      <c r="EE20" s="39" t="s">
        <v>121</v>
      </c>
      <c r="EF20" s="39" t="s">
        <v>121</v>
      </c>
      <c r="EG20" s="39" t="s">
        <v>121</v>
      </c>
      <c r="EH20" s="39" t="s">
        <v>121</v>
      </c>
      <c r="EI20" s="39" t="s">
        <v>121</v>
      </c>
      <c r="EJ20" s="39" t="s">
        <v>121</v>
      </c>
      <c r="EK20" s="39" t="s">
        <v>121</v>
      </c>
    </row>
    <row r="21" spans="1:141" s="39" customFormat="1" ht="15" customHeight="1" x14ac:dyDescent="0.25">
      <c r="A21" s="72">
        <v>21</v>
      </c>
      <c r="B21" s="175" t="s">
        <v>277</v>
      </c>
      <c r="C21" s="173">
        <v>6.0961594840222899E-2</v>
      </c>
      <c r="D21" s="259">
        <v>0.17136753519987047</v>
      </c>
      <c r="E21" s="174">
        <v>0.14490809579550135</v>
      </c>
      <c r="F21" s="176">
        <v>180947</v>
      </c>
      <c r="G21" s="176">
        <v>170550</v>
      </c>
      <c r="H21" s="176">
        <v>166209</v>
      </c>
      <c r="I21" s="176">
        <v>158045</v>
      </c>
      <c r="J21" s="176">
        <v>154475</v>
      </c>
      <c r="K21" s="176">
        <v>154318</v>
      </c>
      <c r="L21" s="176">
        <v>152198</v>
      </c>
      <c r="M21" s="176">
        <v>153800</v>
      </c>
      <c r="N21" s="176">
        <v>152765</v>
      </c>
      <c r="O21" s="176">
        <v>146270</v>
      </c>
      <c r="P21" s="176">
        <v>141205</v>
      </c>
      <c r="Q21" s="176">
        <v>136896</v>
      </c>
      <c r="R21" s="404"/>
      <c r="S21" s="404"/>
      <c r="T21" s="404"/>
      <c r="U21" s="176">
        <v>131037</v>
      </c>
      <c r="V21" s="176">
        <v>125206.21799999999</v>
      </c>
      <c r="W21" s="176">
        <v>122414.594</v>
      </c>
      <c r="X21" s="176">
        <v>113328.01</v>
      </c>
      <c r="Y21" s="176">
        <v>109818</v>
      </c>
      <c r="Z21" s="176">
        <v>106109.52099999999</v>
      </c>
      <c r="AA21" s="176">
        <v>100391.272</v>
      </c>
      <c r="AB21" s="176">
        <v>100632.428</v>
      </c>
      <c r="AC21" s="176">
        <v>98961.198000000004</v>
      </c>
      <c r="AD21" s="176">
        <v>98576.664000000004</v>
      </c>
      <c r="AE21" s="176">
        <v>95144.251000000004</v>
      </c>
      <c r="AF21" s="176">
        <v>89217.77</v>
      </c>
      <c r="AG21" s="176">
        <v>86022.149000000005</v>
      </c>
      <c r="AH21" s="176">
        <v>82197.668999999994</v>
      </c>
      <c r="AI21" s="176">
        <v>78342.460999999996</v>
      </c>
      <c r="AJ21" s="188">
        <v>74490.856</v>
      </c>
      <c r="AK21" s="176">
        <v>72977.067999999999</v>
      </c>
      <c r="AL21" s="176">
        <v>68369.644</v>
      </c>
      <c r="AM21" s="176">
        <v>63606.909</v>
      </c>
      <c r="AN21" s="176">
        <v>58735.735000000001</v>
      </c>
      <c r="AO21" s="176">
        <v>58108.845000000001</v>
      </c>
      <c r="AP21" s="176">
        <v>56737.754000000001</v>
      </c>
      <c r="AQ21" s="176">
        <v>55250.271999999997</v>
      </c>
      <c r="AR21" s="176">
        <v>54116.126000000004</v>
      </c>
      <c r="AS21" s="176">
        <v>51745.146999999997</v>
      </c>
      <c r="AT21" s="176">
        <v>51416.552000000003</v>
      </c>
      <c r="AU21" s="176">
        <v>48072.273000000001</v>
      </c>
      <c r="AV21" s="176">
        <v>48487.954999999994</v>
      </c>
      <c r="AW21" s="176">
        <v>50593.364000000001</v>
      </c>
      <c r="AX21" s="176">
        <v>47662.202000000005</v>
      </c>
      <c r="AY21" s="176">
        <v>43701.967000000004</v>
      </c>
      <c r="AZ21" s="176">
        <v>40360.673000000003</v>
      </c>
      <c r="BA21" s="176">
        <v>36929.686999999998</v>
      </c>
      <c r="BB21" s="176">
        <v>34059.449999999997</v>
      </c>
      <c r="BC21" s="176">
        <v>30190.161</v>
      </c>
      <c r="BD21" s="176">
        <v>25811.044999999998</v>
      </c>
      <c r="BE21" s="176">
        <v>22142.971999999998</v>
      </c>
      <c r="BF21" s="176">
        <v>18511.36</v>
      </c>
      <c r="BG21" s="176">
        <v>16703.229000000003</v>
      </c>
      <c r="BH21" s="176">
        <v>15529.109999999999</v>
      </c>
      <c r="BI21" s="176">
        <v>15121.029</v>
      </c>
      <c r="BJ21" s="176">
        <v>14730.769</v>
      </c>
      <c r="BK21" s="176">
        <v>13185.632</v>
      </c>
      <c r="BL21" s="176">
        <v>13210.401</v>
      </c>
      <c r="BM21" s="39">
        <v>12827.438000000002</v>
      </c>
      <c r="BN21" s="39">
        <v>12908.597999999998</v>
      </c>
      <c r="BO21" s="39">
        <v>13239.834000000001</v>
      </c>
      <c r="BP21" s="39">
        <v>13097.522000000001</v>
      </c>
      <c r="BQ21" s="39">
        <v>13649.472</v>
      </c>
      <c r="BR21" s="39" t="s">
        <v>121</v>
      </c>
      <c r="BS21" s="39" t="s">
        <v>121</v>
      </c>
      <c r="BT21" s="39" t="s">
        <v>121</v>
      </c>
      <c r="BU21" s="39" t="s">
        <v>121</v>
      </c>
      <c r="BV21" s="39" t="s">
        <v>121</v>
      </c>
      <c r="BW21" s="39" t="s">
        <v>121</v>
      </c>
      <c r="BX21" s="39" t="s">
        <v>121</v>
      </c>
      <c r="BY21" s="39" t="s">
        <v>121</v>
      </c>
      <c r="BZ21" s="39" t="s">
        <v>121</v>
      </c>
      <c r="CA21" s="39" t="s">
        <v>121</v>
      </c>
      <c r="CB21" s="39" t="s">
        <v>121</v>
      </c>
      <c r="CC21" s="39" t="s">
        <v>121</v>
      </c>
      <c r="CD21" s="39" t="s">
        <v>121</v>
      </c>
      <c r="CE21" s="39" t="s">
        <v>121</v>
      </c>
      <c r="CF21" s="39" t="s">
        <v>121</v>
      </c>
      <c r="CG21" s="39" t="s">
        <v>121</v>
      </c>
      <c r="CH21" s="39" t="s">
        <v>121</v>
      </c>
      <c r="CI21" s="39" t="s">
        <v>121</v>
      </c>
      <c r="CJ21" s="39" t="s">
        <v>121</v>
      </c>
      <c r="CK21" s="39" t="s">
        <v>121</v>
      </c>
      <c r="CL21" s="39" t="s">
        <v>121</v>
      </c>
      <c r="CM21" s="39" t="s">
        <v>121</v>
      </c>
      <c r="CN21" s="39" t="s">
        <v>121</v>
      </c>
      <c r="CO21" s="39" t="s">
        <v>121</v>
      </c>
      <c r="CP21" s="39" t="s">
        <v>121</v>
      </c>
      <c r="CQ21" s="39" t="s">
        <v>121</v>
      </c>
      <c r="CR21" s="39" t="s">
        <v>121</v>
      </c>
      <c r="CS21" s="39" t="s">
        <v>121</v>
      </c>
      <c r="CT21" s="39" t="s">
        <v>121</v>
      </c>
      <c r="CU21" s="39" t="s">
        <v>121</v>
      </c>
      <c r="CV21" s="39" t="s">
        <v>121</v>
      </c>
      <c r="CW21" s="39" t="s">
        <v>121</v>
      </c>
      <c r="CX21" s="39" t="s">
        <v>121</v>
      </c>
      <c r="CY21" s="39" t="s">
        <v>121</v>
      </c>
      <c r="CZ21" s="39" t="s">
        <v>121</v>
      </c>
      <c r="DA21" s="39" t="s">
        <v>121</v>
      </c>
      <c r="DB21" s="39" t="s">
        <v>121</v>
      </c>
      <c r="DC21" s="39" t="s">
        <v>121</v>
      </c>
      <c r="DD21" s="39" t="s">
        <v>121</v>
      </c>
      <c r="DE21" s="39" t="s">
        <v>121</v>
      </c>
      <c r="DF21" s="39" t="s">
        <v>121</v>
      </c>
      <c r="DG21" s="39" t="s">
        <v>121</v>
      </c>
      <c r="DH21" s="39" t="s">
        <v>121</v>
      </c>
      <c r="DI21" s="39" t="s">
        <v>121</v>
      </c>
      <c r="DJ21" s="39" t="s">
        <v>121</v>
      </c>
      <c r="DK21" s="39" t="s">
        <v>121</v>
      </c>
      <c r="DL21" s="39" t="s">
        <v>121</v>
      </c>
      <c r="DM21" s="39" t="s">
        <v>121</v>
      </c>
      <c r="DN21" s="39" t="s">
        <v>121</v>
      </c>
      <c r="DO21" s="39" t="s">
        <v>121</v>
      </c>
      <c r="DP21" s="39" t="s">
        <v>121</v>
      </c>
      <c r="DQ21" s="39" t="s">
        <v>121</v>
      </c>
      <c r="DR21" s="39" t="s">
        <v>121</v>
      </c>
      <c r="DS21" s="39" t="s">
        <v>121</v>
      </c>
      <c r="DT21" s="39" t="s">
        <v>121</v>
      </c>
      <c r="DU21" s="39" t="s">
        <v>121</v>
      </c>
      <c r="DV21" s="39" t="s">
        <v>121</v>
      </c>
      <c r="DW21" s="39" t="s">
        <v>121</v>
      </c>
      <c r="DX21" s="39" t="s">
        <v>121</v>
      </c>
      <c r="DY21" s="39" t="s">
        <v>121</v>
      </c>
      <c r="DZ21" s="39" t="s">
        <v>121</v>
      </c>
      <c r="EA21" s="39" t="s">
        <v>121</v>
      </c>
      <c r="EB21" s="39" t="s">
        <v>121</v>
      </c>
      <c r="EC21" s="39" t="s">
        <v>121</v>
      </c>
      <c r="ED21" s="39" t="s">
        <v>121</v>
      </c>
      <c r="EE21" s="39" t="s">
        <v>121</v>
      </c>
      <c r="EF21" s="39" t="s">
        <v>121</v>
      </c>
      <c r="EG21" s="39" t="s">
        <v>121</v>
      </c>
      <c r="EH21" s="39" t="s">
        <v>121</v>
      </c>
      <c r="EI21" s="39" t="s">
        <v>121</v>
      </c>
      <c r="EJ21" s="39" t="s">
        <v>121</v>
      </c>
      <c r="EK21" s="39" t="s">
        <v>121</v>
      </c>
    </row>
    <row r="22" spans="1:141" s="39" customFormat="1" ht="29.25" customHeight="1" x14ac:dyDescent="0.25">
      <c r="A22" s="72">
        <v>22</v>
      </c>
      <c r="B22" s="251" t="s">
        <v>278</v>
      </c>
      <c r="C22" s="91">
        <v>4.4648470727467693E-2</v>
      </c>
      <c r="D22" s="86">
        <v>0.31656528933324002</v>
      </c>
      <c r="E22" s="92">
        <v>-3.3746397448067622E-2</v>
      </c>
      <c r="F22" s="85">
        <v>112985</v>
      </c>
      <c r="G22" s="85">
        <v>108156</v>
      </c>
      <c r="H22" s="85">
        <v>107200</v>
      </c>
      <c r="I22" s="85">
        <v>116931</v>
      </c>
      <c r="J22" s="85">
        <v>85818</v>
      </c>
      <c r="K22" s="85">
        <v>95951</v>
      </c>
      <c r="L22" s="85">
        <v>97383</v>
      </c>
      <c r="M22" s="85">
        <v>102359</v>
      </c>
      <c r="N22" s="85">
        <v>119736</v>
      </c>
      <c r="O22" s="85">
        <v>114701</v>
      </c>
      <c r="P22" s="85">
        <v>116488</v>
      </c>
      <c r="Q22" s="85">
        <v>71099</v>
      </c>
      <c r="R22" s="404"/>
      <c r="S22" s="404"/>
      <c r="T22" s="404"/>
      <c r="U22" s="85">
        <v>61257</v>
      </c>
      <c r="V22" s="85">
        <v>59133.968000000001</v>
      </c>
      <c r="W22" s="85">
        <v>65572.58</v>
      </c>
      <c r="X22" s="85">
        <v>75388.108999999997</v>
      </c>
      <c r="Y22" s="85">
        <v>75091</v>
      </c>
      <c r="Z22" s="85">
        <v>78911.267999999996</v>
      </c>
      <c r="AA22" s="85">
        <v>70503.854999999996</v>
      </c>
      <c r="AB22" s="85">
        <v>74124.25</v>
      </c>
      <c r="AC22" s="85">
        <v>54499.667999999998</v>
      </c>
      <c r="AD22" s="85">
        <v>57474.216999999997</v>
      </c>
      <c r="AE22" s="85">
        <v>76173.462</v>
      </c>
      <c r="AF22" s="85">
        <v>54355.107000000004</v>
      </c>
      <c r="AG22" s="85">
        <v>56772.409</v>
      </c>
      <c r="AH22" s="85">
        <v>20977.355</v>
      </c>
      <c r="AI22" s="85">
        <v>9926.9269999999997</v>
      </c>
      <c r="AJ22" s="187">
        <v>13036.44</v>
      </c>
      <c r="AK22" s="85">
        <v>48950.718999999997</v>
      </c>
      <c r="AL22" s="85">
        <v>13591.182000000001</v>
      </c>
      <c r="AM22" s="85">
        <v>11266.994000000001</v>
      </c>
      <c r="AN22" s="85">
        <v>25379.603999999999</v>
      </c>
      <c r="AO22" s="85">
        <v>26477.508000000002</v>
      </c>
      <c r="AP22" s="85">
        <v>33639.097000000002</v>
      </c>
      <c r="AQ22" s="85">
        <v>24116.827000000001</v>
      </c>
      <c r="AR22" s="85">
        <v>24512.237000000001</v>
      </c>
      <c r="AS22" s="85">
        <v>27849.191999999999</v>
      </c>
      <c r="AT22" s="85">
        <v>31707.698</v>
      </c>
      <c r="AU22" s="85">
        <v>9841.76</v>
      </c>
      <c r="AV22" s="85">
        <v>18227.364000000001</v>
      </c>
      <c r="AW22" s="85">
        <v>9259.393</v>
      </c>
      <c r="AX22" s="85">
        <v>2332.4679999999998</v>
      </c>
      <c r="AY22" s="85">
        <v>2312.21</v>
      </c>
      <c r="AZ22" s="85">
        <v>2815.502</v>
      </c>
      <c r="BA22" s="45">
        <v>3324.7579999999998</v>
      </c>
      <c r="BB22" s="45">
        <v>3403.413</v>
      </c>
      <c r="BC22" s="45">
        <v>3436.6179999999999</v>
      </c>
      <c r="BD22" s="45">
        <v>3205.7339999999999</v>
      </c>
      <c r="BE22" s="45">
        <v>3521.259</v>
      </c>
      <c r="BF22" s="45">
        <v>4101.7280000000001</v>
      </c>
      <c r="BG22" s="45">
        <v>7053.83</v>
      </c>
      <c r="BH22" s="45">
        <v>6640.0230000000001</v>
      </c>
      <c r="BI22" s="45">
        <v>6875.174</v>
      </c>
      <c r="BJ22" s="45">
        <v>4437.6930000000002</v>
      </c>
      <c r="BK22" s="45">
        <v>3768.107</v>
      </c>
      <c r="BL22" s="45">
        <v>2837.5219999999999</v>
      </c>
      <c r="BM22" s="39">
        <v>280.49099999999999</v>
      </c>
      <c r="BN22" s="39">
        <v>82.295000000000002</v>
      </c>
      <c r="BO22" s="39">
        <v>81.55</v>
      </c>
      <c r="BP22" s="39">
        <v>88.745999999999995</v>
      </c>
      <c r="BQ22" s="39">
        <v>88.245000000000005</v>
      </c>
      <c r="BR22" s="39" t="s">
        <v>121</v>
      </c>
      <c r="BS22" s="39" t="s">
        <v>121</v>
      </c>
      <c r="BT22" s="39" t="s">
        <v>121</v>
      </c>
      <c r="BU22" s="39" t="s">
        <v>121</v>
      </c>
      <c r="BV22" s="39" t="s">
        <v>121</v>
      </c>
      <c r="BW22" s="39" t="s">
        <v>121</v>
      </c>
      <c r="BX22" s="39" t="s">
        <v>121</v>
      </c>
      <c r="BY22" s="39" t="s">
        <v>121</v>
      </c>
      <c r="BZ22" s="39" t="s">
        <v>121</v>
      </c>
      <c r="CA22" s="39" t="s">
        <v>121</v>
      </c>
      <c r="CB22" s="39" t="s">
        <v>121</v>
      </c>
      <c r="CC22" s="39" t="s">
        <v>121</v>
      </c>
      <c r="CD22" s="39" t="s">
        <v>121</v>
      </c>
      <c r="CE22" s="39" t="s">
        <v>121</v>
      </c>
      <c r="CF22" s="39" t="s">
        <v>121</v>
      </c>
      <c r="CG22" s="39" t="s">
        <v>121</v>
      </c>
      <c r="CH22" s="39" t="s">
        <v>121</v>
      </c>
      <c r="CI22" s="39" t="s">
        <v>121</v>
      </c>
      <c r="CJ22" s="39" t="s">
        <v>121</v>
      </c>
      <c r="CK22" s="39" t="s">
        <v>121</v>
      </c>
      <c r="CL22" s="39" t="s">
        <v>121</v>
      </c>
      <c r="CM22" s="39" t="s">
        <v>121</v>
      </c>
      <c r="CN22" s="39" t="s">
        <v>121</v>
      </c>
      <c r="CO22" s="39" t="s">
        <v>121</v>
      </c>
      <c r="CP22" s="39" t="s">
        <v>121</v>
      </c>
      <c r="CQ22" s="39" t="s">
        <v>121</v>
      </c>
      <c r="CR22" s="39" t="s">
        <v>121</v>
      </c>
      <c r="CS22" s="39" t="s">
        <v>121</v>
      </c>
      <c r="CT22" s="39" t="s">
        <v>121</v>
      </c>
      <c r="CU22" s="39" t="s">
        <v>121</v>
      </c>
      <c r="CV22" s="39" t="s">
        <v>121</v>
      </c>
      <c r="CW22" s="39" t="s">
        <v>121</v>
      </c>
      <c r="CX22" s="39" t="s">
        <v>121</v>
      </c>
      <c r="CY22" s="39" t="s">
        <v>121</v>
      </c>
      <c r="CZ22" s="39" t="s">
        <v>121</v>
      </c>
      <c r="DA22" s="39" t="s">
        <v>121</v>
      </c>
      <c r="DB22" s="39" t="s">
        <v>121</v>
      </c>
      <c r="DC22" s="39" t="s">
        <v>121</v>
      </c>
      <c r="DD22" s="39" t="s">
        <v>121</v>
      </c>
      <c r="DE22" s="39" t="s">
        <v>121</v>
      </c>
      <c r="DF22" s="39" t="s">
        <v>121</v>
      </c>
      <c r="DG22" s="39" t="s">
        <v>121</v>
      </c>
      <c r="DH22" s="39" t="s">
        <v>121</v>
      </c>
      <c r="DI22" s="39" t="s">
        <v>121</v>
      </c>
      <c r="DJ22" s="39" t="s">
        <v>121</v>
      </c>
      <c r="DK22" s="39" t="s">
        <v>121</v>
      </c>
      <c r="DL22" s="39" t="s">
        <v>121</v>
      </c>
      <c r="DM22" s="39" t="s">
        <v>121</v>
      </c>
      <c r="DN22" s="39" t="s">
        <v>121</v>
      </c>
      <c r="DO22" s="39" t="s">
        <v>121</v>
      </c>
      <c r="DP22" s="39" t="s">
        <v>121</v>
      </c>
      <c r="DQ22" s="39" t="s">
        <v>121</v>
      </c>
      <c r="DR22" s="39" t="s">
        <v>121</v>
      </c>
      <c r="DS22" s="39" t="s">
        <v>121</v>
      </c>
      <c r="DT22" s="39" t="s">
        <v>121</v>
      </c>
      <c r="DU22" s="39" t="s">
        <v>121</v>
      </c>
      <c r="DV22" s="39" t="s">
        <v>121</v>
      </c>
      <c r="DW22" s="39" t="s">
        <v>121</v>
      </c>
      <c r="DX22" s="39" t="s">
        <v>121</v>
      </c>
      <c r="DY22" s="39" t="s">
        <v>121</v>
      </c>
      <c r="DZ22" s="39" t="s">
        <v>121</v>
      </c>
      <c r="EA22" s="39" t="s">
        <v>121</v>
      </c>
      <c r="EB22" s="39" t="s">
        <v>121</v>
      </c>
      <c r="EC22" s="39" t="s">
        <v>121</v>
      </c>
      <c r="ED22" s="39" t="s">
        <v>121</v>
      </c>
      <c r="EE22" s="39" t="s">
        <v>121</v>
      </c>
      <c r="EF22" s="39" t="s">
        <v>121</v>
      </c>
      <c r="EG22" s="39" t="s">
        <v>121</v>
      </c>
      <c r="EH22" s="39" t="s">
        <v>121</v>
      </c>
      <c r="EI22" s="39" t="s">
        <v>121</v>
      </c>
      <c r="EJ22" s="39" t="s">
        <v>121</v>
      </c>
      <c r="EK22" s="39" t="s">
        <v>121</v>
      </c>
    </row>
    <row r="23" spans="1:141" s="39" customFormat="1" ht="15" hidden="1" customHeight="1" x14ac:dyDescent="0.25">
      <c r="A23" s="72">
        <v>23</v>
      </c>
      <c r="B23" s="40" t="s">
        <v>279</v>
      </c>
      <c r="C23" s="91" t="e">
        <v>#DIV/0!</v>
      </c>
      <c r="D23" s="86" t="e">
        <v>#DIV/0!</v>
      </c>
      <c r="E23" s="92" t="e">
        <v>#DIV/0!</v>
      </c>
      <c r="F23" s="85" t="s">
        <v>121</v>
      </c>
      <c r="G23" s="85" t="s">
        <v>121</v>
      </c>
      <c r="H23" s="85" t="s">
        <v>121</v>
      </c>
      <c r="I23" s="85" t="s">
        <v>121</v>
      </c>
      <c r="J23" s="85" t="s">
        <v>121</v>
      </c>
      <c r="K23" s="85" t="s">
        <v>121</v>
      </c>
      <c r="L23" s="85" t="s">
        <v>121</v>
      </c>
      <c r="M23" s="85" t="s">
        <v>121</v>
      </c>
      <c r="N23" s="85" t="s">
        <v>121</v>
      </c>
      <c r="O23" s="85" t="s">
        <v>121</v>
      </c>
      <c r="P23" s="85" t="s">
        <v>121</v>
      </c>
      <c r="Q23" s="85" t="s">
        <v>121</v>
      </c>
      <c r="R23" s="404"/>
      <c r="S23" s="404"/>
      <c r="T23" s="404"/>
      <c r="U23" s="85" t="s">
        <v>121</v>
      </c>
      <c r="V23" s="85" t="s">
        <v>121</v>
      </c>
      <c r="W23" s="85" t="s">
        <v>121</v>
      </c>
      <c r="X23" s="85" t="s">
        <v>121</v>
      </c>
      <c r="Y23" s="85" t="s">
        <v>121</v>
      </c>
      <c r="Z23" s="85" t="s">
        <v>121</v>
      </c>
      <c r="AA23" s="85" t="s">
        <v>121</v>
      </c>
      <c r="AB23" s="85" t="s">
        <v>121</v>
      </c>
      <c r="AC23" s="85" t="s">
        <v>121</v>
      </c>
      <c r="AD23" s="85" t="s">
        <v>121</v>
      </c>
      <c r="AE23" s="85" t="s">
        <v>121</v>
      </c>
      <c r="AF23" s="85" t="s">
        <v>121</v>
      </c>
      <c r="AG23" s="85" t="s">
        <v>121</v>
      </c>
      <c r="AH23" s="85" t="s">
        <v>121</v>
      </c>
      <c r="AI23" s="85" t="s">
        <v>121</v>
      </c>
      <c r="AJ23" s="187" t="s">
        <v>121</v>
      </c>
      <c r="AK23" s="85" t="s">
        <v>121</v>
      </c>
      <c r="AL23" s="85" t="s">
        <v>121</v>
      </c>
      <c r="AM23" s="85" t="s">
        <v>121</v>
      </c>
      <c r="AN23" s="85" t="s">
        <v>121</v>
      </c>
      <c r="AO23" s="85" t="s">
        <v>121</v>
      </c>
      <c r="AP23" s="85" t="s">
        <v>121</v>
      </c>
      <c r="AQ23" s="85" t="s">
        <v>121</v>
      </c>
      <c r="AR23" s="85" t="s">
        <v>121</v>
      </c>
      <c r="AS23" s="85" t="s">
        <v>121</v>
      </c>
      <c r="AT23" s="85" t="s">
        <v>121</v>
      </c>
      <c r="AU23" s="85" t="s">
        <v>121</v>
      </c>
      <c r="AV23" s="85" t="s">
        <v>121</v>
      </c>
      <c r="AW23" s="85" t="s">
        <v>121</v>
      </c>
      <c r="AX23" s="85" t="s">
        <v>121</v>
      </c>
      <c r="AY23" s="85" t="s">
        <v>121</v>
      </c>
      <c r="AZ23" s="85" t="s">
        <v>121</v>
      </c>
      <c r="BA23" s="45" t="s">
        <v>121</v>
      </c>
      <c r="BB23" s="45">
        <v>13.067</v>
      </c>
      <c r="BC23" s="45">
        <v>26.134</v>
      </c>
      <c r="BD23" s="45">
        <v>26.134</v>
      </c>
      <c r="BE23" s="45">
        <v>31.361000000000001</v>
      </c>
      <c r="BF23" s="45">
        <v>31.361000000000001</v>
      </c>
      <c r="BG23" s="45">
        <v>31.361000000000001</v>
      </c>
      <c r="BH23" s="45">
        <v>31.361000000000001</v>
      </c>
      <c r="BI23" s="45">
        <v>31.361000000000001</v>
      </c>
      <c r="BJ23" s="45">
        <v>41.676000000000002</v>
      </c>
      <c r="BK23" s="45">
        <v>169.60499999999999</v>
      </c>
      <c r="BL23" s="45">
        <v>166.25</v>
      </c>
      <c r="BM23" s="39">
        <v>169.63800000000001</v>
      </c>
      <c r="BN23" s="39">
        <v>166.239</v>
      </c>
      <c r="BO23" s="39">
        <v>169.53899999999999</v>
      </c>
      <c r="BP23" s="39">
        <v>173.63300000000001</v>
      </c>
      <c r="BQ23" s="39">
        <v>180.90799999999999</v>
      </c>
      <c r="BR23" s="39" t="s">
        <v>121</v>
      </c>
      <c r="BS23" s="39" t="s">
        <v>121</v>
      </c>
      <c r="BT23" s="39" t="s">
        <v>121</v>
      </c>
      <c r="BU23" s="39" t="s">
        <v>121</v>
      </c>
      <c r="BV23" s="39" t="s">
        <v>121</v>
      </c>
      <c r="BW23" s="39" t="s">
        <v>121</v>
      </c>
      <c r="BX23" s="39" t="s">
        <v>121</v>
      </c>
      <c r="BY23" s="39" t="s">
        <v>121</v>
      </c>
      <c r="BZ23" s="39" t="s">
        <v>121</v>
      </c>
      <c r="CA23" s="39" t="s">
        <v>121</v>
      </c>
      <c r="CB23" s="39" t="s">
        <v>121</v>
      </c>
      <c r="CC23" s="39" t="s">
        <v>121</v>
      </c>
      <c r="CD23" s="39" t="s">
        <v>121</v>
      </c>
      <c r="CE23" s="39" t="s">
        <v>121</v>
      </c>
      <c r="CF23" s="39" t="s">
        <v>121</v>
      </c>
      <c r="CG23" s="39" t="s">
        <v>121</v>
      </c>
      <c r="CH23" s="39" t="s">
        <v>121</v>
      </c>
      <c r="CI23" s="39" t="s">
        <v>121</v>
      </c>
      <c r="CJ23" s="39" t="s">
        <v>121</v>
      </c>
      <c r="CK23" s="39" t="s">
        <v>121</v>
      </c>
      <c r="CL23" s="39" t="s">
        <v>121</v>
      </c>
      <c r="CM23" s="39" t="s">
        <v>121</v>
      </c>
      <c r="CN23" s="39" t="s">
        <v>121</v>
      </c>
      <c r="CO23" s="39" t="s">
        <v>121</v>
      </c>
      <c r="CP23" s="39" t="s">
        <v>121</v>
      </c>
      <c r="CQ23" s="39" t="s">
        <v>121</v>
      </c>
      <c r="CR23" s="39" t="s">
        <v>121</v>
      </c>
      <c r="CS23" s="39" t="s">
        <v>121</v>
      </c>
      <c r="CT23" s="39" t="s">
        <v>121</v>
      </c>
      <c r="CU23" s="39" t="s">
        <v>121</v>
      </c>
      <c r="CV23" s="39" t="s">
        <v>121</v>
      </c>
      <c r="CW23" s="39" t="s">
        <v>121</v>
      </c>
      <c r="CX23" s="39" t="s">
        <v>121</v>
      </c>
      <c r="CY23" s="39" t="s">
        <v>121</v>
      </c>
      <c r="CZ23" s="39" t="s">
        <v>121</v>
      </c>
      <c r="DA23" s="39" t="s">
        <v>121</v>
      </c>
      <c r="DB23" s="39" t="s">
        <v>121</v>
      </c>
      <c r="DC23" s="39" t="s">
        <v>121</v>
      </c>
      <c r="DD23" s="39" t="s">
        <v>121</v>
      </c>
      <c r="DE23" s="39" t="s">
        <v>121</v>
      </c>
      <c r="DF23" s="39" t="s">
        <v>121</v>
      </c>
      <c r="DG23" s="39" t="s">
        <v>121</v>
      </c>
      <c r="DH23" s="39" t="s">
        <v>121</v>
      </c>
      <c r="DI23" s="39" t="s">
        <v>121</v>
      </c>
      <c r="DJ23" s="39" t="s">
        <v>121</v>
      </c>
      <c r="DK23" s="39" t="s">
        <v>121</v>
      </c>
      <c r="DL23" s="39" t="s">
        <v>121</v>
      </c>
      <c r="DM23" s="39" t="s">
        <v>121</v>
      </c>
      <c r="DN23" s="39" t="s">
        <v>121</v>
      </c>
      <c r="DO23" s="39" t="s">
        <v>121</v>
      </c>
      <c r="DP23" s="39" t="s">
        <v>121</v>
      </c>
      <c r="DQ23" s="39" t="s">
        <v>121</v>
      </c>
      <c r="DR23" s="39" t="s">
        <v>121</v>
      </c>
      <c r="DS23" s="39" t="s">
        <v>121</v>
      </c>
      <c r="DT23" s="39" t="s">
        <v>121</v>
      </c>
      <c r="DU23" s="39" t="s">
        <v>121</v>
      </c>
      <c r="DV23" s="39" t="s">
        <v>121</v>
      </c>
      <c r="DW23" s="39" t="s">
        <v>121</v>
      </c>
      <c r="DX23" s="39" t="s">
        <v>121</v>
      </c>
      <c r="DY23" s="39" t="s">
        <v>121</v>
      </c>
      <c r="DZ23" s="39" t="s">
        <v>121</v>
      </c>
      <c r="EA23" s="39" t="s">
        <v>121</v>
      </c>
      <c r="EB23" s="39" t="s">
        <v>121</v>
      </c>
      <c r="EC23" s="39" t="s">
        <v>121</v>
      </c>
      <c r="ED23" s="39" t="s">
        <v>121</v>
      </c>
      <c r="EE23" s="39" t="s">
        <v>121</v>
      </c>
      <c r="EF23" s="39" t="s">
        <v>121</v>
      </c>
      <c r="EG23" s="39" t="s">
        <v>121</v>
      </c>
      <c r="EH23" s="39" t="s">
        <v>121</v>
      </c>
      <c r="EI23" s="39" t="s">
        <v>121</v>
      </c>
      <c r="EJ23" s="39" t="s">
        <v>121</v>
      </c>
      <c r="EK23" s="39" t="s">
        <v>121</v>
      </c>
    </row>
    <row r="24" spans="1:141" s="39" customFormat="1" ht="15" hidden="1" customHeight="1" x14ac:dyDescent="0.25">
      <c r="A24" s="72">
        <v>24</v>
      </c>
      <c r="B24" s="40" t="s">
        <v>280</v>
      </c>
      <c r="C24" s="91" t="e">
        <v>#DIV/0!</v>
      </c>
      <c r="D24" s="86" t="e">
        <v>#DIV/0!</v>
      </c>
      <c r="E24" s="92" t="e">
        <v>#DIV/0!</v>
      </c>
      <c r="F24" s="85" t="s">
        <v>121</v>
      </c>
      <c r="G24" s="85" t="s">
        <v>121</v>
      </c>
      <c r="H24" s="85" t="s">
        <v>121</v>
      </c>
      <c r="I24" s="85" t="s">
        <v>121</v>
      </c>
      <c r="J24" s="85" t="s">
        <v>121</v>
      </c>
      <c r="K24" s="85" t="s">
        <v>121</v>
      </c>
      <c r="L24" s="85" t="s">
        <v>121</v>
      </c>
      <c r="M24" s="85" t="s">
        <v>121</v>
      </c>
      <c r="N24" s="85" t="s">
        <v>121</v>
      </c>
      <c r="O24" s="85" t="s">
        <v>121</v>
      </c>
      <c r="P24" s="85" t="s">
        <v>121</v>
      </c>
      <c r="Q24" s="85" t="s">
        <v>121</v>
      </c>
      <c r="R24" s="404"/>
      <c r="S24" s="404"/>
      <c r="T24" s="404"/>
      <c r="U24" s="85" t="s">
        <v>121</v>
      </c>
      <c r="V24" s="85" t="s">
        <v>121</v>
      </c>
      <c r="W24" s="85" t="s">
        <v>121</v>
      </c>
      <c r="X24" s="85" t="s">
        <v>121</v>
      </c>
      <c r="Y24" s="85" t="s">
        <v>121</v>
      </c>
      <c r="Z24" s="85" t="s">
        <v>121</v>
      </c>
      <c r="AA24" s="85" t="s">
        <v>121</v>
      </c>
      <c r="AB24" s="85" t="s">
        <v>121</v>
      </c>
      <c r="AC24" s="85" t="s">
        <v>121</v>
      </c>
      <c r="AD24" s="85" t="s">
        <v>121</v>
      </c>
      <c r="AE24" s="85" t="s">
        <v>121</v>
      </c>
      <c r="AF24" s="85" t="s">
        <v>121</v>
      </c>
      <c r="AG24" s="85" t="s">
        <v>121</v>
      </c>
      <c r="AH24" s="85" t="s">
        <v>121</v>
      </c>
      <c r="AI24" s="85" t="s">
        <v>121</v>
      </c>
      <c r="AJ24" s="187" t="s">
        <v>121</v>
      </c>
      <c r="AK24" s="85" t="s">
        <v>121</v>
      </c>
      <c r="AL24" s="85" t="s">
        <v>121</v>
      </c>
      <c r="AM24" s="85" t="s">
        <v>121</v>
      </c>
      <c r="AN24" s="85" t="s">
        <v>121</v>
      </c>
      <c r="AO24" s="85" t="s">
        <v>121</v>
      </c>
      <c r="AP24" s="85" t="s">
        <v>121</v>
      </c>
      <c r="AQ24" s="85" t="s">
        <v>121</v>
      </c>
      <c r="AR24" s="85" t="s">
        <v>121</v>
      </c>
      <c r="AS24" s="85" t="s">
        <v>121</v>
      </c>
      <c r="AT24" s="85" t="s">
        <v>121</v>
      </c>
      <c r="AU24" s="85" t="s">
        <v>121</v>
      </c>
      <c r="AV24" s="85" t="s">
        <v>121</v>
      </c>
      <c r="AW24" s="85" t="s">
        <v>121</v>
      </c>
      <c r="AX24" s="85" t="s">
        <v>121</v>
      </c>
      <c r="AY24" s="85" t="s">
        <v>121</v>
      </c>
      <c r="AZ24" s="85" t="s">
        <v>121</v>
      </c>
      <c r="BA24" s="45" t="s">
        <v>121</v>
      </c>
      <c r="BB24" s="45" t="s">
        <v>121</v>
      </c>
      <c r="BC24" s="45" t="s">
        <v>121</v>
      </c>
      <c r="BD24" s="45" t="s">
        <v>121</v>
      </c>
      <c r="BE24" s="45" t="s">
        <v>121</v>
      </c>
      <c r="BF24" s="45">
        <v>1330.6679999999999</v>
      </c>
      <c r="BG24" s="45">
        <v>1566.5170000000001</v>
      </c>
      <c r="BH24" s="45">
        <v>1285.8510000000001</v>
      </c>
      <c r="BI24" s="45">
        <v>1194.021</v>
      </c>
      <c r="BJ24" s="45">
        <v>955.45799999999997</v>
      </c>
      <c r="BK24" s="45">
        <v>801.27499999999998</v>
      </c>
      <c r="BL24" s="45">
        <v>1065.2329999999999</v>
      </c>
      <c r="BM24" s="39">
        <v>305.78500000000003</v>
      </c>
      <c r="BN24" s="39">
        <v>133.892</v>
      </c>
      <c r="BO24" s="39">
        <v>89.741</v>
      </c>
      <c r="BP24" s="39">
        <v>75.399000000000001</v>
      </c>
      <c r="BQ24" s="39">
        <v>149.01400000000001</v>
      </c>
      <c r="BR24" s="39" t="s">
        <v>121</v>
      </c>
      <c r="BS24" s="39" t="s">
        <v>121</v>
      </c>
      <c r="BT24" s="39" t="s">
        <v>121</v>
      </c>
      <c r="BU24" s="39" t="s">
        <v>121</v>
      </c>
      <c r="BV24" s="39" t="s">
        <v>121</v>
      </c>
      <c r="BW24" s="39" t="s">
        <v>121</v>
      </c>
      <c r="BX24" s="39" t="s">
        <v>121</v>
      </c>
      <c r="BY24" s="39" t="s">
        <v>121</v>
      </c>
      <c r="BZ24" s="39" t="s">
        <v>121</v>
      </c>
      <c r="CA24" s="39" t="s">
        <v>121</v>
      </c>
      <c r="CB24" s="39" t="s">
        <v>121</v>
      </c>
      <c r="CC24" s="39" t="s">
        <v>121</v>
      </c>
      <c r="CD24" s="39" t="s">
        <v>121</v>
      </c>
      <c r="CE24" s="39" t="s">
        <v>121</v>
      </c>
      <c r="CF24" s="39" t="s">
        <v>121</v>
      </c>
      <c r="CG24" s="39" t="s">
        <v>121</v>
      </c>
      <c r="CH24" s="39" t="s">
        <v>121</v>
      </c>
      <c r="CI24" s="39" t="s">
        <v>121</v>
      </c>
      <c r="CJ24" s="39" t="s">
        <v>121</v>
      </c>
      <c r="CK24" s="39" t="s">
        <v>121</v>
      </c>
      <c r="CL24" s="39" t="s">
        <v>121</v>
      </c>
      <c r="CM24" s="39" t="s">
        <v>121</v>
      </c>
      <c r="CN24" s="39" t="s">
        <v>121</v>
      </c>
      <c r="CO24" s="39" t="s">
        <v>121</v>
      </c>
      <c r="CP24" s="39" t="s">
        <v>121</v>
      </c>
      <c r="CQ24" s="39" t="s">
        <v>121</v>
      </c>
      <c r="CR24" s="39" t="s">
        <v>121</v>
      </c>
      <c r="CS24" s="39" t="s">
        <v>121</v>
      </c>
      <c r="CT24" s="39" t="s">
        <v>121</v>
      </c>
      <c r="CU24" s="39" t="s">
        <v>121</v>
      </c>
      <c r="CV24" s="39" t="s">
        <v>121</v>
      </c>
      <c r="CW24" s="39" t="s">
        <v>121</v>
      </c>
      <c r="CX24" s="39" t="s">
        <v>121</v>
      </c>
      <c r="CY24" s="39" t="s">
        <v>121</v>
      </c>
      <c r="CZ24" s="39" t="s">
        <v>121</v>
      </c>
      <c r="DA24" s="39" t="s">
        <v>121</v>
      </c>
      <c r="DB24" s="39" t="s">
        <v>121</v>
      </c>
      <c r="DC24" s="39" t="s">
        <v>121</v>
      </c>
      <c r="DD24" s="39" t="s">
        <v>121</v>
      </c>
      <c r="DE24" s="39" t="s">
        <v>121</v>
      </c>
      <c r="DF24" s="39" t="s">
        <v>121</v>
      </c>
      <c r="DG24" s="39" t="s">
        <v>121</v>
      </c>
      <c r="DH24" s="39" t="s">
        <v>121</v>
      </c>
      <c r="DI24" s="39" t="s">
        <v>121</v>
      </c>
      <c r="DJ24" s="39" t="s">
        <v>121</v>
      </c>
      <c r="DK24" s="39" t="s">
        <v>121</v>
      </c>
      <c r="DL24" s="39" t="s">
        <v>121</v>
      </c>
      <c r="DM24" s="39" t="s">
        <v>121</v>
      </c>
      <c r="DN24" s="39" t="s">
        <v>121</v>
      </c>
      <c r="DO24" s="39" t="s">
        <v>121</v>
      </c>
      <c r="DP24" s="39" t="s">
        <v>121</v>
      </c>
      <c r="DQ24" s="39" t="s">
        <v>121</v>
      </c>
      <c r="DR24" s="39" t="s">
        <v>121</v>
      </c>
      <c r="DS24" s="39" t="s">
        <v>121</v>
      </c>
      <c r="DT24" s="39" t="s">
        <v>121</v>
      </c>
      <c r="DU24" s="39" t="s">
        <v>121</v>
      </c>
      <c r="DV24" s="39" t="s">
        <v>121</v>
      </c>
      <c r="DW24" s="39" t="s">
        <v>121</v>
      </c>
      <c r="DX24" s="39" t="s">
        <v>121</v>
      </c>
      <c r="DY24" s="39" t="s">
        <v>121</v>
      </c>
      <c r="DZ24" s="39" t="s">
        <v>121</v>
      </c>
      <c r="EA24" s="39" t="s">
        <v>121</v>
      </c>
      <c r="EB24" s="39" t="s">
        <v>121</v>
      </c>
      <c r="EC24" s="39" t="s">
        <v>121</v>
      </c>
      <c r="ED24" s="39" t="s">
        <v>121</v>
      </c>
      <c r="EE24" s="39" t="s">
        <v>121</v>
      </c>
      <c r="EF24" s="39" t="s">
        <v>121</v>
      </c>
      <c r="EG24" s="39" t="s">
        <v>121</v>
      </c>
      <c r="EH24" s="39" t="s">
        <v>121</v>
      </c>
      <c r="EI24" s="39" t="s">
        <v>121</v>
      </c>
      <c r="EJ24" s="39" t="s">
        <v>121</v>
      </c>
      <c r="EK24" s="39" t="s">
        <v>121</v>
      </c>
    </row>
    <row r="25" spans="1:141" s="39" customFormat="1" ht="15" customHeight="1" x14ac:dyDescent="0.25">
      <c r="A25" s="72">
        <v>25</v>
      </c>
      <c r="B25" s="40" t="s">
        <v>281</v>
      </c>
      <c r="C25" s="91">
        <v>-1.4269880853421957E-2</v>
      </c>
      <c r="D25" s="86">
        <v>3.3677102516881519</v>
      </c>
      <c r="E25" s="92">
        <v>3.1294254207777135</v>
      </c>
      <c r="F25" s="85">
        <v>7115</v>
      </c>
      <c r="G25" s="85">
        <v>7218</v>
      </c>
      <c r="H25" s="85">
        <v>7218</v>
      </c>
      <c r="I25" s="85">
        <v>1723</v>
      </c>
      <c r="J25" s="85">
        <v>1629</v>
      </c>
      <c r="K25" s="85">
        <v>1629</v>
      </c>
      <c r="L25" s="85">
        <v>1629</v>
      </c>
      <c r="M25" s="85">
        <v>1629</v>
      </c>
      <c r="N25" s="85">
        <v>1292</v>
      </c>
      <c r="O25" s="85">
        <v>5934</v>
      </c>
      <c r="P25" s="85">
        <v>5133</v>
      </c>
      <c r="Q25" s="85">
        <v>4274</v>
      </c>
      <c r="R25" s="404"/>
      <c r="S25" s="404"/>
      <c r="T25" s="404"/>
      <c r="U25" s="85">
        <v>3062</v>
      </c>
      <c r="V25" s="85">
        <v>3269.6170000000002</v>
      </c>
      <c r="W25" s="85">
        <v>4247.6189999999997</v>
      </c>
      <c r="X25" s="85">
        <v>4492.6109999999999</v>
      </c>
      <c r="Y25" s="85">
        <v>4411</v>
      </c>
      <c r="Z25" s="85">
        <v>6363.41</v>
      </c>
      <c r="AA25" s="85">
        <v>6801.1149999999998</v>
      </c>
      <c r="AB25" s="85">
        <v>7016.4579999999996</v>
      </c>
      <c r="AC25" s="85">
        <v>7028.5020000000004</v>
      </c>
      <c r="AD25" s="85">
        <v>7420.6149999999998</v>
      </c>
      <c r="AE25" s="85">
        <v>7408.2740000000003</v>
      </c>
      <c r="AF25" s="85">
        <v>7365.107</v>
      </c>
      <c r="AG25" s="85">
        <v>7311.9319999999998</v>
      </c>
      <c r="AH25" s="85">
        <v>8845.4840000000004</v>
      </c>
      <c r="AI25" s="85">
        <v>7371.94</v>
      </c>
      <c r="AJ25" s="187">
        <v>8141.2330000000002</v>
      </c>
      <c r="AK25" s="85">
        <v>8102.9970000000003</v>
      </c>
      <c r="AL25" s="85">
        <v>8030.8450000000003</v>
      </c>
      <c r="AM25" s="85">
        <v>5582.0010000000002</v>
      </c>
      <c r="AN25" s="85">
        <v>5711.21</v>
      </c>
      <c r="AO25" s="85">
        <v>5726.2250000000004</v>
      </c>
      <c r="AP25" s="85">
        <v>5607.4229999999998</v>
      </c>
      <c r="AQ25" s="85">
        <v>5635.7790000000005</v>
      </c>
      <c r="AR25" s="85">
        <v>1951.393</v>
      </c>
      <c r="AS25" s="85">
        <v>3162.5320000000002</v>
      </c>
      <c r="AT25" s="85">
        <v>3163.3939999999998</v>
      </c>
      <c r="AU25" s="85">
        <v>3185.7089999999998</v>
      </c>
      <c r="AV25" s="85">
        <v>1581.4380000000001</v>
      </c>
      <c r="AW25" s="85">
        <v>1591.433</v>
      </c>
      <c r="AX25" s="85">
        <v>1649.511</v>
      </c>
      <c r="AY25" s="85">
        <v>1652.011</v>
      </c>
      <c r="AZ25" s="85">
        <v>1652.011</v>
      </c>
      <c r="BA25" s="45">
        <v>1653.115</v>
      </c>
      <c r="BB25" s="45">
        <v>4289.4030000000002</v>
      </c>
      <c r="BC25" s="45">
        <v>2860.953</v>
      </c>
      <c r="BD25" s="45">
        <v>2862.04</v>
      </c>
      <c r="BE25" s="45">
        <v>2855.7559999999999</v>
      </c>
      <c r="BF25" s="45">
        <v>2856.8670000000002</v>
      </c>
      <c r="BG25" s="45">
        <v>4724.4920000000002</v>
      </c>
      <c r="BH25" s="45">
        <v>4514.7389999999996</v>
      </c>
      <c r="BI25" s="45">
        <v>4524.3329999999996</v>
      </c>
      <c r="BJ25" s="45">
        <v>4566.1710000000003</v>
      </c>
      <c r="BK25" s="45">
        <v>4576.0349999999999</v>
      </c>
      <c r="BL25" s="45">
        <v>3960.3040000000001</v>
      </c>
      <c r="BM25" s="39">
        <v>3956.82</v>
      </c>
      <c r="BN25" s="39">
        <v>2000.008</v>
      </c>
      <c r="BO25" s="39">
        <v>2000.008</v>
      </c>
      <c r="BP25" s="39">
        <v>2000.008</v>
      </c>
      <c r="BQ25" s="39">
        <v>2000.008</v>
      </c>
      <c r="BR25" s="39" t="s">
        <v>121</v>
      </c>
      <c r="BS25" s="39" t="s">
        <v>121</v>
      </c>
      <c r="BT25" s="39" t="s">
        <v>121</v>
      </c>
      <c r="BU25" s="39" t="s">
        <v>121</v>
      </c>
      <c r="BV25" s="39" t="s">
        <v>121</v>
      </c>
      <c r="BW25" s="39" t="s">
        <v>121</v>
      </c>
      <c r="BX25" s="39" t="s">
        <v>121</v>
      </c>
      <c r="BY25" s="39" t="s">
        <v>121</v>
      </c>
      <c r="BZ25" s="39" t="s">
        <v>121</v>
      </c>
      <c r="CA25" s="39" t="s">
        <v>121</v>
      </c>
      <c r="CB25" s="39" t="s">
        <v>121</v>
      </c>
      <c r="CC25" s="39" t="s">
        <v>121</v>
      </c>
      <c r="CD25" s="39" t="s">
        <v>121</v>
      </c>
      <c r="CE25" s="39" t="s">
        <v>121</v>
      </c>
      <c r="CF25" s="39" t="s">
        <v>121</v>
      </c>
      <c r="CG25" s="39" t="s">
        <v>121</v>
      </c>
      <c r="CH25" s="39" t="s">
        <v>121</v>
      </c>
      <c r="CI25" s="39" t="s">
        <v>121</v>
      </c>
      <c r="CJ25" s="39" t="s">
        <v>121</v>
      </c>
      <c r="CK25" s="39" t="s">
        <v>121</v>
      </c>
      <c r="CL25" s="39" t="s">
        <v>121</v>
      </c>
      <c r="CM25" s="39" t="s">
        <v>121</v>
      </c>
      <c r="CN25" s="39" t="s">
        <v>121</v>
      </c>
      <c r="CO25" s="39" t="s">
        <v>121</v>
      </c>
      <c r="CP25" s="39" t="s">
        <v>121</v>
      </c>
      <c r="CQ25" s="39" t="s">
        <v>121</v>
      </c>
      <c r="CR25" s="39" t="s">
        <v>121</v>
      </c>
      <c r="CS25" s="39" t="s">
        <v>121</v>
      </c>
      <c r="CT25" s="39" t="s">
        <v>121</v>
      </c>
      <c r="CU25" s="39" t="s">
        <v>121</v>
      </c>
      <c r="CV25" s="39" t="s">
        <v>121</v>
      </c>
      <c r="CW25" s="39" t="s">
        <v>121</v>
      </c>
      <c r="CX25" s="39" t="s">
        <v>121</v>
      </c>
      <c r="CY25" s="39" t="s">
        <v>121</v>
      </c>
      <c r="CZ25" s="39" t="s">
        <v>121</v>
      </c>
      <c r="DA25" s="39" t="s">
        <v>121</v>
      </c>
      <c r="DB25" s="39" t="s">
        <v>121</v>
      </c>
      <c r="DC25" s="39" t="s">
        <v>121</v>
      </c>
      <c r="DD25" s="39" t="s">
        <v>121</v>
      </c>
      <c r="DE25" s="39" t="s">
        <v>121</v>
      </c>
      <c r="DF25" s="39" t="s">
        <v>121</v>
      </c>
      <c r="DG25" s="39" t="s">
        <v>121</v>
      </c>
      <c r="DH25" s="39" t="s">
        <v>121</v>
      </c>
      <c r="DI25" s="39" t="s">
        <v>121</v>
      </c>
      <c r="DJ25" s="39" t="s">
        <v>121</v>
      </c>
      <c r="DK25" s="39" t="s">
        <v>121</v>
      </c>
      <c r="DL25" s="39" t="s">
        <v>121</v>
      </c>
      <c r="DM25" s="39" t="s">
        <v>121</v>
      </c>
      <c r="DN25" s="39" t="s">
        <v>121</v>
      </c>
      <c r="DO25" s="39" t="s">
        <v>121</v>
      </c>
      <c r="DP25" s="39" t="s">
        <v>121</v>
      </c>
      <c r="DQ25" s="39" t="s">
        <v>121</v>
      </c>
      <c r="DR25" s="39" t="s">
        <v>121</v>
      </c>
      <c r="DS25" s="39" t="s">
        <v>121</v>
      </c>
      <c r="DT25" s="39" t="s">
        <v>121</v>
      </c>
      <c r="DU25" s="39" t="s">
        <v>121</v>
      </c>
      <c r="DV25" s="39" t="s">
        <v>121</v>
      </c>
      <c r="DW25" s="39" t="s">
        <v>121</v>
      </c>
      <c r="DX25" s="39" t="s">
        <v>121</v>
      </c>
      <c r="DY25" s="39" t="s">
        <v>121</v>
      </c>
      <c r="DZ25" s="39" t="s">
        <v>121</v>
      </c>
      <c r="EA25" s="39" t="s">
        <v>121</v>
      </c>
      <c r="EB25" s="39" t="s">
        <v>121</v>
      </c>
      <c r="EC25" s="39" t="s">
        <v>121</v>
      </c>
      <c r="ED25" s="39" t="s">
        <v>121</v>
      </c>
      <c r="EE25" s="39" t="s">
        <v>121</v>
      </c>
      <c r="EF25" s="39" t="s">
        <v>121</v>
      </c>
      <c r="EG25" s="39" t="s">
        <v>121</v>
      </c>
      <c r="EH25" s="39" t="s">
        <v>121</v>
      </c>
      <c r="EI25" s="39" t="s">
        <v>121</v>
      </c>
      <c r="EJ25" s="39" t="s">
        <v>121</v>
      </c>
      <c r="EK25" s="39" t="s">
        <v>121</v>
      </c>
    </row>
    <row r="26" spans="1:141" ht="15" customHeight="1" x14ac:dyDescent="0.25">
      <c r="A26" s="72">
        <v>26</v>
      </c>
      <c r="B26" s="5" t="s">
        <v>282</v>
      </c>
      <c r="C26" s="91">
        <v>1.7784401390958715E-2</v>
      </c>
      <c r="D26" s="86">
        <v>9.843448423761525E-2</v>
      </c>
      <c r="E26" s="92">
        <v>5.0397334016918816E-2</v>
      </c>
      <c r="F26" s="84">
        <v>20488</v>
      </c>
      <c r="G26" s="84">
        <v>20130</v>
      </c>
      <c r="H26" s="84">
        <v>19336</v>
      </c>
      <c r="I26" s="84">
        <v>19505</v>
      </c>
      <c r="J26" s="84">
        <v>18652</v>
      </c>
      <c r="K26" s="84">
        <v>18434</v>
      </c>
      <c r="L26" s="84">
        <v>18025</v>
      </c>
      <c r="M26" s="84">
        <v>17376</v>
      </c>
      <c r="N26" s="84">
        <v>15763</v>
      </c>
      <c r="O26" s="84">
        <v>15471</v>
      </c>
      <c r="P26" s="84">
        <v>15615</v>
      </c>
      <c r="Q26" s="84">
        <v>15705</v>
      </c>
      <c r="R26" s="404"/>
      <c r="S26" s="404"/>
      <c r="T26" s="404"/>
      <c r="U26" s="84">
        <v>14405</v>
      </c>
      <c r="V26" s="84">
        <v>13919.635</v>
      </c>
      <c r="W26" s="84">
        <v>14167.415999999999</v>
      </c>
      <c r="X26" s="84">
        <v>14266.281999999999</v>
      </c>
      <c r="Y26" s="84">
        <v>14443</v>
      </c>
      <c r="Z26" s="84">
        <v>14290.245999999999</v>
      </c>
      <c r="AA26" s="84">
        <v>14267.593000000001</v>
      </c>
      <c r="AB26" s="84">
        <v>14223.603999999999</v>
      </c>
      <c r="AC26" s="84">
        <v>14798.047</v>
      </c>
      <c r="AD26" s="84">
        <v>14448.04</v>
      </c>
      <c r="AE26" s="84">
        <v>14504.392</v>
      </c>
      <c r="AF26" s="84">
        <v>13863.374</v>
      </c>
      <c r="AG26" s="84">
        <v>14182.855</v>
      </c>
      <c r="AH26" s="84">
        <v>14268.815000000001</v>
      </c>
      <c r="AI26" s="84">
        <v>14407.281999999999</v>
      </c>
      <c r="AJ26" s="185">
        <v>14568.254999999999</v>
      </c>
      <c r="AK26" s="84">
        <v>14670.596</v>
      </c>
      <c r="AL26" s="84">
        <v>14909.637000000001</v>
      </c>
      <c r="AM26" s="84">
        <v>14888.95</v>
      </c>
      <c r="AN26" s="84">
        <v>14186.588</v>
      </c>
      <c r="AO26" s="84">
        <v>14304.98</v>
      </c>
      <c r="AP26" s="84">
        <v>14408.606</v>
      </c>
      <c r="AQ26" s="84">
        <v>14445.998</v>
      </c>
      <c r="AR26" s="84">
        <v>14356.790999999999</v>
      </c>
      <c r="AS26" s="84">
        <v>14476.946</v>
      </c>
      <c r="AT26" s="84">
        <v>14295.665999999999</v>
      </c>
      <c r="AU26" s="84">
        <v>14302.787</v>
      </c>
      <c r="AV26" s="84">
        <v>14330.807000000001</v>
      </c>
      <c r="AW26" s="84">
        <v>14535.188</v>
      </c>
      <c r="AX26" s="84">
        <v>13785.134</v>
      </c>
      <c r="AY26" s="84">
        <v>13889.107</v>
      </c>
      <c r="AZ26" s="84">
        <v>13841.368</v>
      </c>
      <c r="BA26" s="11">
        <v>13806.328</v>
      </c>
      <c r="BB26" s="11">
        <v>13728.429</v>
      </c>
      <c r="BC26" s="11">
        <v>13819.672</v>
      </c>
      <c r="BD26" s="11">
        <v>13905.541999999999</v>
      </c>
      <c r="BE26" s="11">
        <v>13971.681</v>
      </c>
      <c r="BF26" s="11">
        <v>13755.664000000001</v>
      </c>
      <c r="BG26" s="11">
        <v>13673.254000000001</v>
      </c>
      <c r="BH26" s="11">
        <v>13935.485000000001</v>
      </c>
      <c r="BI26" s="11">
        <v>14134.509</v>
      </c>
      <c r="BJ26" s="11">
        <v>12312.039000000001</v>
      </c>
      <c r="BK26" s="11">
        <v>11743.331</v>
      </c>
      <c r="BL26" s="11">
        <v>11716.114</v>
      </c>
      <c r="BM26" s="1">
        <v>11762.753000000001</v>
      </c>
      <c r="BN26" s="1">
        <v>11230.862999999999</v>
      </c>
      <c r="BO26" s="1">
        <v>11221.379000000001</v>
      </c>
      <c r="BP26" s="1">
        <v>10588.137000000001</v>
      </c>
      <c r="BQ26" s="1">
        <v>10112.709999999999</v>
      </c>
      <c r="BR26" s="1" t="s">
        <v>121</v>
      </c>
      <c r="BS26" s="1" t="s">
        <v>121</v>
      </c>
      <c r="BT26" s="1" t="s">
        <v>121</v>
      </c>
      <c r="BU26" s="1" t="s">
        <v>121</v>
      </c>
      <c r="BV26" s="1" t="s">
        <v>121</v>
      </c>
      <c r="BW26" s="1" t="s">
        <v>121</v>
      </c>
      <c r="BX26" s="1" t="s">
        <v>121</v>
      </c>
      <c r="BY26" s="1" t="s">
        <v>121</v>
      </c>
      <c r="BZ26" s="1" t="s">
        <v>121</v>
      </c>
      <c r="CA26" s="1" t="s">
        <v>121</v>
      </c>
      <c r="CB26" s="1" t="s">
        <v>121</v>
      </c>
      <c r="CC26" s="1" t="s">
        <v>121</v>
      </c>
      <c r="CD26" s="1" t="s">
        <v>121</v>
      </c>
      <c r="CE26" s="1" t="s">
        <v>121</v>
      </c>
      <c r="CF26" s="1" t="s">
        <v>121</v>
      </c>
      <c r="CG26" s="1" t="s">
        <v>121</v>
      </c>
      <c r="CH26" s="1" t="s">
        <v>121</v>
      </c>
      <c r="CI26" s="1" t="s">
        <v>121</v>
      </c>
      <c r="CJ26" s="1" t="s">
        <v>121</v>
      </c>
      <c r="CK26" s="1" t="s">
        <v>121</v>
      </c>
      <c r="CL26" s="1" t="s">
        <v>121</v>
      </c>
      <c r="CM26" s="1" t="s">
        <v>121</v>
      </c>
      <c r="CN26" s="1" t="s">
        <v>121</v>
      </c>
      <c r="CO26" s="1" t="s">
        <v>121</v>
      </c>
      <c r="CP26" s="1" t="s">
        <v>121</v>
      </c>
      <c r="CQ26" s="1" t="s">
        <v>121</v>
      </c>
      <c r="CR26" s="1" t="s">
        <v>121</v>
      </c>
      <c r="CS26" s="1" t="s">
        <v>121</v>
      </c>
      <c r="CT26" s="1" t="s">
        <v>121</v>
      </c>
      <c r="CU26" s="1" t="s">
        <v>121</v>
      </c>
      <c r="CV26" s="1" t="s">
        <v>121</v>
      </c>
      <c r="CW26" s="1" t="s">
        <v>121</v>
      </c>
      <c r="CX26" s="1" t="s">
        <v>121</v>
      </c>
      <c r="CY26" s="1" t="s">
        <v>121</v>
      </c>
      <c r="CZ26" s="1" t="s">
        <v>121</v>
      </c>
      <c r="DA26" s="1" t="s">
        <v>121</v>
      </c>
      <c r="DB26" s="1" t="s">
        <v>121</v>
      </c>
      <c r="DC26" s="1" t="s">
        <v>121</v>
      </c>
      <c r="DD26" s="1" t="s">
        <v>121</v>
      </c>
      <c r="DE26" s="1" t="s">
        <v>121</v>
      </c>
      <c r="DF26" s="1" t="s">
        <v>121</v>
      </c>
      <c r="DG26" s="1" t="s">
        <v>121</v>
      </c>
      <c r="DH26" s="1" t="s">
        <v>121</v>
      </c>
      <c r="DI26" s="1" t="s">
        <v>121</v>
      </c>
      <c r="DJ26" s="1" t="s">
        <v>121</v>
      </c>
      <c r="DK26" s="1" t="s">
        <v>121</v>
      </c>
      <c r="DL26" s="1" t="s">
        <v>121</v>
      </c>
      <c r="DM26" s="1" t="s">
        <v>121</v>
      </c>
      <c r="DN26" s="1" t="s">
        <v>121</v>
      </c>
      <c r="DO26" s="1" t="s">
        <v>121</v>
      </c>
      <c r="DP26" s="1" t="s">
        <v>121</v>
      </c>
      <c r="DQ26" s="1" t="s">
        <v>121</v>
      </c>
      <c r="DR26" s="1" t="s">
        <v>121</v>
      </c>
      <c r="DS26" s="1" t="s">
        <v>121</v>
      </c>
      <c r="DT26" s="1" t="s">
        <v>121</v>
      </c>
      <c r="DU26" s="1" t="s">
        <v>121</v>
      </c>
      <c r="DV26" s="1" t="s">
        <v>121</v>
      </c>
      <c r="DW26" s="1" t="s">
        <v>121</v>
      </c>
      <c r="DX26" s="1" t="s">
        <v>121</v>
      </c>
      <c r="DY26" s="1" t="s">
        <v>121</v>
      </c>
      <c r="DZ26" s="1" t="s">
        <v>121</v>
      </c>
      <c r="EA26" s="1" t="s">
        <v>121</v>
      </c>
      <c r="EB26" s="1" t="s">
        <v>121</v>
      </c>
      <c r="EC26" s="1" t="s">
        <v>121</v>
      </c>
      <c r="ED26" s="1" t="s">
        <v>121</v>
      </c>
      <c r="EE26" s="1" t="s">
        <v>121</v>
      </c>
      <c r="EF26" s="1" t="s">
        <v>121</v>
      </c>
      <c r="EG26" s="1" t="s">
        <v>121</v>
      </c>
      <c r="EH26" s="1" t="s">
        <v>121</v>
      </c>
      <c r="EI26" s="1" t="s">
        <v>121</v>
      </c>
      <c r="EJ26" s="1" t="s">
        <v>121</v>
      </c>
      <c r="EK26" s="1" t="s">
        <v>121</v>
      </c>
    </row>
    <row r="27" spans="1:141" ht="15" customHeight="1" x14ac:dyDescent="0.25">
      <c r="A27" s="72">
        <v>27</v>
      </c>
      <c r="B27" s="5" t="s">
        <v>283</v>
      </c>
      <c r="C27" s="91">
        <v>-0.18240379725377187</v>
      </c>
      <c r="D27" s="86">
        <v>-0.41432908318154216</v>
      </c>
      <c r="E27" s="92">
        <v>-0.40927184763304547</v>
      </c>
      <c r="F27" s="84">
        <v>9646</v>
      </c>
      <c r="G27" s="84">
        <v>11798</v>
      </c>
      <c r="H27" s="84">
        <v>20317</v>
      </c>
      <c r="I27" s="84">
        <v>16329</v>
      </c>
      <c r="J27" s="84">
        <v>16470</v>
      </c>
      <c r="K27" s="84">
        <v>19760</v>
      </c>
      <c r="L27" s="84">
        <v>15982</v>
      </c>
      <c r="M27" s="84">
        <v>12899</v>
      </c>
      <c r="N27" s="84">
        <v>21614</v>
      </c>
      <c r="O27" s="84">
        <v>20514</v>
      </c>
      <c r="P27" s="84">
        <v>14546</v>
      </c>
      <c r="Q27" s="84">
        <v>13715</v>
      </c>
      <c r="R27" s="404"/>
      <c r="S27" s="404"/>
      <c r="T27" s="404"/>
      <c r="U27" s="84">
        <v>9617</v>
      </c>
      <c r="V27" s="84">
        <v>9434.9490000000005</v>
      </c>
      <c r="W27" s="84">
        <v>7732.2030000000004</v>
      </c>
      <c r="X27" s="84">
        <v>6849.9210000000003</v>
      </c>
      <c r="Y27" s="84">
        <v>12376</v>
      </c>
      <c r="Z27" s="84">
        <v>11511.384</v>
      </c>
      <c r="AA27" s="84">
        <v>10409.823</v>
      </c>
      <c r="AB27" s="84">
        <v>5653.393</v>
      </c>
      <c r="AC27" s="84">
        <v>7675.9539999999997</v>
      </c>
      <c r="AD27" s="84">
        <v>5897.8149999999996</v>
      </c>
      <c r="AE27" s="84">
        <v>4541.8940000000002</v>
      </c>
      <c r="AF27" s="84">
        <v>6144.3729999999996</v>
      </c>
      <c r="AG27" s="84">
        <v>7036.4470000000001</v>
      </c>
      <c r="AH27" s="84">
        <v>4400.4340000000002</v>
      </c>
      <c r="AI27" s="84">
        <v>5136.2030000000004</v>
      </c>
      <c r="AJ27" s="185">
        <v>4300.5</v>
      </c>
      <c r="AK27" s="84">
        <v>5704.3050000000003</v>
      </c>
      <c r="AL27" s="84">
        <v>5365.8370000000004</v>
      </c>
      <c r="AM27" s="84">
        <v>3691.8110000000001</v>
      </c>
      <c r="AN27" s="84">
        <v>3330.3870000000002</v>
      </c>
      <c r="AO27" s="84">
        <v>4553.2719999999999</v>
      </c>
      <c r="AP27" s="84">
        <v>3658.2599999999998</v>
      </c>
      <c r="AQ27" s="84">
        <v>2030.1790000000001</v>
      </c>
      <c r="AR27" s="84">
        <v>3109.8710000000001</v>
      </c>
      <c r="AS27" s="84">
        <v>2978.4</v>
      </c>
      <c r="AT27" s="84">
        <v>10980.653</v>
      </c>
      <c r="AU27" s="84">
        <v>8184.4390000000003</v>
      </c>
      <c r="AV27" s="84">
        <v>15185.194</v>
      </c>
      <c r="AW27" s="84">
        <v>20897.694</v>
      </c>
      <c r="AX27" s="84">
        <v>5627.338999999999</v>
      </c>
      <c r="AY27" s="84">
        <v>5170.9229999999998</v>
      </c>
      <c r="AZ27" s="84">
        <v>2537.8120000000004</v>
      </c>
      <c r="BA27" s="11">
        <v>2691.2449999999999</v>
      </c>
      <c r="BB27" s="11">
        <v>3007.866</v>
      </c>
      <c r="BC27" s="11">
        <v>2335.8589999999999</v>
      </c>
      <c r="BD27" s="11">
        <v>2504.6089999999999</v>
      </c>
      <c r="BE27" s="11">
        <v>2199.386</v>
      </c>
      <c r="BF27" s="11">
        <v>1763.835</v>
      </c>
      <c r="BG27" s="11">
        <v>1974.6479999999999</v>
      </c>
      <c r="BH27" s="11">
        <v>2267.623</v>
      </c>
      <c r="BI27" s="11">
        <v>2587.6859999999997</v>
      </c>
      <c r="BJ27" s="11">
        <v>2138.0110000000004</v>
      </c>
      <c r="BK27" s="11">
        <v>1228.337</v>
      </c>
      <c r="BL27" s="11">
        <v>884.89499999999998</v>
      </c>
      <c r="BM27" s="1">
        <v>863.53099999999995</v>
      </c>
      <c r="BN27" s="1">
        <v>2828.384</v>
      </c>
      <c r="BO27" s="1">
        <v>2632.4059999999999</v>
      </c>
      <c r="BP27" s="1">
        <v>2815.047</v>
      </c>
      <c r="BQ27" s="1">
        <v>2921.6420000000003</v>
      </c>
      <c r="BR27" s="1" t="s">
        <v>121</v>
      </c>
      <c r="BS27" s="1" t="s">
        <v>121</v>
      </c>
      <c r="BT27" s="1" t="s">
        <v>121</v>
      </c>
      <c r="BU27" s="1" t="s">
        <v>121</v>
      </c>
      <c r="BV27" s="1" t="s">
        <v>121</v>
      </c>
      <c r="BW27" s="1" t="s">
        <v>121</v>
      </c>
      <c r="BX27" s="1" t="s">
        <v>121</v>
      </c>
      <c r="BY27" s="1" t="s">
        <v>121</v>
      </c>
      <c r="BZ27" s="1" t="s">
        <v>121</v>
      </c>
      <c r="CA27" s="1" t="s">
        <v>121</v>
      </c>
      <c r="CB27" s="1" t="s">
        <v>121</v>
      </c>
      <c r="CC27" s="1" t="s">
        <v>121</v>
      </c>
      <c r="CD27" s="1" t="s">
        <v>121</v>
      </c>
      <c r="CE27" s="1" t="s">
        <v>121</v>
      </c>
      <c r="CF27" s="1" t="s">
        <v>121</v>
      </c>
      <c r="CG27" s="1" t="s">
        <v>121</v>
      </c>
      <c r="CH27" s="1" t="s">
        <v>121</v>
      </c>
      <c r="CI27" s="1" t="s">
        <v>121</v>
      </c>
      <c r="CJ27" s="1" t="s">
        <v>121</v>
      </c>
      <c r="CK27" s="1" t="s">
        <v>121</v>
      </c>
      <c r="CL27" s="1" t="s">
        <v>121</v>
      </c>
      <c r="CM27" s="1" t="s">
        <v>121</v>
      </c>
      <c r="CN27" s="1" t="s">
        <v>121</v>
      </c>
      <c r="CO27" s="1" t="s">
        <v>121</v>
      </c>
      <c r="CP27" s="1" t="s">
        <v>121</v>
      </c>
      <c r="CQ27" s="1" t="s">
        <v>121</v>
      </c>
      <c r="CR27" s="1" t="s">
        <v>121</v>
      </c>
      <c r="CS27" s="1" t="s">
        <v>121</v>
      </c>
      <c r="CT27" s="1" t="s">
        <v>121</v>
      </c>
      <c r="CU27" s="1" t="s">
        <v>121</v>
      </c>
      <c r="CV27" s="1" t="s">
        <v>121</v>
      </c>
      <c r="CW27" s="1" t="s">
        <v>121</v>
      </c>
      <c r="CX27" s="1" t="s">
        <v>121</v>
      </c>
      <c r="CY27" s="1" t="s">
        <v>121</v>
      </c>
      <c r="CZ27" s="1" t="s">
        <v>121</v>
      </c>
      <c r="DA27" s="1" t="s">
        <v>121</v>
      </c>
      <c r="DB27" s="1" t="s">
        <v>121</v>
      </c>
      <c r="DC27" s="1" t="s">
        <v>121</v>
      </c>
      <c r="DD27" s="1" t="s">
        <v>121</v>
      </c>
      <c r="DE27" s="1" t="s">
        <v>121</v>
      </c>
      <c r="DF27" s="1" t="s">
        <v>121</v>
      </c>
      <c r="DG27" s="1" t="s">
        <v>121</v>
      </c>
      <c r="DH27" s="1" t="s">
        <v>121</v>
      </c>
      <c r="DI27" s="1" t="s">
        <v>121</v>
      </c>
      <c r="DJ27" s="1" t="s">
        <v>121</v>
      </c>
      <c r="DK27" s="1" t="s">
        <v>121</v>
      </c>
      <c r="DL27" s="1" t="s">
        <v>121</v>
      </c>
      <c r="DM27" s="1" t="s">
        <v>121</v>
      </c>
      <c r="DN27" s="1" t="s">
        <v>121</v>
      </c>
      <c r="DO27" s="1" t="s">
        <v>121</v>
      </c>
      <c r="DP27" s="1" t="s">
        <v>121</v>
      </c>
      <c r="DQ27" s="1" t="s">
        <v>121</v>
      </c>
      <c r="DR27" s="1" t="s">
        <v>121</v>
      </c>
      <c r="DS27" s="1" t="s">
        <v>121</v>
      </c>
      <c r="DT27" s="1" t="s">
        <v>121</v>
      </c>
      <c r="DU27" s="1" t="s">
        <v>121</v>
      </c>
      <c r="DV27" s="1" t="s">
        <v>121</v>
      </c>
      <c r="DW27" s="1" t="s">
        <v>121</v>
      </c>
      <c r="DX27" s="1" t="s">
        <v>121</v>
      </c>
      <c r="DY27" s="1" t="s">
        <v>121</v>
      </c>
      <c r="DZ27" s="1" t="s">
        <v>121</v>
      </c>
      <c r="EA27" s="1" t="s">
        <v>121</v>
      </c>
      <c r="EB27" s="1" t="s">
        <v>121</v>
      </c>
      <c r="EC27" s="1" t="s">
        <v>121</v>
      </c>
      <c r="ED27" s="1" t="s">
        <v>121</v>
      </c>
      <c r="EE27" s="1" t="s">
        <v>121</v>
      </c>
      <c r="EF27" s="1" t="s">
        <v>121</v>
      </c>
      <c r="EG27" s="1" t="s">
        <v>121</v>
      </c>
      <c r="EH27" s="1" t="s">
        <v>121</v>
      </c>
      <c r="EI27" s="1" t="s">
        <v>121</v>
      </c>
      <c r="EJ27" s="1" t="s">
        <v>121</v>
      </c>
      <c r="EK27" s="1" t="s">
        <v>121</v>
      </c>
    </row>
    <row r="28" spans="1:141" ht="15" customHeight="1" x14ac:dyDescent="0.25">
      <c r="A28" s="72">
        <v>28</v>
      </c>
      <c r="B28" s="5" t="s">
        <v>284</v>
      </c>
      <c r="C28" s="91">
        <v>-0.12417582417582418</v>
      </c>
      <c r="D28" s="86">
        <v>-0.31055363321799312</v>
      </c>
      <c r="E28" s="92">
        <v>-0.22470817120622566</v>
      </c>
      <c r="F28" s="84">
        <v>797</v>
      </c>
      <c r="G28" s="84">
        <v>910</v>
      </c>
      <c r="H28" s="84">
        <v>961</v>
      </c>
      <c r="I28" s="84">
        <v>1028</v>
      </c>
      <c r="J28" s="84">
        <v>1156</v>
      </c>
      <c r="K28" s="84">
        <v>1201</v>
      </c>
      <c r="L28" s="84">
        <v>1281</v>
      </c>
      <c r="M28" s="84">
        <v>1310</v>
      </c>
      <c r="N28" s="84">
        <v>1707</v>
      </c>
      <c r="O28" s="84">
        <v>1841</v>
      </c>
      <c r="P28" s="84">
        <v>2026</v>
      </c>
      <c r="Q28" s="84">
        <v>173</v>
      </c>
      <c r="R28" s="404"/>
      <c r="S28" s="404"/>
      <c r="T28" s="404"/>
      <c r="U28" s="84">
        <v>784</v>
      </c>
      <c r="V28" s="84">
        <v>839.14300000000003</v>
      </c>
      <c r="W28" s="84">
        <v>353.96</v>
      </c>
      <c r="X28" s="84">
        <v>479.291</v>
      </c>
      <c r="Y28" s="84">
        <v>825</v>
      </c>
      <c r="Z28" s="84">
        <v>1411.9649999999999</v>
      </c>
      <c r="AA28" s="84">
        <v>1669.749</v>
      </c>
      <c r="AB28" s="84">
        <v>1868.1010000000001</v>
      </c>
      <c r="AC28" s="84">
        <v>2144.8290000000002</v>
      </c>
      <c r="AD28" s="84">
        <v>1159.086</v>
      </c>
      <c r="AE28" s="84">
        <v>1045.4469999999999</v>
      </c>
      <c r="AF28" s="84">
        <v>1086.212</v>
      </c>
      <c r="AG28" s="84">
        <v>410.40199999999999</v>
      </c>
      <c r="AH28" s="84">
        <v>562.83100000000002</v>
      </c>
      <c r="AI28" s="84">
        <v>612.24400000000003</v>
      </c>
      <c r="AJ28" s="185">
        <v>603.04200000000003</v>
      </c>
      <c r="AK28" s="84">
        <v>546.01300000000003</v>
      </c>
      <c r="AL28" s="84">
        <v>933.06100000000004</v>
      </c>
      <c r="AM28" s="84">
        <v>1071.7380000000001</v>
      </c>
      <c r="AN28" s="84">
        <v>1187.2829999999999</v>
      </c>
      <c r="AO28" s="84">
        <v>1076.9849999999999</v>
      </c>
      <c r="AP28" s="84">
        <v>1951.893</v>
      </c>
      <c r="AQ28" s="84">
        <v>2118.1790000000001</v>
      </c>
      <c r="AR28" s="84">
        <v>998.82899999999995</v>
      </c>
      <c r="AS28" s="84">
        <v>992.85900000000004</v>
      </c>
      <c r="AT28" s="84">
        <v>992.28599999999994</v>
      </c>
      <c r="AU28" s="84">
        <v>1369.088</v>
      </c>
      <c r="AV28" s="84">
        <v>1327.028</v>
      </c>
      <c r="AW28" s="84">
        <v>1327.028</v>
      </c>
      <c r="AX28" s="84">
        <v>1315.1479999999999</v>
      </c>
      <c r="AY28" s="84">
        <v>1416.33</v>
      </c>
      <c r="AZ28" s="84">
        <v>1409.491</v>
      </c>
      <c r="BA28" s="11">
        <v>1409.491</v>
      </c>
      <c r="BB28" s="11">
        <v>791.86</v>
      </c>
      <c r="BC28" s="11" t="s">
        <v>121</v>
      </c>
      <c r="BD28" s="11" t="s">
        <v>121</v>
      </c>
      <c r="BE28" s="11" t="s">
        <v>121</v>
      </c>
      <c r="BF28" s="11" t="s">
        <v>121</v>
      </c>
      <c r="BG28" s="11" t="s">
        <v>121</v>
      </c>
      <c r="BH28" s="11" t="s">
        <v>121</v>
      </c>
      <c r="BI28" s="11" t="s">
        <v>121</v>
      </c>
      <c r="BJ28" s="11" t="s">
        <v>121</v>
      </c>
      <c r="BK28" s="11" t="s">
        <v>121</v>
      </c>
      <c r="BL28" s="11" t="s">
        <v>121</v>
      </c>
      <c r="BM28" s="1" t="s">
        <v>121</v>
      </c>
      <c r="BN28" s="1" t="s">
        <v>121</v>
      </c>
      <c r="BO28" s="1" t="s">
        <v>121</v>
      </c>
      <c r="BP28" s="1" t="s">
        <v>121</v>
      </c>
      <c r="BQ28" s="1" t="s">
        <v>121</v>
      </c>
      <c r="BR28" s="1" t="s">
        <v>121</v>
      </c>
      <c r="BS28" s="1" t="s">
        <v>121</v>
      </c>
      <c r="BT28" s="1" t="s">
        <v>121</v>
      </c>
      <c r="BU28" s="1" t="s">
        <v>121</v>
      </c>
      <c r="BV28" s="1" t="s">
        <v>121</v>
      </c>
      <c r="BW28" s="1" t="s">
        <v>121</v>
      </c>
      <c r="BX28" s="1" t="s">
        <v>121</v>
      </c>
      <c r="BY28" s="1" t="s">
        <v>121</v>
      </c>
      <c r="BZ28" s="1" t="s">
        <v>121</v>
      </c>
      <c r="CA28" s="1" t="s">
        <v>121</v>
      </c>
      <c r="CB28" s="1" t="s">
        <v>121</v>
      </c>
      <c r="CC28" s="1" t="s">
        <v>121</v>
      </c>
      <c r="CD28" s="1" t="s">
        <v>121</v>
      </c>
      <c r="CE28" s="1" t="s">
        <v>121</v>
      </c>
      <c r="CF28" s="1" t="s">
        <v>121</v>
      </c>
      <c r="CG28" s="1" t="s">
        <v>121</v>
      </c>
      <c r="CH28" s="1" t="s">
        <v>121</v>
      </c>
      <c r="CI28" s="1" t="s">
        <v>121</v>
      </c>
      <c r="CJ28" s="1" t="s">
        <v>121</v>
      </c>
      <c r="CK28" s="1" t="s">
        <v>121</v>
      </c>
      <c r="CL28" s="1" t="s">
        <v>121</v>
      </c>
      <c r="CM28" s="1" t="s">
        <v>121</v>
      </c>
      <c r="CN28" s="1" t="s">
        <v>121</v>
      </c>
      <c r="CO28" s="1" t="s">
        <v>121</v>
      </c>
      <c r="CP28" s="1" t="s">
        <v>121</v>
      </c>
      <c r="CQ28" s="1" t="s">
        <v>121</v>
      </c>
      <c r="CR28" s="1" t="s">
        <v>121</v>
      </c>
      <c r="CS28" s="1" t="s">
        <v>121</v>
      </c>
      <c r="CT28" s="1" t="s">
        <v>121</v>
      </c>
      <c r="CU28" s="1" t="s">
        <v>121</v>
      </c>
      <c r="CV28" s="1" t="s">
        <v>121</v>
      </c>
      <c r="CW28" s="1" t="s">
        <v>121</v>
      </c>
      <c r="CX28" s="1" t="s">
        <v>121</v>
      </c>
      <c r="CY28" s="1" t="s">
        <v>121</v>
      </c>
      <c r="CZ28" s="1" t="s">
        <v>121</v>
      </c>
      <c r="DA28" s="1" t="s">
        <v>121</v>
      </c>
      <c r="DB28" s="1" t="s">
        <v>121</v>
      </c>
      <c r="DC28" s="1" t="s">
        <v>121</v>
      </c>
      <c r="DD28" s="1" t="s">
        <v>121</v>
      </c>
      <c r="DE28" s="1" t="s">
        <v>121</v>
      </c>
      <c r="DF28" s="1" t="s">
        <v>121</v>
      </c>
      <c r="DG28" s="1" t="s">
        <v>121</v>
      </c>
      <c r="DH28" s="1" t="s">
        <v>121</v>
      </c>
      <c r="DI28" s="1" t="s">
        <v>121</v>
      </c>
      <c r="DJ28" s="1" t="s">
        <v>121</v>
      </c>
      <c r="DK28" s="1" t="s">
        <v>121</v>
      </c>
      <c r="DL28" s="1" t="s">
        <v>121</v>
      </c>
      <c r="DM28" s="1" t="s">
        <v>121</v>
      </c>
      <c r="DN28" s="1" t="s">
        <v>121</v>
      </c>
      <c r="DO28" s="1" t="s">
        <v>121</v>
      </c>
      <c r="DP28" s="1" t="s">
        <v>121</v>
      </c>
      <c r="DQ28" s="1" t="s">
        <v>121</v>
      </c>
      <c r="DR28" s="1" t="s">
        <v>121</v>
      </c>
      <c r="DS28" s="1" t="s">
        <v>121</v>
      </c>
      <c r="DT28" s="1" t="s">
        <v>121</v>
      </c>
      <c r="DU28" s="1" t="s">
        <v>121</v>
      </c>
      <c r="DV28" s="1" t="s">
        <v>121</v>
      </c>
      <c r="DW28" s="1" t="s">
        <v>121</v>
      </c>
      <c r="DX28" s="1" t="s">
        <v>121</v>
      </c>
      <c r="DY28" s="1" t="s">
        <v>121</v>
      </c>
      <c r="DZ28" s="1" t="s">
        <v>121</v>
      </c>
      <c r="EA28" s="1" t="s">
        <v>121</v>
      </c>
      <c r="EB28" s="1" t="s">
        <v>121</v>
      </c>
      <c r="EC28" s="1" t="s">
        <v>121</v>
      </c>
      <c r="ED28" s="1" t="s">
        <v>121</v>
      </c>
      <c r="EE28" s="1" t="s">
        <v>121</v>
      </c>
      <c r="EF28" s="1" t="s">
        <v>121</v>
      </c>
      <c r="EG28" s="1" t="s">
        <v>121</v>
      </c>
      <c r="EH28" s="1" t="s">
        <v>121</v>
      </c>
      <c r="EI28" s="1" t="s">
        <v>121</v>
      </c>
      <c r="EJ28" s="1" t="s">
        <v>121</v>
      </c>
      <c r="EK28" s="1" t="s">
        <v>121</v>
      </c>
    </row>
    <row r="29" spans="1:141" s="19" customFormat="1" ht="26.1" customHeight="1" x14ac:dyDescent="0.25">
      <c r="A29" s="72">
        <v>29</v>
      </c>
      <c r="B29" s="19" t="s">
        <v>122</v>
      </c>
      <c r="C29" s="93">
        <v>8.0383765180925826E-2</v>
      </c>
      <c r="D29" s="123">
        <v>0.30406917863857075</v>
      </c>
      <c r="E29" s="94">
        <v>0.1898144240710653</v>
      </c>
      <c r="F29" s="65">
        <v>1353333</v>
      </c>
      <c r="G29" s="65">
        <v>1252641</v>
      </c>
      <c r="H29" s="65">
        <v>1143318</v>
      </c>
      <c r="I29" s="65">
        <v>1137432</v>
      </c>
      <c r="J29" s="65">
        <v>1037777</v>
      </c>
      <c r="K29" s="65">
        <v>1074800</v>
      </c>
      <c r="L29" s="65">
        <v>1012528</v>
      </c>
      <c r="M29" s="65">
        <v>1057302</v>
      </c>
      <c r="N29" s="65">
        <v>965981</v>
      </c>
      <c r="O29" s="65">
        <v>861288</v>
      </c>
      <c r="P29" s="65">
        <v>836670</v>
      </c>
      <c r="Q29" s="65">
        <v>839329</v>
      </c>
      <c r="R29" s="404"/>
      <c r="S29" s="404"/>
      <c r="T29" s="404"/>
      <c r="U29" s="65">
        <v>796557</v>
      </c>
      <c r="V29" s="65">
        <v>770884.478</v>
      </c>
      <c r="W29" s="65">
        <v>737761.13600000006</v>
      </c>
      <c r="X29" s="65">
        <v>731005.51740000013</v>
      </c>
      <c r="Y29" s="65">
        <v>730227</v>
      </c>
      <c r="Z29" s="65">
        <v>720766.84900000005</v>
      </c>
      <c r="AA29" s="65">
        <v>671365.85800000001</v>
      </c>
      <c r="AB29" s="65">
        <v>668651.06799999997</v>
      </c>
      <c r="AC29" s="65">
        <v>673651.27899999998</v>
      </c>
      <c r="AD29" s="65">
        <v>655945.679</v>
      </c>
      <c r="AE29" s="65">
        <v>657547.55000000005</v>
      </c>
      <c r="AF29" s="65">
        <v>650846.60100000002</v>
      </c>
      <c r="AG29" s="65">
        <v>673403.48900000006</v>
      </c>
      <c r="AH29" s="65">
        <v>613049.67500000005</v>
      </c>
      <c r="AI29" s="20">
        <v>602133.397</v>
      </c>
      <c r="AJ29" s="20">
        <v>602696.70400000003</v>
      </c>
      <c r="AK29" s="20">
        <v>606859.37100000004</v>
      </c>
      <c r="AL29" s="20">
        <v>572773.25199999998</v>
      </c>
      <c r="AM29" s="20">
        <v>559683.57099999988</v>
      </c>
      <c r="AN29" s="20">
        <v>552980.63899999997</v>
      </c>
      <c r="AO29" s="20">
        <v>580287.52</v>
      </c>
      <c r="AP29" s="20">
        <v>546706.45799999998</v>
      </c>
      <c r="AQ29" s="20">
        <v>574574.98600000003</v>
      </c>
      <c r="AR29" s="20">
        <v>561533.91800000006</v>
      </c>
      <c r="AS29" s="20">
        <v>562534.576</v>
      </c>
      <c r="AT29" s="20">
        <v>527570.96000000008</v>
      </c>
      <c r="AU29" s="20">
        <v>520263.59100000007</v>
      </c>
      <c r="AV29" s="20">
        <v>521222.40100000001</v>
      </c>
      <c r="AW29" s="20">
        <v>521600.14999999997</v>
      </c>
      <c r="AX29" s="20">
        <v>448289.68799999997</v>
      </c>
      <c r="AY29" s="20">
        <v>439698.37300000002</v>
      </c>
      <c r="AZ29" s="20">
        <v>428854.10400000005</v>
      </c>
      <c r="BA29" s="20">
        <v>409422.31899999996</v>
      </c>
      <c r="BB29" s="20">
        <v>403356.91200000001</v>
      </c>
      <c r="BC29" s="20">
        <v>374246.96799999994</v>
      </c>
      <c r="BD29" s="20">
        <v>348855.56900000002</v>
      </c>
      <c r="BE29" s="20">
        <v>351366.23300000001</v>
      </c>
      <c r="BF29" s="20">
        <v>317240.46300000005</v>
      </c>
      <c r="BG29" s="20">
        <v>340587.62</v>
      </c>
      <c r="BH29" s="20">
        <v>340696.03499999997</v>
      </c>
      <c r="BI29" s="20">
        <v>330033.45799999998</v>
      </c>
      <c r="BJ29" s="20">
        <v>305819.033</v>
      </c>
      <c r="BK29" s="20">
        <v>292056.04000000004</v>
      </c>
      <c r="BL29" s="20">
        <v>282434.43599999999</v>
      </c>
      <c r="BM29" s="19">
        <v>272608.69899999996</v>
      </c>
      <c r="BN29" s="19">
        <v>247427.11699999997</v>
      </c>
      <c r="BO29" s="19">
        <v>239460.12499999997</v>
      </c>
      <c r="BP29" s="19">
        <v>232076.37600000002</v>
      </c>
      <c r="BQ29" s="19">
        <v>235606.34000000003</v>
      </c>
      <c r="BR29" s="19" t="s">
        <v>121</v>
      </c>
      <c r="BS29" s="19" t="s">
        <v>121</v>
      </c>
      <c r="BT29" s="19" t="s">
        <v>121</v>
      </c>
      <c r="BU29" s="19" t="s">
        <v>121</v>
      </c>
      <c r="BV29" s="19" t="s">
        <v>121</v>
      </c>
      <c r="BW29" s="19" t="s">
        <v>121</v>
      </c>
      <c r="BX29" s="19" t="s">
        <v>121</v>
      </c>
      <c r="BY29" s="19" t="s">
        <v>121</v>
      </c>
      <c r="BZ29" s="19" t="s">
        <v>121</v>
      </c>
      <c r="CA29" s="19" t="s">
        <v>121</v>
      </c>
      <c r="CB29" s="19" t="s">
        <v>121</v>
      </c>
      <c r="CC29" s="19" t="s">
        <v>121</v>
      </c>
      <c r="CD29" s="19" t="s">
        <v>121</v>
      </c>
      <c r="CE29" s="19" t="s">
        <v>121</v>
      </c>
      <c r="CF29" s="19" t="s">
        <v>121</v>
      </c>
      <c r="CG29" s="19" t="s">
        <v>121</v>
      </c>
      <c r="CH29" s="19" t="s">
        <v>121</v>
      </c>
      <c r="CI29" s="19" t="s">
        <v>121</v>
      </c>
      <c r="CJ29" s="19" t="s">
        <v>121</v>
      </c>
      <c r="CK29" s="19" t="s">
        <v>121</v>
      </c>
      <c r="CL29" s="19" t="s">
        <v>121</v>
      </c>
      <c r="CM29" s="19" t="s">
        <v>121</v>
      </c>
      <c r="CN29" s="19" t="s">
        <v>121</v>
      </c>
      <c r="CO29" s="19" t="s">
        <v>121</v>
      </c>
      <c r="CP29" s="19" t="s">
        <v>121</v>
      </c>
      <c r="CQ29" s="19" t="s">
        <v>121</v>
      </c>
      <c r="CR29" s="19" t="s">
        <v>121</v>
      </c>
      <c r="CS29" s="19" t="s">
        <v>121</v>
      </c>
      <c r="CT29" s="19" t="s">
        <v>121</v>
      </c>
      <c r="CU29" s="19" t="s">
        <v>121</v>
      </c>
      <c r="CV29" s="19" t="s">
        <v>121</v>
      </c>
      <c r="CW29" s="19" t="s">
        <v>121</v>
      </c>
      <c r="CX29" s="19" t="s">
        <v>121</v>
      </c>
      <c r="CY29" s="19" t="s">
        <v>121</v>
      </c>
      <c r="CZ29" s="19" t="s">
        <v>121</v>
      </c>
      <c r="DA29" s="19" t="s">
        <v>121</v>
      </c>
      <c r="DB29" s="19" t="s">
        <v>121</v>
      </c>
      <c r="DC29" s="19" t="s">
        <v>121</v>
      </c>
      <c r="DD29" s="19" t="s">
        <v>121</v>
      </c>
      <c r="DE29" s="19" t="s">
        <v>121</v>
      </c>
      <c r="DF29" s="19" t="s">
        <v>121</v>
      </c>
      <c r="DG29" s="19" t="s">
        <v>121</v>
      </c>
      <c r="DH29" s="19" t="s">
        <v>121</v>
      </c>
      <c r="DI29" s="19" t="s">
        <v>121</v>
      </c>
      <c r="DJ29" s="19" t="s">
        <v>121</v>
      </c>
      <c r="DK29" s="19" t="s">
        <v>121</v>
      </c>
      <c r="DL29" s="19" t="s">
        <v>121</v>
      </c>
      <c r="DM29" s="19" t="s">
        <v>121</v>
      </c>
      <c r="DN29" s="19" t="s">
        <v>121</v>
      </c>
      <c r="DO29" s="19" t="s">
        <v>121</v>
      </c>
      <c r="DP29" s="19" t="s">
        <v>121</v>
      </c>
      <c r="DQ29" s="19" t="s">
        <v>121</v>
      </c>
      <c r="DR29" s="19" t="s">
        <v>121</v>
      </c>
      <c r="DS29" s="19" t="s">
        <v>121</v>
      </c>
      <c r="DT29" s="19" t="s">
        <v>121</v>
      </c>
      <c r="DU29" s="19" t="s">
        <v>121</v>
      </c>
      <c r="DV29" s="19" t="s">
        <v>121</v>
      </c>
      <c r="DW29" s="19" t="s">
        <v>121</v>
      </c>
      <c r="DX29" s="19" t="s">
        <v>121</v>
      </c>
      <c r="DY29" s="19" t="s">
        <v>121</v>
      </c>
      <c r="DZ29" s="19" t="s">
        <v>121</v>
      </c>
      <c r="EA29" s="19" t="s">
        <v>121</v>
      </c>
      <c r="EB29" s="19" t="s">
        <v>121</v>
      </c>
      <c r="EC29" s="19" t="s">
        <v>121</v>
      </c>
      <c r="ED29" s="19" t="s">
        <v>121</v>
      </c>
      <c r="EE29" s="19" t="s">
        <v>121</v>
      </c>
      <c r="EF29" s="19" t="s">
        <v>121</v>
      </c>
      <c r="EG29" s="19" t="s">
        <v>121</v>
      </c>
      <c r="EH29" s="19" t="s">
        <v>121</v>
      </c>
      <c r="EI29" s="19" t="s">
        <v>121</v>
      </c>
      <c r="EJ29" s="19" t="s">
        <v>121</v>
      </c>
      <c r="EK29" s="19" t="s">
        <v>121</v>
      </c>
    </row>
    <row r="30" spans="1:141" s="19" customFormat="1" ht="15" customHeight="1" x14ac:dyDescent="0.25">
      <c r="A30" s="72">
        <v>30</v>
      </c>
      <c r="B30" s="19" t="s">
        <v>121</v>
      </c>
      <c r="C30" s="19" t="s">
        <v>121</v>
      </c>
      <c r="D30" s="248" t="s">
        <v>121</v>
      </c>
      <c r="E30" s="248" t="s">
        <v>121</v>
      </c>
      <c r="F30" s="248" t="s">
        <v>121</v>
      </c>
      <c r="G30" s="65" t="s">
        <v>121</v>
      </c>
      <c r="H30" s="65" t="s">
        <v>121</v>
      </c>
      <c r="I30" s="65" t="s">
        <v>121</v>
      </c>
      <c r="J30" s="65" t="s">
        <v>121</v>
      </c>
      <c r="K30" s="65" t="s">
        <v>121</v>
      </c>
      <c r="L30" s="65" t="s">
        <v>121</v>
      </c>
      <c r="M30" s="65" t="s">
        <v>121</v>
      </c>
      <c r="N30" s="65" t="s">
        <v>121</v>
      </c>
      <c r="O30" s="65" t="s">
        <v>121</v>
      </c>
      <c r="P30" s="65" t="s">
        <v>121</v>
      </c>
      <c r="Q30" s="65" t="s">
        <v>121</v>
      </c>
      <c r="R30" s="248" t="s">
        <v>121</v>
      </c>
      <c r="S30" s="248" t="s">
        <v>121</v>
      </c>
      <c r="T30" s="248" t="s">
        <v>121</v>
      </c>
      <c r="U30" s="248" t="s">
        <v>121</v>
      </c>
      <c r="V30" s="248" t="s">
        <v>121</v>
      </c>
      <c r="W30" s="248" t="s">
        <v>121</v>
      </c>
      <c r="X30" s="248" t="s">
        <v>121</v>
      </c>
      <c r="Y30" s="19" t="s">
        <v>121</v>
      </c>
      <c r="Z30" s="19" t="s">
        <v>121</v>
      </c>
      <c r="AA30" s="19" t="s">
        <v>121</v>
      </c>
      <c r="AB30" s="19" t="s">
        <v>121</v>
      </c>
      <c r="AC30" s="19" t="s">
        <v>121</v>
      </c>
      <c r="AD30" s="19" t="s">
        <v>121</v>
      </c>
      <c r="AE30" s="19" t="s">
        <v>121</v>
      </c>
      <c r="AF30" s="19" t="s">
        <v>121</v>
      </c>
      <c r="AG30" s="19" t="s">
        <v>121</v>
      </c>
      <c r="AH30" s="19" t="s">
        <v>121</v>
      </c>
      <c r="AI30" s="19" t="s">
        <v>121</v>
      </c>
      <c r="AJ30" s="19" t="s">
        <v>121</v>
      </c>
      <c r="AK30" s="19" t="s">
        <v>121</v>
      </c>
      <c r="AL30" s="66" t="s">
        <v>121</v>
      </c>
      <c r="AM30" s="66" t="s">
        <v>121</v>
      </c>
      <c r="AN30" s="66" t="s">
        <v>121</v>
      </c>
      <c r="AO30" s="66" t="s">
        <v>121</v>
      </c>
      <c r="AP30" s="66" t="s">
        <v>121</v>
      </c>
      <c r="AQ30" s="66" t="s">
        <v>121</v>
      </c>
      <c r="AR30" s="66" t="s">
        <v>121</v>
      </c>
      <c r="AS30" s="66" t="s">
        <v>121</v>
      </c>
      <c r="AT30" s="66" t="s">
        <v>121</v>
      </c>
      <c r="AU30" s="66" t="s">
        <v>121</v>
      </c>
      <c r="AV30" s="66" t="s">
        <v>121</v>
      </c>
      <c r="AW30" s="66" t="s">
        <v>121</v>
      </c>
      <c r="AX30" s="66" t="s">
        <v>121</v>
      </c>
      <c r="AY30" s="66" t="s">
        <v>121</v>
      </c>
      <c r="AZ30" s="66" t="s">
        <v>121</v>
      </c>
      <c r="BA30" s="66" t="s">
        <v>121</v>
      </c>
      <c r="BB30" s="66" t="s">
        <v>121</v>
      </c>
      <c r="BC30" s="66" t="s">
        <v>121</v>
      </c>
      <c r="BD30" s="66" t="s">
        <v>121</v>
      </c>
      <c r="BE30" s="66" t="s">
        <v>121</v>
      </c>
      <c r="BF30" s="66" t="s">
        <v>121</v>
      </c>
      <c r="BG30" s="66" t="s">
        <v>121</v>
      </c>
      <c r="BH30" s="66" t="s">
        <v>121</v>
      </c>
      <c r="BI30" s="66" t="s">
        <v>121</v>
      </c>
      <c r="BJ30" s="66" t="s">
        <v>121</v>
      </c>
      <c r="BK30" s="66" t="s">
        <v>121</v>
      </c>
      <c r="BL30" s="66" t="s">
        <v>121</v>
      </c>
      <c r="BM30" s="19" t="s">
        <v>121</v>
      </c>
      <c r="BN30" s="19" t="s">
        <v>121</v>
      </c>
      <c r="BO30" s="19" t="s">
        <v>121</v>
      </c>
      <c r="BP30" s="19" t="s">
        <v>121</v>
      </c>
      <c r="BQ30" s="19" t="s">
        <v>121</v>
      </c>
      <c r="BR30" s="19" t="s">
        <v>121</v>
      </c>
      <c r="BS30" s="19" t="s">
        <v>121</v>
      </c>
      <c r="BT30" s="19" t="s">
        <v>121</v>
      </c>
      <c r="BU30" s="19" t="s">
        <v>121</v>
      </c>
      <c r="BV30" s="19" t="s">
        <v>121</v>
      </c>
      <c r="BW30" s="19" t="s">
        <v>121</v>
      </c>
      <c r="BX30" s="19" t="s">
        <v>121</v>
      </c>
      <c r="BY30" s="19" t="s">
        <v>121</v>
      </c>
      <c r="BZ30" s="19" t="s">
        <v>121</v>
      </c>
      <c r="CA30" s="19" t="s">
        <v>121</v>
      </c>
      <c r="CB30" s="19" t="s">
        <v>121</v>
      </c>
      <c r="CC30" s="19" t="s">
        <v>121</v>
      </c>
      <c r="CD30" s="19" t="s">
        <v>121</v>
      </c>
      <c r="CE30" s="19" t="s">
        <v>121</v>
      </c>
      <c r="CF30" s="19" t="s">
        <v>121</v>
      </c>
      <c r="CG30" s="19" t="s">
        <v>121</v>
      </c>
      <c r="CH30" s="19" t="s">
        <v>121</v>
      </c>
      <c r="CI30" s="19" t="s">
        <v>121</v>
      </c>
      <c r="CJ30" s="19" t="s">
        <v>121</v>
      </c>
      <c r="CK30" s="19" t="s">
        <v>121</v>
      </c>
      <c r="CL30" s="19" t="s">
        <v>121</v>
      </c>
      <c r="CM30" s="19" t="s">
        <v>121</v>
      </c>
      <c r="CN30" s="19" t="s">
        <v>121</v>
      </c>
      <c r="CO30" s="19" t="s">
        <v>121</v>
      </c>
      <c r="CP30" s="19" t="s">
        <v>121</v>
      </c>
      <c r="CQ30" s="19" t="s">
        <v>121</v>
      </c>
      <c r="CR30" s="19" t="s">
        <v>121</v>
      </c>
      <c r="CS30" s="19" t="s">
        <v>121</v>
      </c>
      <c r="CT30" s="19" t="s">
        <v>121</v>
      </c>
      <c r="CU30" s="19" t="s">
        <v>121</v>
      </c>
      <c r="CV30" s="19" t="s">
        <v>121</v>
      </c>
      <c r="CW30" s="19" t="s">
        <v>121</v>
      </c>
      <c r="CX30" s="19" t="s">
        <v>121</v>
      </c>
      <c r="CY30" s="19" t="s">
        <v>121</v>
      </c>
      <c r="CZ30" s="19" t="s">
        <v>121</v>
      </c>
      <c r="DA30" s="19" t="s">
        <v>121</v>
      </c>
      <c r="DB30" s="19" t="s">
        <v>121</v>
      </c>
      <c r="DC30" s="19" t="s">
        <v>121</v>
      </c>
      <c r="DD30" s="19" t="s">
        <v>121</v>
      </c>
      <c r="DE30" s="19" t="s">
        <v>121</v>
      </c>
      <c r="DF30" s="19" t="s">
        <v>121</v>
      </c>
      <c r="DG30" s="19" t="s">
        <v>121</v>
      </c>
      <c r="DH30" s="19" t="s">
        <v>121</v>
      </c>
      <c r="DI30" s="19" t="s">
        <v>121</v>
      </c>
      <c r="DJ30" s="19" t="s">
        <v>121</v>
      </c>
      <c r="DK30" s="19" t="s">
        <v>121</v>
      </c>
      <c r="DL30" s="19" t="s">
        <v>121</v>
      </c>
      <c r="DM30" s="19" t="s">
        <v>121</v>
      </c>
      <c r="DN30" s="19" t="s">
        <v>121</v>
      </c>
      <c r="DO30" s="19" t="s">
        <v>121</v>
      </c>
      <c r="DP30" s="19" t="s">
        <v>121</v>
      </c>
      <c r="DQ30" s="19" t="s">
        <v>121</v>
      </c>
      <c r="DR30" s="19" t="s">
        <v>121</v>
      </c>
      <c r="DS30" s="19" t="s">
        <v>121</v>
      </c>
      <c r="DT30" s="19" t="s">
        <v>121</v>
      </c>
      <c r="DU30" s="19" t="s">
        <v>121</v>
      </c>
      <c r="DV30" s="19" t="s">
        <v>121</v>
      </c>
      <c r="DW30" s="19" t="s">
        <v>121</v>
      </c>
      <c r="DX30" s="19" t="s">
        <v>121</v>
      </c>
      <c r="DY30" s="19" t="s">
        <v>121</v>
      </c>
      <c r="DZ30" s="19" t="s">
        <v>121</v>
      </c>
      <c r="EA30" s="19" t="s">
        <v>121</v>
      </c>
      <c r="EB30" s="19" t="s">
        <v>121</v>
      </c>
      <c r="EC30" s="19" t="s">
        <v>121</v>
      </c>
      <c r="ED30" s="19" t="s">
        <v>121</v>
      </c>
      <c r="EE30" s="19" t="s">
        <v>121</v>
      </c>
      <c r="EF30" s="19" t="s">
        <v>121</v>
      </c>
      <c r="EG30" s="19" t="s">
        <v>121</v>
      </c>
      <c r="EH30" s="19" t="s">
        <v>121</v>
      </c>
      <c r="EI30" s="19" t="s">
        <v>121</v>
      </c>
      <c r="EJ30" s="19" t="s">
        <v>121</v>
      </c>
      <c r="EK30" s="19" t="s">
        <v>121</v>
      </c>
    </row>
    <row r="31" spans="1:141" s="19" customFormat="1" ht="15" customHeight="1" x14ac:dyDescent="0.25">
      <c r="A31" s="72">
        <v>31</v>
      </c>
      <c r="B31" s="354" t="s">
        <v>121</v>
      </c>
      <c r="C31" s="19" t="s">
        <v>121</v>
      </c>
      <c r="D31" s="19" t="s">
        <v>121</v>
      </c>
      <c r="E31" s="19" t="s">
        <v>121</v>
      </c>
      <c r="F31" s="19" t="s">
        <v>121</v>
      </c>
      <c r="G31" s="19" t="s">
        <v>121</v>
      </c>
      <c r="H31" s="353" t="s">
        <v>121</v>
      </c>
      <c r="I31" s="353" t="s">
        <v>121</v>
      </c>
      <c r="J31" s="353" t="s">
        <v>121</v>
      </c>
      <c r="K31" s="353" t="s">
        <v>121</v>
      </c>
      <c r="L31" s="353" t="s">
        <v>121</v>
      </c>
      <c r="M31" s="353" t="s">
        <v>121</v>
      </c>
      <c r="N31" s="353" t="s">
        <v>121</v>
      </c>
      <c r="O31" s="353" t="s">
        <v>121</v>
      </c>
      <c r="P31" s="353" t="s">
        <v>121</v>
      </c>
      <c r="Q31" s="353" t="s">
        <v>121</v>
      </c>
      <c r="R31" s="353" t="s">
        <v>121</v>
      </c>
      <c r="S31" s="353" t="s">
        <v>121</v>
      </c>
      <c r="T31" s="353" t="s">
        <v>121</v>
      </c>
      <c r="U31" s="19" t="s">
        <v>121</v>
      </c>
      <c r="V31" s="19" t="s">
        <v>121</v>
      </c>
      <c r="W31" s="19" t="s">
        <v>121</v>
      </c>
      <c r="X31" s="19" t="s">
        <v>121</v>
      </c>
      <c r="Y31" s="19" t="s">
        <v>121</v>
      </c>
      <c r="Z31" s="19" t="s">
        <v>121</v>
      </c>
      <c r="AA31" s="19" t="s">
        <v>121</v>
      </c>
      <c r="AB31" s="19" t="s">
        <v>121</v>
      </c>
      <c r="AC31" s="19" t="s">
        <v>121</v>
      </c>
      <c r="AD31" s="19" t="s">
        <v>121</v>
      </c>
      <c r="AE31" s="19" t="s">
        <v>121</v>
      </c>
      <c r="AF31" s="19" t="s">
        <v>121</v>
      </c>
      <c r="AG31" s="19" t="s">
        <v>121</v>
      </c>
      <c r="AH31" s="19" t="s">
        <v>121</v>
      </c>
      <c r="AI31" s="19" t="s">
        <v>121</v>
      </c>
      <c r="AJ31" s="19" t="s">
        <v>121</v>
      </c>
      <c r="AK31" s="19" t="s">
        <v>121</v>
      </c>
      <c r="AL31" s="19" t="s">
        <v>121</v>
      </c>
      <c r="AM31" s="19" t="s">
        <v>121</v>
      </c>
      <c r="AN31" s="19" t="s">
        <v>121</v>
      </c>
      <c r="AO31" s="19" t="s">
        <v>121</v>
      </c>
      <c r="AP31" s="19" t="s">
        <v>121</v>
      </c>
      <c r="AQ31" s="19" t="s">
        <v>121</v>
      </c>
      <c r="AR31" s="19" t="s">
        <v>121</v>
      </c>
      <c r="AS31" s="19" t="s">
        <v>121</v>
      </c>
      <c r="AT31" s="19" t="s">
        <v>121</v>
      </c>
      <c r="AU31" s="19" t="s">
        <v>121</v>
      </c>
      <c r="AV31" s="19" t="s">
        <v>121</v>
      </c>
      <c r="AW31" s="19" t="s">
        <v>121</v>
      </c>
      <c r="AX31" s="19" t="s">
        <v>121</v>
      </c>
      <c r="AY31" s="19" t="s">
        <v>121</v>
      </c>
      <c r="AZ31" s="19" t="s">
        <v>121</v>
      </c>
      <c r="BA31" s="20" t="s">
        <v>121</v>
      </c>
      <c r="BB31" s="20" t="s">
        <v>121</v>
      </c>
      <c r="BC31" s="20" t="s">
        <v>121</v>
      </c>
      <c r="BD31" s="20" t="s">
        <v>121</v>
      </c>
      <c r="BE31" s="20" t="s">
        <v>121</v>
      </c>
      <c r="BF31" s="20" t="s">
        <v>121</v>
      </c>
      <c r="BG31" s="20" t="s">
        <v>121</v>
      </c>
      <c r="BH31" s="20" t="s">
        <v>121</v>
      </c>
      <c r="BI31" s="20" t="s">
        <v>121</v>
      </c>
      <c r="BJ31" s="20" t="s">
        <v>121</v>
      </c>
      <c r="BK31" s="20" t="s">
        <v>121</v>
      </c>
      <c r="BL31" s="19" t="s">
        <v>121</v>
      </c>
      <c r="BM31" s="19" t="s">
        <v>121</v>
      </c>
      <c r="BN31" s="19" t="s">
        <v>121</v>
      </c>
      <c r="BO31" s="19" t="s">
        <v>121</v>
      </c>
      <c r="BP31" s="19" t="s">
        <v>121</v>
      </c>
      <c r="BQ31" s="19" t="s">
        <v>121</v>
      </c>
      <c r="BR31" s="19" t="s">
        <v>121</v>
      </c>
      <c r="BS31" s="19" t="s">
        <v>121</v>
      </c>
      <c r="BT31" s="19" t="s">
        <v>121</v>
      </c>
      <c r="BU31" s="19" t="s">
        <v>121</v>
      </c>
      <c r="BV31" s="19" t="s">
        <v>121</v>
      </c>
      <c r="BW31" s="19" t="s">
        <v>121</v>
      </c>
      <c r="BX31" s="19" t="s">
        <v>121</v>
      </c>
      <c r="BY31" s="19" t="s">
        <v>121</v>
      </c>
      <c r="BZ31" s="19" t="s">
        <v>121</v>
      </c>
      <c r="CA31" s="19" t="s">
        <v>121</v>
      </c>
      <c r="CB31" s="19" t="s">
        <v>121</v>
      </c>
      <c r="CC31" s="19" t="s">
        <v>121</v>
      </c>
      <c r="CD31" s="19" t="s">
        <v>121</v>
      </c>
      <c r="CE31" s="19" t="s">
        <v>121</v>
      </c>
      <c r="CF31" s="19" t="s">
        <v>121</v>
      </c>
      <c r="CG31" s="19" t="s">
        <v>121</v>
      </c>
      <c r="CH31" s="19" t="s">
        <v>121</v>
      </c>
      <c r="CI31" s="19" t="s">
        <v>121</v>
      </c>
      <c r="CJ31" s="19" t="s">
        <v>121</v>
      </c>
      <c r="CK31" s="19" t="s">
        <v>121</v>
      </c>
      <c r="CL31" s="19" t="s">
        <v>121</v>
      </c>
      <c r="CM31" s="19" t="s">
        <v>121</v>
      </c>
      <c r="CN31" s="19" t="s">
        <v>121</v>
      </c>
      <c r="CO31" s="19" t="s">
        <v>121</v>
      </c>
      <c r="CP31" s="19" t="s">
        <v>121</v>
      </c>
      <c r="CQ31" s="19" t="s">
        <v>121</v>
      </c>
      <c r="CR31" s="19" t="s">
        <v>121</v>
      </c>
      <c r="CS31" s="19" t="s">
        <v>121</v>
      </c>
      <c r="CT31" s="19" t="s">
        <v>121</v>
      </c>
      <c r="CU31" s="19" t="s">
        <v>121</v>
      </c>
      <c r="CV31" s="19" t="s">
        <v>121</v>
      </c>
      <c r="CW31" s="19" t="s">
        <v>121</v>
      </c>
      <c r="CX31" s="19" t="s">
        <v>121</v>
      </c>
      <c r="CY31" s="19" t="s">
        <v>121</v>
      </c>
      <c r="CZ31" s="19" t="s">
        <v>121</v>
      </c>
      <c r="DA31" s="19" t="s">
        <v>121</v>
      </c>
      <c r="DB31" s="19" t="s">
        <v>121</v>
      </c>
      <c r="DC31" s="19" t="s">
        <v>121</v>
      </c>
      <c r="DD31" s="19" t="s">
        <v>121</v>
      </c>
      <c r="DE31" s="19" t="s">
        <v>121</v>
      </c>
      <c r="DF31" s="19" t="s">
        <v>121</v>
      </c>
      <c r="DG31" s="19" t="s">
        <v>121</v>
      </c>
      <c r="DH31" s="19" t="s">
        <v>121</v>
      </c>
      <c r="DI31" s="19" t="s">
        <v>121</v>
      </c>
      <c r="DJ31" s="19" t="s">
        <v>121</v>
      </c>
      <c r="DK31" s="19" t="s">
        <v>121</v>
      </c>
      <c r="DL31" s="19" t="s">
        <v>121</v>
      </c>
      <c r="DM31" s="19" t="s">
        <v>121</v>
      </c>
      <c r="DN31" s="19" t="s">
        <v>121</v>
      </c>
      <c r="DO31" s="19" t="s">
        <v>121</v>
      </c>
      <c r="DP31" s="19" t="s">
        <v>121</v>
      </c>
      <c r="DQ31" s="19" t="s">
        <v>121</v>
      </c>
      <c r="DR31" s="19" t="s">
        <v>121</v>
      </c>
      <c r="DS31" s="19" t="s">
        <v>121</v>
      </c>
      <c r="DT31" s="19" t="s">
        <v>121</v>
      </c>
      <c r="DU31" s="19" t="s">
        <v>121</v>
      </c>
      <c r="DV31" s="19" t="s">
        <v>121</v>
      </c>
      <c r="DW31" s="19" t="s">
        <v>121</v>
      </c>
      <c r="DX31" s="19" t="s">
        <v>121</v>
      </c>
      <c r="DY31" s="19" t="s">
        <v>121</v>
      </c>
      <c r="DZ31" s="19" t="s">
        <v>121</v>
      </c>
      <c r="EA31" s="19" t="s">
        <v>121</v>
      </c>
      <c r="EB31" s="19" t="s">
        <v>121</v>
      </c>
      <c r="EC31" s="19" t="s">
        <v>121</v>
      </c>
      <c r="ED31" s="19" t="s">
        <v>121</v>
      </c>
      <c r="EE31" s="19" t="s">
        <v>121</v>
      </c>
      <c r="EF31" s="19" t="s">
        <v>121</v>
      </c>
      <c r="EG31" s="19" t="s">
        <v>121</v>
      </c>
      <c r="EH31" s="19" t="s">
        <v>121</v>
      </c>
      <c r="EI31" s="19" t="s">
        <v>121</v>
      </c>
      <c r="EJ31" s="19" t="s">
        <v>121</v>
      </c>
      <c r="EK31" s="19" t="s">
        <v>121</v>
      </c>
    </row>
    <row r="32" spans="1:141" ht="15.75" customHeight="1" x14ac:dyDescent="0.25">
      <c r="A32" s="72">
        <v>32</v>
      </c>
      <c r="B32" s="426" t="s">
        <v>285</v>
      </c>
      <c r="C32" s="436" t="s">
        <v>64</v>
      </c>
      <c r="D32" s="438" t="s">
        <v>265</v>
      </c>
      <c r="E32" s="434" t="s">
        <v>79</v>
      </c>
      <c r="F32" s="416">
        <v>45930</v>
      </c>
      <c r="G32" s="416">
        <v>45838</v>
      </c>
      <c r="H32" s="416">
        <v>45747</v>
      </c>
      <c r="I32" s="416">
        <v>45657</v>
      </c>
      <c r="J32" s="416">
        <v>45565</v>
      </c>
      <c r="K32" s="416">
        <v>45473</v>
      </c>
      <c r="L32" s="416">
        <v>45382</v>
      </c>
      <c r="M32" s="416">
        <v>45291</v>
      </c>
      <c r="N32" s="416">
        <v>45199</v>
      </c>
      <c r="O32" s="416">
        <v>45107</v>
      </c>
      <c r="P32" s="416">
        <v>45016</v>
      </c>
      <c r="Q32" s="416">
        <v>44926</v>
      </c>
      <c r="R32" s="416">
        <v>44834</v>
      </c>
      <c r="S32" s="416">
        <v>44742</v>
      </c>
      <c r="T32" s="416">
        <v>44651</v>
      </c>
      <c r="U32" s="416">
        <v>44561</v>
      </c>
      <c r="V32" s="416">
        <v>44469</v>
      </c>
      <c r="W32" s="416">
        <v>44377</v>
      </c>
      <c r="X32" s="416">
        <v>44286</v>
      </c>
      <c r="Y32" s="416">
        <v>44196</v>
      </c>
      <c r="Z32" s="416">
        <v>44104</v>
      </c>
      <c r="AA32" s="416">
        <v>44012</v>
      </c>
      <c r="AB32" s="416">
        <v>43921</v>
      </c>
      <c r="AC32" s="416">
        <v>43830</v>
      </c>
      <c r="AD32" s="416">
        <v>43738</v>
      </c>
      <c r="AE32" s="416">
        <v>43646</v>
      </c>
      <c r="AF32" s="416">
        <v>43555</v>
      </c>
      <c r="AG32" s="416">
        <v>43465</v>
      </c>
      <c r="AH32" s="416">
        <v>43373</v>
      </c>
      <c r="AI32" s="416">
        <v>43281</v>
      </c>
      <c r="AJ32" s="416">
        <v>43190</v>
      </c>
      <c r="AK32" s="416">
        <v>43100</v>
      </c>
      <c r="AL32" s="416">
        <v>43008</v>
      </c>
      <c r="AM32" s="416">
        <v>42916</v>
      </c>
      <c r="AN32" s="416">
        <v>42825</v>
      </c>
      <c r="AO32" s="416">
        <v>42735</v>
      </c>
      <c r="AP32" s="416">
        <v>42643</v>
      </c>
      <c r="AQ32" s="416">
        <v>42551</v>
      </c>
      <c r="AR32" s="416">
        <v>42460</v>
      </c>
      <c r="AS32" s="416">
        <v>42369</v>
      </c>
      <c r="AT32" s="416">
        <v>42277</v>
      </c>
      <c r="AU32" s="416">
        <v>42185</v>
      </c>
      <c r="AV32" s="416">
        <v>42094</v>
      </c>
      <c r="AW32" s="416">
        <v>42004</v>
      </c>
      <c r="AX32" s="416">
        <v>41912</v>
      </c>
      <c r="AY32" s="416">
        <v>41820</v>
      </c>
      <c r="AZ32" s="416">
        <v>41729</v>
      </c>
      <c r="BA32" s="416">
        <v>41639</v>
      </c>
      <c r="BB32" s="416">
        <v>41547</v>
      </c>
      <c r="BC32" s="416">
        <v>41455</v>
      </c>
      <c r="BD32" s="416">
        <v>41364</v>
      </c>
      <c r="BE32" s="416">
        <v>41274</v>
      </c>
      <c r="BF32" s="416">
        <v>41182</v>
      </c>
      <c r="BG32" s="416">
        <v>41090</v>
      </c>
      <c r="BH32" s="416">
        <v>40999</v>
      </c>
      <c r="BI32" s="416">
        <v>40908</v>
      </c>
      <c r="BJ32" s="416">
        <v>40816</v>
      </c>
      <c r="BK32" s="416">
        <v>40724</v>
      </c>
      <c r="BL32" s="416">
        <v>40633</v>
      </c>
      <c r="BM32" s="1">
        <v>40543</v>
      </c>
      <c r="BN32" s="1">
        <v>40451</v>
      </c>
      <c r="BO32" s="1">
        <v>40359</v>
      </c>
      <c r="BP32" s="1">
        <v>40268</v>
      </c>
      <c r="BQ32" s="1">
        <v>40178</v>
      </c>
      <c r="BR32" s="1" t="s">
        <v>121</v>
      </c>
      <c r="BS32" s="1" t="s">
        <v>121</v>
      </c>
      <c r="BT32" s="1" t="s">
        <v>121</v>
      </c>
      <c r="BU32" s="1" t="s">
        <v>121</v>
      </c>
      <c r="BV32" s="1" t="s">
        <v>121</v>
      </c>
      <c r="BW32" s="1" t="s">
        <v>121</v>
      </c>
      <c r="BX32" s="1" t="s">
        <v>121</v>
      </c>
      <c r="BY32" s="1" t="s">
        <v>121</v>
      </c>
      <c r="BZ32" s="1" t="s">
        <v>121</v>
      </c>
      <c r="CA32" s="1" t="s">
        <v>121</v>
      </c>
      <c r="CB32" s="1" t="s">
        <v>121</v>
      </c>
      <c r="CC32" s="1" t="s">
        <v>121</v>
      </c>
      <c r="CD32" s="1" t="s">
        <v>121</v>
      </c>
      <c r="CE32" s="1" t="s">
        <v>121</v>
      </c>
      <c r="CF32" s="1" t="s">
        <v>121</v>
      </c>
      <c r="CG32" s="1" t="s">
        <v>121</v>
      </c>
      <c r="CH32" s="1" t="s">
        <v>121</v>
      </c>
      <c r="CI32" s="1" t="s">
        <v>121</v>
      </c>
      <c r="CJ32" s="1" t="s">
        <v>121</v>
      </c>
      <c r="CK32" s="1" t="s">
        <v>121</v>
      </c>
      <c r="CL32" s="1" t="s">
        <v>121</v>
      </c>
      <c r="CM32" s="1" t="s">
        <v>121</v>
      </c>
      <c r="CN32" s="1" t="s">
        <v>121</v>
      </c>
      <c r="CO32" s="1" t="s">
        <v>121</v>
      </c>
      <c r="CP32" s="1" t="s">
        <v>121</v>
      </c>
      <c r="CQ32" s="1" t="s">
        <v>121</v>
      </c>
      <c r="CR32" s="1" t="s">
        <v>121</v>
      </c>
      <c r="CS32" s="1" t="s">
        <v>121</v>
      </c>
      <c r="CT32" s="1" t="s">
        <v>121</v>
      </c>
      <c r="CU32" s="1" t="s">
        <v>121</v>
      </c>
      <c r="CV32" s="1" t="s">
        <v>121</v>
      </c>
      <c r="CW32" s="1" t="s">
        <v>121</v>
      </c>
      <c r="CX32" s="1" t="s">
        <v>121</v>
      </c>
      <c r="CY32" s="1" t="s">
        <v>121</v>
      </c>
      <c r="CZ32" s="1" t="s">
        <v>121</v>
      </c>
      <c r="DA32" s="1" t="s">
        <v>121</v>
      </c>
      <c r="DB32" s="1" t="s">
        <v>121</v>
      </c>
      <c r="DC32" s="1" t="s">
        <v>121</v>
      </c>
      <c r="DD32" s="1" t="s">
        <v>121</v>
      </c>
      <c r="DE32" s="1" t="s">
        <v>121</v>
      </c>
      <c r="DF32" s="1" t="s">
        <v>121</v>
      </c>
      <c r="DG32" s="1" t="s">
        <v>121</v>
      </c>
      <c r="DH32" s="1" t="s">
        <v>121</v>
      </c>
      <c r="DI32" s="1" t="s">
        <v>121</v>
      </c>
      <c r="DJ32" s="1" t="s">
        <v>121</v>
      </c>
      <c r="DK32" s="1" t="s">
        <v>121</v>
      </c>
      <c r="DL32" s="1" t="s">
        <v>121</v>
      </c>
      <c r="DM32" s="1" t="s">
        <v>121</v>
      </c>
      <c r="DN32" s="1" t="s">
        <v>121</v>
      </c>
      <c r="DO32" s="1" t="s">
        <v>121</v>
      </c>
      <c r="DP32" s="1" t="s">
        <v>121</v>
      </c>
      <c r="DQ32" s="1" t="s">
        <v>121</v>
      </c>
      <c r="DR32" s="1" t="s">
        <v>121</v>
      </c>
      <c r="DS32" s="1" t="s">
        <v>121</v>
      </c>
      <c r="DT32" s="1" t="s">
        <v>121</v>
      </c>
      <c r="DU32" s="1" t="s">
        <v>121</v>
      </c>
      <c r="DV32" s="1" t="s">
        <v>121</v>
      </c>
      <c r="DW32" s="1" t="s">
        <v>121</v>
      </c>
      <c r="DX32" s="1" t="s">
        <v>121</v>
      </c>
      <c r="DY32" s="1" t="s">
        <v>121</v>
      </c>
      <c r="DZ32" s="1" t="s">
        <v>121</v>
      </c>
      <c r="EA32" s="1" t="s">
        <v>121</v>
      </c>
      <c r="EB32" s="1" t="s">
        <v>121</v>
      </c>
      <c r="EC32" s="1" t="s">
        <v>121</v>
      </c>
      <c r="ED32" s="1" t="s">
        <v>121</v>
      </c>
      <c r="EE32" s="1" t="s">
        <v>121</v>
      </c>
      <c r="EF32" s="1" t="s">
        <v>121</v>
      </c>
      <c r="EG32" s="1" t="s">
        <v>121</v>
      </c>
      <c r="EH32" s="1" t="s">
        <v>121</v>
      </c>
      <c r="EI32" s="1" t="s">
        <v>121</v>
      </c>
      <c r="EJ32" s="1" t="s">
        <v>121</v>
      </c>
      <c r="EK32" s="1" t="s">
        <v>121</v>
      </c>
    </row>
    <row r="33" spans="1:141" x14ac:dyDescent="0.25">
      <c r="A33" s="72">
        <v>33</v>
      </c>
      <c r="B33" s="427"/>
      <c r="C33" s="437"/>
      <c r="D33" s="439"/>
      <c r="E33" s="444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8"/>
      <c r="V33" s="417"/>
      <c r="W33" s="418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17"/>
      <c r="AW33" s="417"/>
      <c r="AX33" s="417"/>
      <c r="AY33" s="417"/>
      <c r="AZ33" s="417"/>
      <c r="BA33" s="417"/>
      <c r="BB33" s="417"/>
      <c r="BC33" s="417"/>
      <c r="BD33" s="417"/>
      <c r="BE33" s="417"/>
      <c r="BF33" s="417"/>
      <c r="BG33" s="417"/>
      <c r="BH33" s="417"/>
      <c r="BI33" s="417"/>
      <c r="BJ33" s="417"/>
      <c r="BK33" s="417"/>
      <c r="BL33" s="417"/>
    </row>
    <row r="34" spans="1:141" ht="9.75" customHeight="1" x14ac:dyDescent="0.25">
      <c r="A34" s="72">
        <v>34</v>
      </c>
      <c r="B34" s="8" t="s">
        <v>4</v>
      </c>
      <c r="C34" s="87" t="s">
        <v>121</v>
      </c>
      <c r="D34" s="56" t="s">
        <v>121</v>
      </c>
      <c r="E34" s="88" t="s">
        <v>121</v>
      </c>
      <c r="F34" s="56" t="s">
        <v>121</v>
      </c>
      <c r="G34" s="56" t="s">
        <v>121</v>
      </c>
      <c r="H34" s="56" t="s">
        <v>121</v>
      </c>
      <c r="I34" s="56" t="s">
        <v>121</v>
      </c>
      <c r="J34" s="56" t="s">
        <v>121</v>
      </c>
      <c r="K34" s="56" t="s">
        <v>121</v>
      </c>
      <c r="L34" s="56" t="s">
        <v>121</v>
      </c>
      <c r="M34" s="56" t="s">
        <v>121</v>
      </c>
      <c r="N34" s="56" t="s">
        <v>121</v>
      </c>
      <c r="O34" s="56" t="s">
        <v>121</v>
      </c>
      <c r="P34" s="56" t="s">
        <v>121</v>
      </c>
      <c r="Q34" s="56" t="s">
        <v>121</v>
      </c>
      <c r="R34" s="56" t="s">
        <v>121</v>
      </c>
      <c r="S34" s="56" t="s">
        <v>121</v>
      </c>
      <c r="T34" s="56" t="s">
        <v>121</v>
      </c>
      <c r="U34" s="56" t="s">
        <v>121</v>
      </c>
      <c r="V34" s="56" t="s">
        <v>121</v>
      </c>
      <c r="W34" s="56" t="s">
        <v>121</v>
      </c>
      <c r="X34" s="56" t="s">
        <v>121</v>
      </c>
      <c r="Y34" s="56" t="s">
        <v>121</v>
      </c>
      <c r="Z34" s="56" t="s">
        <v>121</v>
      </c>
      <c r="AA34" s="56" t="s">
        <v>121</v>
      </c>
      <c r="AB34" s="56" t="s">
        <v>121</v>
      </c>
      <c r="AC34" s="56" t="s">
        <v>121</v>
      </c>
      <c r="AD34" s="56" t="s">
        <v>121</v>
      </c>
      <c r="AE34" s="56" t="s">
        <v>121</v>
      </c>
      <c r="AF34" s="56" t="s">
        <v>121</v>
      </c>
      <c r="AG34" s="56" t="s">
        <v>121</v>
      </c>
      <c r="AH34" s="56" t="s">
        <v>121</v>
      </c>
      <c r="AI34" s="56" t="s">
        <v>121</v>
      </c>
      <c r="AJ34" s="56" t="s">
        <v>121</v>
      </c>
      <c r="AK34" s="56" t="s">
        <v>121</v>
      </c>
      <c r="AL34" s="56" t="s">
        <v>121</v>
      </c>
      <c r="AM34" s="56" t="s">
        <v>121</v>
      </c>
      <c r="AN34" s="56" t="s">
        <v>121</v>
      </c>
      <c r="AO34" s="56" t="s">
        <v>121</v>
      </c>
      <c r="AP34" s="56" t="s">
        <v>121</v>
      </c>
      <c r="AQ34" s="56" t="s">
        <v>121</v>
      </c>
      <c r="AR34" s="56" t="s">
        <v>121</v>
      </c>
      <c r="AS34" s="56" t="s">
        <v>121</v>
      </c>
      <c r="AT34" s="56" t="s">
        <v>121</v>
      </c>
      <c r="AU34" s="56" t="s">
        <v>121</v>
      </c>
      <c r="AV34" s="56" t="s">
        <v>121</v>
      </c>
      <c r="AW34" s="56" t="s">
        <v>121</v>
      </c>
      <c r="AX34" s="56" t="s">
        <v>121</v>
      </c>
      <c r="AY34" s="56" t="s">
        <v>121</v>
      </c>
      <c r="AZ34" s="8" t="s">
        <v>121</v>
      </c>
      <c r="BA34" s="1" t="s">
        <v>121</v>
      </c>
      <c r="BB34" s="1" t="s">
        <v>121</v>
      </c>
      <c r="BC34" s="1" t="s">
        <v>121</v>
      </c>
      <c r="BD34" s="1" t="s">
        <v>121</v>
      </c>
      <c r="BE34" s="1" t="s">
        <v>121</v>
      </c>
      <c r="BF34" s="1" t="s">
        <v>121</v>
      </c>
      <c r="BG34" s="1" t="s">
        <v>121</v>
      </c>
      <c r="BH34" s="1" t="s">
        <v>121</v>
      </c>
      <c r="BI34" s="1" t="s">
        <v>121</v>
      </c>
      <c r="BJ34" s="1" t="s">
        <v>121</v>
      </c>
      <c r="BK34" s="1" t="s">
        <v>121</v>
      </c>
      <c r="BL34" s="1" t="s">
        <v>121</v>
      </c>
      <c r="BM34" s="1" t="s">
        <v>121</v>
      </c>
      <c r="BN34" s="1" t="s">
        <v>121</v>
      </c>
      <c r="BO34" s="1" t="s">
        <v>121</v>
      </c>
      <c r="BP34" s="1" t="s">
        <v>121</v>
      </c>
      <c r="BQ34" s="1" t="s">
        <v>121</v>
      </c>
      <c r="BR34" s="1" t="s">
        <v>121</v>
      </c>
      <c r="BS34" s="1" t="s">
        <v>121</v>
      </c>
      <c r="BT34" s="1" t="s">
        <v>121</v>
      </c>
      <c r="BU34" s="1" t="s">
        <v>121</v>
      </c>
      <c r="BV34" s="1" t="s">
        <v>121</v>
      </c>
      <c r="BW34" s="1" t="s">
        <v>121</v>
      </c>
      <c r="BX34" s="1" t="s">
        <v>121</v>
      </c>
      <c r="BY34" s="1" t="s">
        <v>121</v>
      </c>
      <c r="BZ34" s="1" t="s">
        <v>121</v>
      </c>
      <c r="CA34" s="1" t="s">
        <v>121</v>
      </c>
      <c r="CB34" s="1" t="s">
        <v>121</v>
      </c>
      <c r="CC34" s="1" t="s">
        <v>121</v>
      </c>
      <c r="CD34" s="1" t="s">
        <v>121</v>
      </c>
      <c r="CE34" s="1" t="s">
        <v>121</v>
      </c>
      <c r="CF34" s="1" t="s">
        <v>121</v>
      </c>
      <c r="CG34" s="1" t="s">
        <v>121</v>
      </c>
      <c r="CH34" s="1" t="s">
        <v>121</v>
      </c>
      <c r="CI34" s="1" t="s">
        <v>121</v>
      </c>
      <c r="CJ34" s="1" t="s">
        <v>121</v>
      </c>
      <c r="CK34" s="1" t="s">
        <v>121</v>
      </c>
      <c r="CL34" s="1" t="s">
        <v>121</v>
      </c>
      <c r="CM34" s="1" t="s">
        <v>121</v>
      </c>
      <c r="CN34" s="1" t="s">
        <v>121</v>
      </c>
      <c r="CO34" s="1" t="s">
        <v>121</v>
      </c>
      <c r="CP34" s="1" t="s">
        <v>121</v>
      </c>
      <c r="CQ34" s="1" t="s">
        <v>121</v>
      </c>
      <c r="CR34" s="1" t="s">
        <v>121</v>
      </c>
      <c r="CS34" s="1" t="s">
        <v>121</v>
      </c>
      <c r="CT34" s="1" t="s">
        <v>121</v>
      </c>
      <c r="CU34" s="1" t="s">
        <v>121</v>
      </c>
      <c r="CV34" s="1" t="s">
        <v>121</v>
      </c>
      <c r="CW34" s="1" t="s">
        <v>121</v>
      </c>
      <c r="CX34" s="1" t="s">
        <v>121</v>
      </c>
      <c r="CY34" s="1" t="s">
        <v>121</v>
      </c>
      <c r="CZ34" s="1" t="s">
        <v>121</v>
      </c>
      <c r="DA34" s="1" t="s">
        <v>121</v>
      </c>
      <c r="DB34" s="1" t="s">
        <v>121</v>
      </c>
      <c r="DC34" s="1" t="s">
        <v>121</v>
      </c>
      <c r="DD34" s="1" t="s">
        <v>121</v>
      </c>
      <c r="DE34" s="1" t="s">
        <v>121</v>
      </c>
      <c r="DF34" s="1" t="s">
        <v>121</v>
      </c>
      <c r="DG34" s="1" t="s">
        <v>121</v>
      </c>
      <c r="DH34" s="1" t="s">
        <v>121</v>
      </c>
      <c r="DI34" s="1" t="s">
        <v>121</v>
      </c>
      <c r="DJ34" s="1" t="s">
        <v>121</v>
      </c>
      <c r="DK34" s="1" t="s">
        <v>121</v>
      </c>
      <c r="DL34" s="1" t="s">
        <v>121</v>
      </c>
      <c r="DM34" s="1" t="s">
        <v>121</v>
      </c>
      <c r="DN34" s="1" t="s">
        <v>121</v>
      </c>
      <c r="DO34" s="1" t="s">
        <v>121</v>
      </c>
      <c r="DP34" s="1" t="s">
        <v>121</v>
      </c>
      <c r="DQ34" s="1" t="s">
        <v>121</v>
      </c>
      <c r="DR34" s="1" t="s">
        <v>121</v>
      </c>
      <c r="DS34" s="1" t="s">
        <v>121</v>
      </c>
      <c r="DT34" s="1" t="s">
        <v>121</v>
      </c>
      <c r="DU34" s="1" t="s">
        <v>121</v>
      </c>
      <c r="DV34" s="1" t="s">
        <v>121</v>
      </c>
      <c r="DW34" s="1" t="s">
        <v>121</v>
      </c>
      <c r="DX34" s="1" t="s">
        <v>121</v>
      </c>
      <c r="DY34" s="1" t="s">
        <v>121</v>
      </c>
      <c r="DZ34" s="1" t="s">
        <v>121</v>
      </c>
      <c r="EA34" s="1" t="s">
        <v>121</v>
      </c>
      <c r="EB34" s="1" t="s">
        <v>121</v>
      </c>
      <c r="EC34" s="1" t="s">
        <v>121</v>
      </c>
      <c r="ED34" s="1" t="s">
        <v>121</v>
      </c>
      <c r="EE34" s="1" t="s">
        <v>121</v>
      </c>
      <c r="EF34" s="1" t="s">
        <v>121</v>
      </c>
      <c r="EG34" s="1" t="s">
        <v>121</v>
      </c>
      <c r="EH34" s="1" t="s">
        <v>121</v>
      </c>
      <c r="EI34" s="1" t="s">
        <v>121</v>
      </c>
      <c r="EJ34" s="1" t="s">
        <v>121</v>
      </c>
      <c r="EK34" s="1" t="s">
        <v>121</v>
      </c>
    </row>
    <row r="35" spans="1:141" ht="15" customHeight="1" x14ac:dyDescent="0.25">
      <c r="A35" s="72">
        <v>35</v>
      </c>
      <c r="B35" s="19" t="s">
        <v>286</v>
      </c>
      <c r="C35" s="91" t="s">
        <v>121</v>
      </c>
      <c r="D35" s="86" t="s">
        <v>121</v>
      </c>
      <c r="E35" s="92" t="s">
        <v>121</v>
      </c>
      <c r="F35" s="86" t="s">
        <v>121</v>
      </c>
      <c r="G35" s="86" t="s">
        <v>121</v>
      </c>
      <c r="H35" s="86" t="s">
        <v>121</v>
      </c>
      <c r="I35" s="86" t="s">
        <v>121</v>
      </c>
      <c r="J35" s="86" t="s">
        <v>121</v>
      </c>
      <c r="K35" s="86" t="s">
        <v>121</v>
      </c>
      <c r="L35" s="86" t="s">
        <v>121</v>
      </c>
      <c r="M35" s="86" t="s">
        <v>121</v>
      </c>
      <c r="N35" s="86" t="s">
        <v>121</v>
      </c>
      <c r="O35" s="86" t="s">
        <v>121</v>
      </c>
      <c r="P35" s="86" t="s">
        <v>121</v>
      </c>
      <c r="Q35" s="86" t="s">
        <v>121</v>
      </c>
      <c r="R35" s="86" t="s">
        <v>121</v>
      </c>
      <c r="S35" s="86" t="s">
        <v>121</v>
      </c>
      <c r="T35" s="86" t="s">
        <v>121</v>
      </c>
      <c r="U35" s="86" t="s">
        <v>121</v>
      </c>
      <c r="V35" s="86" t="s">
        <v>121</v>
      </c>
      <c r="W35" s="86" t="s">
        <v>121</v>
      </c>
      <c r="X35" s="86" t="s">
        <v>121</v>
      </c>
      <c r="Y35" s="122" t="s">
        <v>121</v>
      </c>
      <c r="Z35" s="122" t="s">
        <v>121</v>
      </c>
      <c r="AA35" s="122" t="s">
        <v>121</v>
      </c>
      <c r="AB35" s="122" t="s">
        <v>121</v>
      </c>
      <c r="AC35" s="122" t="s">
        <v>121</v>
      </c>
      <c r="AD35" s="122" t="s">
        <v>121</v>
      </c>
      <c r="AE35" s="122" t="s">
        <v>121</v>
      </c>
      <c r="AF35" s="122" t="s">
        <v>121</v>
      </c>
      <c r="AG35" s="122" t="s">
        <v>121</v>
      </c>
      <c r="AH35" s="122" t="s">
        <v>121</v>
      </c>
      <c r="AI35" s="122" t="s">
        <v>121</v>
      </c>
      <c r="AJ35" s="122" t="s">
        <v>121</v>
      </c>
      <c r="AK35" s="122" t="s">
        <v>121</v>
      </c>
      <c r="AL35" s="122" t="s">
        <v>121</v>
      </c>
      <c r="AM35" s="122" t="s">
        <v>121</v>
      </c>
      <c r="AN35" s="122" t="s">
        <v>121</v>
      </c>
      <c r="AO35" s="122" t="s">
        <v>121</v>
      </c>
      <c r="AP35" s="122" t="s">
        <v>121</v>
      </c>
      <c r="AQ35" s="122" t="s">
        <v>121</v>
      </c>
      <c r="AR35" s="122" t="s">
        <v>121</v>
      </c>
      <c r="AS35" s="122" t="s">
        <v>121</v>
      </c>
      <c r="AT35" s="122" t="s">
        <v>121</v>
      </c>
      <c r="AU35" s="122" t="s">
        <v>121</v>
      </c>
      <c r="AV35" s="122" t="s">
        <v>121</v>
      </c>
      <c r="AW35" s="122" t="s">
        <v>121</v>
      </c>
      <c r="AX35" s="122" t="s">
        <v>121</v>
      </c>
      <c r="AY35" s="122" t="s">
        <v>121</v>
      </c>
      <c r="AZ35" s="19" t="s">
        <v>121</v>
      </c>
      <c r="BA35" s="11" t="s">
        <v>121</v>
      </c>
      <c r="BB35" s="11" t="s">
        <v>121</v>
      </c>
      <c r="BC35" s="11" t="s">
        <v>121</v>
      </c>
      <c r="BD35" s="11" t="s">
        <v>121</v>
      </c>
      <c r="BE35" s="11" t="s">
        <v>121</v>
      </c>
      <c r="BF35" s="11" t="s">
        <v>121</v>
      </c>
      <c r="BG35" s="11" t="s">
        <v>121</v>
      </c>
      <c r="BH35" s="11" t="s">
        <v>121</v>
      </c>
      <c r="BI35" s="11" t="s">
        <v>121</v>
      </c>
      <c r="BJ35" s="11" t="s">
        <v>121</v>
      </c>
      <c r="BK35" s="11" t="s">
        <v>121</v>
      </c>
      <c r="BL35" s="1" t="s">
        <v>121</v>
      </c>
      <c r="BM35" s="1" t="s">
        <v>121</v>
      </c>
      <c r="BN35" s="1" t="s">
        <v>121</v>
      </c>
      <c r="BO35" s="1" t="s">
        <v>121</v>
      </c>
      <c r="BP35" s="1" t="s">
        <v>121</v>
      </c>
      <c r="BQ35" s="1" t="s">
        <v>121</v>
      </c>
      <c r="BR35" s="1" t="s">
        <v>121</v>
      </c>
      <c r="BS35" s="1" t="s">
        <v>121</v>
      </c>
      <c r="BT35" s="1" t="s">
        <v>121</v>
      </c>
      <c r="BU35" s="1" t="s">
        <v>121</v>
      </c>
      <c r="BV35" s="1" t="s">
        <v>121</v>
      </c>
      <c r="BW35" s="1" t="s">
        <v>121</v>
      </c>
      <c r="BX35" s="1" t="s">
        <v>121</v>
      </c>
      <c r="BY35" s="1" t="s">
        <v>121</v>
      </c>
      <c r="BZ35" s="1" t="s">
        <v>121</v>
      </c>
      <c r="CA35" s="1" t="s">
        <v>121</v>
      </c>
      <c r="CB35" s="1" t="s">
        <v>121</v>
      </c>
      <c r="CC35" s="1" t="s">
        <v>121</v>
      </c>
      <c r="CD35" s="1" t="s">
        <v>121</v>
      </c>
      <c r="CE35" s="1" t="s">
        <v>121</v>
      </c>
      <c r="CF35" s="1" t="s">
        <v>121</v>
      </c>
      <c r="CG35" s="1" t="s">
        <v>121</v>
      </c>
      <c r="CH35" s="1" t="s">
        <v>121</v>
      </c>
      <c r="CI35" s="1" t="s">
        <v>121</v>
      </c>
      <c r="CJ35" s="1" t="s">
        <v>121</v>
      </c>
      <c r="CK35" s="1" t="s">
        <v>121</v>
      </c>
      <c r="CL35" s="1" t="s">
        <v>121</v>
      </c>
      <c r="CM35" s="1" t="s">
        <v>121</v>
      </c>
      <c r="CN35" s="1" t="s">
        <v>121</v>
      </c>
      <c r="CO35" s="1" t="s">
        <v>121</v>
      </c>
      <c r="CP35" s="1" t="s">
        <v>121</v>
      </c>
      <c r="CQ35" s="1" t="s">
        <v>121</v>
      </c>
      <c r="CR35" s="1" t="s">
        <v>121</v>
      </c>
      <c r="CS35" s="1" t="s">
        <v>121</v>
      </c>
      <c r="CT35" s="1" t="s">
        <v>121</v>
      </c>
      <c r="CU35" s="1" t="s">
        <v>121</v>
      </c>
      <c r="CV35" s="1" t="s">
        <v>121</v>
      </c>
      <c r="CW35" s="1" t="s">
        <v>121</v>
      </c>
      <c r="CX35" s="1" t="s">
        <v>121</v>
      </c>
      <c r="CY35" s="1" t="s">
        <v>121</v>
      </c>
      <c r="CZ35" s="1" t="s">
        <v>121</v>
      </c>
      <c r="DA35" s="1" t="s">
        <v>121</v>
      </c>
      <c r="DB35" s="1" t="s">
        <v>121</v>
      </c>
      <c r="DC35" s="1" t="s">
        <v>121</v>
      </c>
      <c r="DD35" s="1" t="s">
        <v>121</v>
      </c>
      <c r="DE35" s="1" t="s">
        <v>121</v>
      </c>
      <c r="DF35" s="1" t="s">
        <v>121</v>
      </c>
      <c r="DG35" s="1" t="s">
        <v>121</v>
      </c>
      <c r="DH35" s="1" t="s">
        <v>121</v>
      </c>
      <c r="DI35" s="1" t="s">
        <v>121</v>
      </c>
      <c r="DJ35" s="1" t="s">
        <v>121</v>
      </c>
      <c r="DK35" s="1" t="s">
        <v>121</v>
      </c>
      <c r="DL35" s="1" t="s">
        <v>121</v>
      </c>
      <c r="DM35" s="1" t="s">
        <v>121</v>
      </c>
      <c r="DN35" s="1" t="s">
        <v>121</v>
      </c>
      <c r="DO35" s="1" t="s">
        <v>121</v>
      </c>
      <c r="DP35" s="1" t="s">
        <v>121</v>
      </c>
      <c r="DQ35" s="1" t="s">
        <v>121</v>
      </c>
      <c r="DR35" s="1" t="s">
        <v>121</v>
      </c>
      <c r="DS35" s="1" t="s">
        <v>121</v>
      </c>
      <c r="DT35" s="1" t="s">
        <v>121</v>
      </c>
      <c r="DU35" s="1" t="s">
        <v>121</v>
      </c>
      <c r="DV35" s="1" t="s">
        <v>121</v>
      </c>
      <c r="DW35" s="1" t="s">
        <v>121</v>
      </c>
      <c r="DX35" s="1" t="s">
        <v>121</v>
      </c>
      <c r="DY35" s="1" t="s">
        <v>121</v>
      </c>
      <c r="DZ35" s="1" t="s">
        <v>121</v>
      </c>
      <c r="EA35" s="1" t="s">
        <v>121</v>
      </c>
      <c r="EB35" s="1" t="s">
        <v>121</v>
      </c>
      <c r="EC35" s="1" t="s">
        <v>121</v>
      </c>
      <c r="ED35" s="1" t="s">
        <v>121</v>
      </c>
      <c r="EE35" s="1" t="s">
        <v>121</v>
      </c>
      <c r="EF35" s="1" t="s">
        <v>121</v>
      </c>
      <c r="EG35" s="1" t="s">
        <v>121</v>
      </c>
      <c r="EH35" s="1" t="s">
        <v>121</v>
      </c>
      <c r="EI35" s="1" t="s">
        <v>121</v>
      </c>
      <c r="EJ35" s="1" t="s">
        <v>121</v>
      </c>
      <c r="EK35" s="1" t="s">
        <v>121</v>
      </c>
    </row>
    <row r="36" spans="1:141" ht="15" customHeight="1" x14ac:dyDescent="0.25">
      <c r="A36" s="72">
        <v>36</v>
      </c>
      <c r="B36" s="183" t="s">
        <v>287</v>
      </c>
      <c r="C36" s="91">
        <v>-1.1004706267999764E-2</v>
      </c>
      <c r="D36" s="86">
        <v>0.37259192261656526</v>
      </c>
      <c r="E36" s="92">
        <v>0.33198435890428235</v>
      </c>
      <c r="F36" s="147">
        <v>253434</v>
      </c>
      <c r="G36" s="147">
        <v>256254</v>
      </c>
      <c r="H36" s="147">
        <v>164981</v>
      </c>
      <c r="I36" s="147">
        <v>190268</v>
      </c>
      <c r="J36" s="147">
        <v>184639</v>
      </c>
      <c r="K36" s="147">
        <v>199829</v>
      </c>
      <c r="L36" s="147">
        <v>149931</v>
      </c>
      <c r="M36" s="147">
        <v>208559</v>
      </c>
      <c r="N36" s="147">
        <v>146582</v>
      </c>
      <c r="O36" s="147">
        <v>88662</v>
      </c>
      <c r="P36" s="147">
        <v>67650</v>
      </c>
      <c r="Q36" s="147">
        <v>20013</v>
      </c>
      <c r="R36" s="404"/>
      <c r="S36" s="404"/>
      <c r="T36" s="404"/>
      <c r="U36" s="147">
        <v>168174</v>
      </c>
      <c r="V36" s="147">
        <v>161729.962</v>
      </c>
      <c r="W36" s="147">
        <v>132872.27799999999</v>
      </c>
      <c r="X36" s="147">
        <v>135860.09599999999</v>
      </c>
      <c r="Y36" s="147">
        <v>141091</v>
      </c>
      <c r="Z36" s="147">
        <v>134176.647</v>
      </c>
      <c r="AA36" s="147">
        <v>133541.88</v>
      </c>
      <c r="AB36" s="147">
        <v>127844.86500000001</v>
      </c>
      <c r="AC36" s="147">
        <v>158566.77499999999</v>
      </c>
      <c r="AD36" s="147">
        <v>143137.367</v>
      </c>
      <c r="AE36" s="147">
        <v>158870.15299999999</v>
      </c>
      <c r="AF36" s="147">
        <v>136898.46</v>
      </c>
      <c r="AG36" s="147">
        <v>147818.484</v>
      </c>
      <c r="AH36" s="147">
        <v>132830.59899999999</v>
      </c>
      <c r="AI36" s="147">
        <v>151043.685</v>
      </c>
      <c r="AJ36" s="125">
        <v>156950.182</v>
      </c>
      <c r="AK36" s="147">
        <v>148924.73000000001</v>
      </c>
      <c r="AL36" s="147">
        <v>143828.1</v>
      </c>
      <c r="AM36" s="147">
        <v>147937.53</v>
      </c>
      <c r="AN36" s="22">
        <v>136414.43900000001</v>
      </c>
      <c r="AO36" s="22">
        <v>131721.76699999999</v>
      </c>
      <c r="AP36" s="22">
        <v>129755.247</v>
      </c>
      <c r="AQ36" s="22">
        <v>153511.424</v>
      </c>
      <c r="AR36" s="22">
        <v>147487.75599999999</v>
      </c>
      <c r="AS36" s="22">
        <v>135340.796</v>
      </c>
      <c r="AT36" s="22">
        <v>113551.817</v>
      </c>
      <c r="AU36" s="22">
        <v>121896.535</v>
      </c>
      <c r="AV36" s="22">
        <v>116248.288</v>
      </c>
      <c r="AW36" s="22">
        <v>102596.69</v>
      </c>
      <c r="AX36" s="22">
        <v>83717.805999999997</v>
      </c>
      <c r="AY36" s="22">
        <v>89945.448000000004</v>
      </c>
      <c r="AZ36" s="22">
        <v>74965.125</v>
      </c>
      <c r="BA36" s="11">
        <v>70540.987999999998</v>
      </c>
      <c r="BB36" s="11">
        <v>67113.073999999993</v>
      </c>
      <c r="BC36" s="11">
        <v>54860.421999999999</v>
      </c>
      <c r="BD36" s="11">
        <v>42916.686999999998</v>
      </c>
      <c r="BE36" s="11">
        <v>52254.302000000003</v>
      </c>
      <c r="BF36" s="11">
        <v>26785.382000000001</v>
      </c>
      <c r="BG36" s="11">
        <v>48406.252</v>
      </c>
      <c r="BH36" s="11">
        <v>51621.360999999997</v>
      </c>
      <c r="BI36" s="11">
        <v>27198.895</v>
      </c>
      <c r="BJ36" s="11">
        <v>15546.281999999999</v>
      </c>
      <c r="BK36" s="11">
        <v>18043.263999999999</v>
      </c>
      <c r="BL36" s="11">
        <v>22051.011999999999</v>
      </c>
      <c r="BM36" s="1">
        <v>11326.393</v>
      </c>
      <c r="BN36" s="1">
        <v>16412.794999999998</v>
      </c>
      <c r="BO36" s="1">
        <v>19722.066999999999</v>
      </c>
      <c r="BP36" s="1">
        <v>19605.563999999998</v>
      </c>
      <c r="BQ36" s="1">
        <v>16001.843999999999</v>
      </c>
      <c r="BR36" s="1" t="s">
        <v>121</v>
      </c>
      <c r="BS36" s="1" t="s">
        <v>121</v>
      </c>
      <c r="BT36" s="1" t="s">
        <v>121</v>
      </c>
      <c r="BU36" s="1" t="s">
        <v>121</v>
      </c>
      <c r="BV36" s="1" t="s">
        <v>121</v>
      </c>
      <c r="BW36" s="1" t="s">
        <v>121</v>
      </c>
      <c r="BX36" s="1" t="s">
        <v>121</v>
      </c>
      <c r="BY36" s="1" t="s">
        <v>121</v>
      </c>
      <c r="BZ36" s="1" t="s">
        <v>121</v>
      </c>
      <c r="CA36" s="1" t="s">
        <v>121</v>
      </c>
      <c r="CB36" s="1" t="s">
        <v>121</v>
      </c>
      <c r="CC36" s="1" t="s">
        <v>121</v>
      </c>
      <c r="CD36" s="1" t="s">
        <v>121</v>
      </c>
      <c r="CE36" s="1" t="s">
        <v>121</v>
      </c>
      <c r="CF36" s="1" t="s">
        <v>121</v>
      </c>
      <c r="CG36" s="1" t="s">
        <v>121</v>
      </c>
      <c r="CH36" s="1" t="s">
        <v>121</v>
      </c>
      <c r="CI36" s="1" t="s">
        <v>121</v>
      </c>
      <c r="CJ36" s="1" t="s">
        <v>121</v>
      </c>
      <c r="CK36" s="1" t="s">
        <v>121</v>
      </c>
      <c r="CL36" s="1" t="s">
        <v>121</v>
      </c>
      <c r="CM36" s="1" t="s">
        <v>121</v>
      </c>
      <c r="CN36" s="1" t="s">
        <v>121</v>
      </c>
      <c r="CO36" s="1" t="s">
        <v>121</v>
      </c>
      <c r="CP36" s="1" t="s">
        <v>121</v>
      </c>
      <c r="CQ36" s="1" t="s">
        <v>121</v>
      </c>
      <c r="CR36" s="1" t="s">
        <v>121</v>
      </c>
      <c r="CS36" s="1" t="s">
        <v>121</v>
      </c>
      <c r="CT36" s="1" t="s">
        <v>121</v>
      </c>
      <c r="CU36" s="1" t="s">
        <v>121</v>
      </c>
      <c r="CV36" s="1" t="s">
        <v>121</v>
      </c>
      <c r="CW36" s="1" t="s">
        <v>121</v>
      </c>
      <c r="CX36" s="1" t="s">
        <v>121</v>
      </c>
      <c r="CY36" s="1" t="s">
        <v>121</v>
      </c>
      <c r="CZ36" s="1" t="s">
        <v>121</v>
      </c>
      <c r="DA36" s="1" t="s">
        <v>121</v>
      </c>
      <c r="DB36" s="1" t="s">
        <v>121</v>
      </c>
      <c r="DC36" s="1" t="s">
        <v>121</v>
      </c>
      <c r="DD36" s="1" t="s">
        <v>121</v>
      </c>
      <c r="DE36" s="1" t="s">
        <v>121</v>
      </c>
      <c r="DF36" s="1" t="s">
        <v>121</v>
      </c>
      <c r="DG36" s="1" t="s">
        <v>121</v>
      </c>
      <c r="DH36" s="1" t="s">
        <v>121</v>
      </c>
      <c r="DI36" s="1" t="s">
        <v>121</v>
      </c>
      <c r="DJ36" s="1" t="s">
        <v>121</v>
      </c>
      <c r="DK36" s="1" t="s">
        <v>121</v>
      </c>
      <c r="DL36" s="1" t="s">
        <v>121</v>
      </c>
      <c r="DM36" s="1" t="s">
        <v>121</v>
      </c>
      <c r="DN36" s="1" t="s">
        <v>121</v>
      </c>
      <c r="DO36" s="1" t="s">
        <v>121</v>
      </c>
      <c r="DP36" s="1" t="s">
        <v>121</v>
      </c>
      <c r="DQ36" s="1" t="s">
        <v>121</v>
      </c>
      <c r="DR36" s="1" t="s">
        <v>121</v>
      </c>
      <c r="DS36" s="1" t="s">
        <v>121</v>
      </c>
      <c r="DT36" s="1" t="s">
        <v>121</v>
      </c>
      <c r="DU36" s="1" t="s">
        <v>121</v>
      </c>
      <c r="DV36" s="1" t="s">
        <v>121</v>
      </c>
      <c r="DW36" s="1" t="s">
        <v>121</v>
      </c>
      <c r="DX36" s="1" t="s">
        <v>121</v>
      </c>
      <c r="DY36" s="1" t="s">
        <v>121</v>
      </c>
      <c r="DZ36" s="1" t="s">
        <v>121</v>
      </c>
      <c r="EA36" s="1" t="s">
        <v>121</v>
      </c>
      <c r="EB36" s="1" t="s">
        <v>121</v>
      </c>
      <c r="EC36" s="1" t="s">
        <v>121</v>
      </c>
      <c r="ED36" s="1" t="s">
        <v>121</v>
      </c>
      <c r="EE36" s="1" t="s">
        <v>121</v>
      </c>
      <c r="EF36" s="1" t="s">
        <v>121</v>
      </c>
      <c r="EG36" s="1" t="s">
        <v>121</v>
      </c>
      <c r="EH36" s="1" t="s">
        <v>121</v>
      </c>
      <c r="EI36" s="1" t="s">
        <v>121</v>
      </c>
      <c r="EJ36" s="1" t="s">
        <v>121</v>
      </c>
      <c r="EK36" s="1" t="s">
        <v>121</v>
      </c>
    </row>
    <row r="37" spans="1:141" s="39" customFormat="1" ht="15" customHeight="1" x14ac:dyDescent="0.25">
      <c r="A37" s="72">
        <v>37</v>
      </c>
      <c r="B37" s="184" t="s">
        <v>288</v>
      </c>
      <c r="C37" s="91">
        <v>0.13116255851559577</v>
      </c>
      <c r="D37" s="86">
        <v>0.38551377932588871</v>
      </c>
      <c r="E37" s="92">
        <v>0.19815385653856543</v>
      </c>
      <c r="F37" s="165">
        <v>852012</v>
      </c>
      <c r="G37" s="165">
        <v>753218</v>
      </c>
      <c r="H37" s="165">
        <v>721420</v>
      </c>
      <c r="I37" s="165">
        <v>711104</v>
      </c>
      <c r="J37" s="165">
        <v>614943</v>
      </c>
      <c r="K37" s="165">
        <v>650375</v>
      </c>
      <c r="L37" s="165">
        <v>643652</v>
      </c>
      <c r="M37" s="165">
        <v>646447</v>
      </c>
      <c r="N37" s="165">
        <v>607560</v>
      </c>
      <c r="O37" s="165">
        <v>574351</v>
      </c>
      <c r="P37" s="165">
        <v>583039</v>
      </c>
      <c r="Q37" s="165">
        <v>641226</v>
      </c>
      <c r="R37" s="404"/>
      <c r="S37" s="404"/>
      <c r="T37" s="404"/>
      <c r="U37" s="165">
        <v>499368</v>
      </c>
      <c r="V37" s="165">
        <v>486568.42700000003</v>
      </c>
      <c r="W37" s="165">
        <v>486558.58799999999</v>
      </c>
      <c r="X37" s="165">
        <v>477669.11800000002</v>
      </c>
      <c r="Y37" s="165">
        <v>470922</v>
      </c>
      <c r="Z37" s="165">
        <v>466372.70999999996</v>
      </c>
      <c r="AA37" s="165">
        <v>423249.62</v>
      </c>
      <c r="AB37" s="165">
        <v>425884.47100000002</v>
      </c>
      <c r="AC37" s="165">
        <v>410343.348</v>
      </c>
      <c r="AD37" s="165">
        <v>409591.81800000003</v>
      </c>
      <c r="AE37" s="165">
        <v>393252.52500000002</v>
      </c>
      <c r="AF37" s="165">
        <v>397036.01899999997</v>
      </c>
      <c r="AG37" s="165">
        <v>406788.83299999998</v>
      </c>
      <c r="AH37" s="165">
        <v>372979.23499999999</v>
      </c>
      <c r="AI37" s="165">
        <v>354668.81599999999</v>
      </c>
      <c r="AJ37" s="78">
        <v>346393.30099999998</v>
      </c>
      <c r="AK37" s="165">
        <v>352972.14799999999</v>
      </c>
      <c r="AL37" s="165">
        <v>329156.56800000003</v>
      </c>
      <c r="AM37" s="165">
        <v>315405.97600000002</v>
      </c>
      <c r="AN37" s="83">
        <v>321233.65899999999</v>
      </c>
      <c r="AO37" s="83">
        <v>349944.86800000002</v>
      </c>
      <c r="AP37" s="83">
        <v>316391.364</v>
      </c>
      <c r="AQ37" s="83">
        <v>331833.50599999999</v>
      </c>
      <c r="AR37" s="83">
        <v>313877.13199999998</v>
      </c>
      <c r="AS37" s="83">
        <v>325583.95</v>
      </c>
      <c r="AT37" s="83">
        <v>312390.98599999998</v>
      </c>
      <c r="AU37" s="83">
        <v>298506.152</v>
      </c>
      <c r="AV37" s="83">
        <v>299762.45799999998</v>
      </c>
      <c r="AW37" s="83">
        <v>308481.73100000003</v>
      </c>
      <c r="AX37" s="83">
        <v>272355.83799999999</v>
      </c>
      <c r="AY37" s="83">
        <v>259403.14600000001</v>
      </c>
      <c r="AZ37" s="83">
        <v>262549.59000000003</v>
      </c>
      <c r="BA37" s="45">
        <v>253127.291</v>
      </c>
      <c r="BB37" s="45">
        <v>252859.45600000001</v>
      </c>
      <c r="BC37" s="45">
        <v>242238.30900000001</v>
      </c>
      <c r="BD37" s="45">
        <v>231828.65299999999</v>
      </c>
      <c r="BE37" s="45">
        <v>222796.734</v>
      </c>
      <c r="BF37" s="45">
        <v>217576.83100000001</v>
      </c>
      <c r="BG37" s="45">
        <v>217865.764</v>
      </c>
      <c r="BH37" s="45">
        <v>216150.77100000001</v>
      </c>
      <c r="BI37" s="45">
        <v>226702.89</v>
      </c>
      <c r="BJ37" s="45">
        <v>209232.443</v>
      </c>
      <c r="BK37" s="45">
        <v>201942.136</v>
      </c>
      <c r="BL37" s="45">
        <v>188248.973</v>
      </c>
      <c r="BM37" s="39">
        <v>191807.67600000001</v>
      </c>
      <c r="BN37" s="39">
        <v>169474.10399999999</v>
      </c>
      <c r="BO37" s="39">
        <v>166175.54</v>
      </c>
      <c r="BP37" s="39">
        <v>167620.367</v>
      </c>
      <c r="BQ37" s="39">
        <v>175990.28400000001</v>
      </c>
      <c r="BR37" s="39" t="s">
        <v>121</v>
      </c>
      <c r="BS37" s="39" t="s">
        <v>121</v>
      </c>
      <c r="BT37" s="39" t="s">
        <v>121</v>
      </c>
      <c r="BU37" s="39" t="s">
        <v>121</v>
      </c>
      <c r="BV37" s="39" t="s">
        <v>121</v>
      </c>
      <c r="BW37" s="39" t="s">
        <v>121</v>
      </c>
      <c r="BX37" s="39" t="s">
        <v>121</v>
      </c>
      <c r="BY37" s="39" t="s">
        <v>121</v>
      </c>
      <c r="BZ37" s="39" t="s">
        <v>121</v>
      </c>
      <c r="CA37" s="39" t="s">
        <v>121</v>
      </c>
      <c r="CB37" s="39" t="s">
        <v>121</v>
      </c>
      <c r="CC37" s="39" t="s">
        <v>121</v>
      </c>
      <c r="CD37" s="39" t="s">
        <v>121</v>
      </c>
      <c r="CE37" s="39" t="s">
        <v>121</v>
      </c>
      <c r="CF37" s="39" t="s">
        <v>121</v>
      </c>
      <c r="CG37" s="39" t="s">
        <v>121</v>
      </c>
      <c r="CH37" s="39" t="s">
        <v>121</v>
      </c>
      <c r="CI37" s="39" t="s">
        <v>121</v>
      </c>
      <c r="CJ37" s="39" t="s">
        <v>121</v>
      </c>
      <c r="CK37" s="39" t="s">
        <v>121</v>
      </c>
      <c r="CL37" s="39" t="s">
        <v>121</v>
      </c>
      <c r="CM37" s="39" t="s">
        <v>121</v>
      </c>
      <c r="CN37" s="39" t="s">
        <v>121</v>
      </c>
      <c r="CO37" s="39" t="s">
        <v>121</v>
      </c>
      <c r="CP37" s="39" t="s">
        <v>121</v>
      </c>
      <c r="CQ37" s="39" t="s">
        <v>121</v>
      </c>
      <c r="CR37" s="39" t="s">
        <v>121</v>
      </c>
      <c r="CS37" s="39" t="s">
        <v>121</v>
      </c>
      <c r="CT37" s="39" t="s">
        <v>121</v>
      </c>
      <c r="CU37" s="39" t="s">
        <v>121</v>
      </c>
      <c r="CV37" s="39" t="s">
        <v>121</v>
      </c>
      <c r="CW37" s="39" t="s">
        <v>121</v>
      </c>
      <c r="CX37" s="39" t="s">
        <v>121</v>
      </c>
      <c r="CY37" s="39" t="s">
        <v>121</v>
      </c>
      <c r="CZ37" s="39" t="s">
        <v>121</v>
      </c>
      <c r="DA37" s="39" t="s">
        <v>121</v>
      </c>
      <c r="DB37" s="39" t="s">
        <v>121</v>
      </c>
      <c r="DC37" s="39" t="s">
        <v>121</v>
      </c>
      <c r="DD37" s="39" t="s">
        <v>121</v>
      </c>
      <c r="DE37" s="39" t="s">
        <v>121</v>
      </c>
      <c r="DF37" s="39" t="s">
        <v>121</v>
      </c>
      <c r="DG37" s="39" t="s">
        <v>121</v>
      </c>
      <c r="DH37" s="39" t="s">
        <v>121</v>
      </c>
      <c r="DI37" s="39" t="s">
        <v>121</v>
      </c>
      <c r="DJ37" s="39" t="s">
        <v>121</v>
      </c>
      <c r="DK37" s="39" t="s">
        <v>121</v>
      </c>
      <c r="DL37" s="39" t="s">
        <v>121</v>
      </c>
      <c r="DM37" s="39" t="s">
        <v>121</v>
      </c>
      <c r="DN37" s="39" t="s">
        <v>121</v>
      </c>
      <c r="DO37" s="39" t="s">
        <v>121</v>
      </c>
      <c r="DP37" s="39" t="s">
        <v>121</v>
      </c>
      <c r="DQ37" s="39" t="s">
        <v>121</v>
      </c>
      <c r="DR37" s="39" t="s">
        <v>121</v>
      </c>
      <c r="DS37" s="39" t="s">
        <v>121</v>
      </c>
      <c r="DT37" s="39" t="s">
        <v>121</v>
      </c>
      <c r="DU37" s="39" t="s">
        <v>121</v>
      </c>
      <c r="DV37" s="39" t="s">
        <v>121</v>
      </c>
      <c r="DW37" s="39" t="s">
        <v>121</v>
      </c>
      <c r="DX37" s="39" t="s">
        <v>121</v>
      </c>
      <c r="DY37" s="39" t="s">
        <v>121</v>
      </c>
      <c r="DZ37" s="39" t="s">
        <v>121</v>
      </c>
      <c r="EA37" s="39" t="s">
        <v>121</v>
      </c>
      <c r="EB37" s="39" t="s">
        <v>121</v>
      </c>
      <c r="EC37" s="39" t="s">
        <v>121</v>
      </c>
      <c r="ED37" s="39" t="s">
        <v>121</v>
      </c>
      <c r="EE37" s="39" t="s">
        <v>121</v>
      </c>
      <c r="EF37" s="39" t="s">
        <v>121</v>
      </c>
      <c r="EG37" s="39" t="s">
        <v>121</v>
      </c>
      <c r="EH37" s="39" t="s">
        <v>121</v>
      </c>
      <c r="EI37" s="39" t="s">
        <v>121</v>
      </c>
      <c r="EJ37" s="39" t="s">
        <v>121</v>
      </c>
      <c r="EK37" s="39" t="s">
        <v>121</v>
      </c>
    </row>
    <row r="38" spans="1:141" s="39" customFormat="1" ht="15" customHeight="1" x14ac:dyDescent="0.25">
      <c r="A38" s="72">
        <v>38</v>
      </c>
      <c r="B38" s="175" t="s">
        <v>289</v>
      </c>
      <c r="C38" s="173">
        <v>0.35058307943988343</v>
      </c>
      <c r="D38" s="259">
        <v>0.499144124445555</v>
      </c>
      <c r="E38" s="174">
        <v>0.31046986609580807</v>
      </c>
      <c r="F38" s="176">
        <v>359952</v>
      </c>
      <c r="G38" s="176">
        <v>266516</v>
      </c>
      <c r="H38" s="176">
        <v>259291</v>
      </c>
      <c r="I38" s="176">
        <v>274674</v>
      </c>
      <c r="J38" s="176">
        <v>240105</v>
      </c>
      <c r="K38" s="176">
        <v>256044</v>
      </c>
      <c r="L38" s="176">
        <v>243379</v>
      </c>
      <c r="M38" s="176">
        <v>250858</v>
      </c>
      <c r="N38" s="176">
        <v>241258</v>
      </c>
      <c r="O38" s="176">
        <v>232139</v>
      </c>
      <c r="P38" s="176">
        <v>252759</v>
      </c>
      <c r="Q38" s="176">
        <v>312974</v>
      </c>
      <c r="R38" s="404"/>
      <c r="S38" s="404"/>
      <c r="T38" s="404"/>
      <c r="U38" s="176">
        <v>204255</v>
      </c>
      <c r="V38" s="176">
        <v>203302</v>
      </c>
      <c r="W38" s="176">
        <v>215170.65700000001</v>
      </c>
      <c r="X38" s="176">
        <v>214122.05100000001</v>
      </c>
      <c r="Y38" s="176">
        <v>194893</v>
      </c>
      <c r="Z38" s="176">
        <v>199828.11199999999</v>
      </c>
      <c r="AA38" s="176">
        <v>173258.247</v>
      </c>
      <c r="AB38" s="176">
        <v>169916.334</v>
      </c>
      <c r="AC38" s="176">
        <v>161375.92499999999</v>
      </c>
      <c r="AD38" s="176">
        <v>167177.353</v>
      </c>
      <c r="AE38" s="176">
        <v>144875.31699999998</v>
      </c>
      <c r="AF38" s="176">
        <v>155232.639</v>
      </c>
      <c r="AG38" s="176">
        <v>157691.83000000002</v>
      </c>
      <c r="AH38" s="176">
        <v>147346.06899999999</v>
      </c>
      <c r="AI38" s="176">
        <v>139020.272</v>
      </c>
      <c r="AJ38" s="176">
        <v>140275.568</v>
      </c>
      <c r="AK38" s="176">
        <v>147384.95800000001</v>
      </c>
      <c r="AL38" s="176">
        <v>136293.03399999999</v>
      </c>
      <c r="AM38" s="176">
        <v>117118.90300000001</v>
      </c>
      <c r="AN38" s="176">
        <v>136746.36800000002</v>
      </c>
      <c r="AO38" s="176">
        <v>162525.52000000002</v>
      </c>
      <c r="AP38" s="176">
        <v>127443.78699999998</v>
      </c>
      <c r="AQ38" s="176">
        <v>144007.766</v>
      </c>
      <c r="AR38" s="176">
        <v>129389.095</v>
      </c>
      <c r="AS38" s="176">
        <v>137516.54199999999</v>
      </c>
      <c r="AT38" s="176">
        <v>141038.758</v>
      </c>
      <c r="AU38" s="176">
        <v>138492.30800000002</v>
      </c>
      <c r="AV38" s="176">
        <v>146967.49100000001</v>
      </c>
      <c r="AW38" s="176">
        <v>152473.37300000002</v>
      </c>
      <c r="AX38" s="176">
        <v>130546.833</v>
      </c>
      <c r="AY38" s="176">
        <v>124758.57500000003</v>
      </c>
      <c r="AZ38" s="176">
        <v>131087.16100000002</v>
      </c>
      <c r="BA38" s="176">
        <v>127823.15800000002</v>
      </c>
      <c r="BB38" s="176">
        <v>132553.42500000005</v>
      </c>
      <c r="BC38" s="176">
        <v>125071.75799999999</v>
      </c>
      <c r="BD38" s="176">
        <v>127223.52400000002</v>
      </c>
      <c r="BE38" s="176">
        <v>121576.59000000001</v>
      </c>
      <c r="BF38" s="176">
        <v>122216.037</v>
      </c>
      <c r="BG38" s="176">
        <v>121039.95300000001</v>
      </c>
      <c r="BH38" s="176">
        <v>127865.3</v>
      </c>
      <c r="BI38" s="176">
        <v>139310.93100000001</v>
      </c>
      <c r="BJ38" s="176">
        <v>128517.42899999997</v>
      </c>
      <c r="BK38" s="176">
        <v>127332.74900000001</v>
      </c>
      <c r="BL38" s="176">
        <v>116812.98299999999</v>
      </c>
      <c r="BM38" s="39">
        <v>119382.056</v>
      </c>
      <c r="BN38" s="39">
        <v>103061.97899999999</v>
      </c>
      <c r="BO38" s="39">
        <v>100329.47</v>
      </c>
      <c r="BP38" s="39">
        <v>104975.511</v>
      </c>
      <c r="BQ38" s="39">
        <v>115260.026</v>
      </c>
      <c r="BR38" s="39" t="s">
        <v>121</v>
      </c>
      <c r="BS38" s="39" t="s">
        <v>121</v>
      </c>
      <c r="BT38" s="39" t="s">
        <v>121</v>
      </c>
      <c r="BU38" s="39" t="s">
        <v>121</v>
      </c>
      <c r="BV38" s="39" t="s">
        <v>121</v>
      </c>
      <c r="BW38" s="39" t="s">
        <v>121</v>
      </c>
      <c r="BX38" s="39" t="s">
        <v>121</v>
      </c>
      <c r="BY38" s="39" t="s">
        <v>121</v>
      </c>
      <c r="BZ38" s="39" t="s">
        <v>121</v>
      </c>
      <c r="CA38" s="39" t="s">
        <v>121</v>
      </c>
      <c r="CB38" s="39" t="s">
        <v>121</v>
      </c>
      <c r="CC38" s="39" t="s">
        <v>121</v>
      </c>
      <c r="CD38" s="39" t="s">
        <v>121</v>
      </c>
      <c r="CE38" s="39" t="s">
        <v>121</v>
      </c>
      <c r="CF38" s="39" t="s">
        <v>121</v>
      </c>
      <c r="CG38" s="39" t="s">
        <v>121</v>
      </c>
      <c r="CH38" s="39" t="s">
        <v>121</v>
      </c>
      <c r="CI38" s="39" t="s">
        <v>121</v>
      </c>
      <c r="CJ38" s="39" t="s">
        <v>121</v>
      </c>
      <c r="CK38" s="39" t="s">
        <v>121</v>
      </c>
      <c r="CL38" s="39" t="s">
        <v>121</v>
      </c>
      <c r="CM38" s="39" t="s">
        <v>121</v>
      </c>
      <c r="CN38" s="39" t="s">
        <v>121</v>
      </c>
      <c r="CO38" s="39" t="s">
        <v>121</v>
      </c>
      <c r="CP38" s="39" t="s">
        <v>121</v>
      </c>
      <c r="CQ38" s="39" t="s">
        <v>121</v>
      </c>
      <c r="CR38" s="39" t="s">
        <v>121</v>
      </c>
      <c r="CS38" s="39" t="s">
        <v>121</v>
      </c>
      <c r="CT38" s="39" t="s">
        <v>121</v>
      </c>
      <c r="CU38" s="39" t="s">
        <v>121</v>
      </c>
      <c r="CV38" s="39" t="s">
        <v>121</v>
      </c>
      <c r="CW38" s="39" t="s">
        <v>121</v>
      </c>
      <c r="CX38" s="39" t="s">
        <v>121</v>
      </c>
      <c r="CY38" s="39" t="s">
        <v>121</v>
      </c>
      <c r="CZ38" s="39" t="s">
        <v>121</v>
      </c>
      <c r="DA38" s="39" t="s">
        <v>121</v>
      </c>
      <c r="DB38" s="39" t="s">
        <v>121</v>
      </c>
      <c r="DC38" s="39" t="s">
        <v>121</v>
      </c>
      <c r="DD38" s="39" t="s">
        <v>121</v>
      </c>
      <c r="DE38" s="39" t="s">
        <v>121</v>
      </c>
      <c r="DF38" s="39" t="s">
        <v>121</v>
      </c>
      <c r="DG38" s="39" t="s">
        <v>121</v>
      </c>
      <c r="DH38" s="39" t="s">
        <v>121</v>
      </c>
      <c r="DI38" s="39" t="s">
        <v>121</v>
      </c>
      <c r="DJ38" s="39" t="s">
        <v>121</v>
      </c>
      <c r="DK38" s="39" t="s">
        <v>121</v>
      </c>
      <c r="DL38" s="39" t="s">
        <v>121</v>
      </c>
      <c r="DM38" s="39" t="s">
        <v>121</v>
      </c>
      <c r="DN38" s="39" t="s">
        <v>121</v>
      </c>
      <c r="DO38" s="39" t="s">
        <v>121</v>
      </c>
      <c r="DP38" s="39" t="s">
        <v>121</v>
      </c>
      <c r="DQ38" s="39" t="s">
        <v>121</v>
      </c>
      <c r="DR38" s="39" t="s">
        <v>121</v>
      </c>
      <c r="DS38" s="39" t="s">
        <v>121</v>
      </c>
      <c r="DT38" s="39" t="s">
        <v>121</v>
      </c>
      <c r="DU38" s="39" t="s">
        <v>121</v>
      </c>
      <c r="DV38" s="39" t="s">
        <v>121</v>
      </c>
      <c r="DW38" s="39" t="s">
        <v>121</v>
      </c>
      <c r="DX38" s="39" t="s">
        <v>121</v>
      </c>
      <c r="DY38" s="39" t="s">
        <v>121</v>
      </c>
      <c r="DZ38" s="39" t="s">
        <v>121</v>
      </c>
      <c r="EA38" s="39" t="s">
        <v>121</v>
      </c>
      <c r="EB38" s="39" t="s">
        <v>121</v>
      </c>
      <c r="EC38" s="39" t="s">
        <v>121</v>
      </c>
      <c r="ED38" s="39" t="s">
        <v>121</v>
      </c>
      <c r="EE38" s="39" t="s">
        <v>121</v>
      </c>
      <c r="EF38" s="39" t="s">
        <v>121</v>
      </c>
      <c r="EG38" s="39" t="s">
        <v>121</v>
      </c>
      <c r="EH38" s="39" t="s">
        <v>121</v>
      </c>
      <c r="EI38" s="39" t="s">
        <v>121</v>
      </c>
      <c r="EJ38" s="39" t="s">
        <v>121</v>
      </c>
      <c r="EK38" s="39" t="s">
        <v>121</v>
      </c>
    </row>
    <row r="39" spans="1:141" s="39" customFormat="1" ht="15" customHeight="1" x14ac:dyDescent="0.25">
      <c r="A39" s="72">
        <v>39</v>
      </c>
      <c r="B39" s="175" t="s">
        <v>290</v>
      </c>
      <c r="C39" s="173">
        <v>1.1008789772797289E-2</v>
      </c>
      <c r="D39" s="259">
        <v>0.31272709810638188</v>
      </c>
      <c r="E39" s="174">
        <v>0.12746603120775379</v>
      </c>
      <c r="F39" s="176">
        <v>492060</v>
      </c>
      <c r="G39" s="176">
        <v>486702</v>
      </c>
      <c r="H39" s="176">
        <v>462129</v>
      </c>
      <c r="I39" s="176">
        <v>436430</v>
      </c>
      <c r="J39" s="176">
        <v>374838</v>
      </c>
      <c r="K39" s="176">
        <v>394331</v>
      </c>
      <c r="L39" s="176">
        <v>400273</v>
      </c>
      <c r="M39" s="176">
        <v>395589</v>
      </c>
      <c r="N39" s="176">
        <v>366302</v>
      </c>
      <c r="O39" s="176">
        <v>342212</v>
      </c>
      <c r="P39" s="176">
        <v>330280</v>
      </c>
      <c r="Q39" s="176">
        <v>328252</v>
      </c>
      <c r="R39" s="404"/>
      <c r="S39" s="404"/>
      <c r="T39" s="404"/>
      <c r="U39" s="176">
        <v>295113</v>
      </c>
      <c r="V39" s="176">
        <v>283266.42700000003</v>
      </c>
      <c r="W39" s="176">
        <v>271387.93099999998</v>
      </c>
      <c r="X39" s="176">
        <v>263547.06699999998</v>
      </c>
      <c r="Y39" s="176">
        <v>276029</v>
      </c>
      <c r="Z39" s="176">
        <v>266544.598</v>
      </c>
      <c r="AA39" s="176">
        <v>249991.37299999999</v>
      </c>
      <c r="AB39" s="176">
        <v>255968.13699999999</v>
      </c>
      <c r="AC39" s="176">
        <v>248967.42300000001</v>
      </c>
      <c r="AD39" s="176">
        <v>242414.46500000003</v>
      </c>
      <c r="AE39" s="176">
        <v>248377.20800000001</v>
      </c>
      <c r="AF39" s="176">
        <v>241803.37999999998</v>
      </c>
      <c r="AG39" s="176">
        <v>249097.00299999997</v>
      </c>
      <c r="AH39" s="176">
        <v>225633.166</v>
      </c>
      <c r="AI39" s="176">
        <v>215648.54399999999</v>
      </c>
      <c r="AJ39" s="176">
        <v>206117.73300000001</v>
      </c>
      <c r="AK39" s="176">
        <v>205587.19</v>
      </c>
      <c r="AL39" s="176">
        <v>192863.53399999999</v>
      </c>
      <c r="AM39" s="176">
        <v>198287.07299999997</v>
      </c>
      <c r="AN39" s="176">
        <v>184487.291</v>
      </c>
      <c r="AO39" s="176">
        <v>187419.348</v>
      </c>
      <c r="AP39" s="176">
        <v>188947.57699999999</v>
      </c>
      <c r="AQ39" s="176">
        <v>187825.74</v>
      </c>
      <c r="AR39" s="176">
        <v>184488.03699999998</v>
      </c>
      <c r="AS39" s="176">
        <v>188067.408</v>
      </c>
      <c r="AT39" s="176">
        <v>171352.228</v>
      </c>
      <c r="AU39" s="176">
        <v>160013.84399999998</v>
      </c>
      <c r="AV39" s="176">
        <v>152794.967</v>
      </c>
      <c r="AW39" s="176">
        <v>156008.35800000001</v>
      </c>
      <c r="AX39" s="176">
        <v>141809.005</v>
      </c>
      <c r="AY39" s="176">
        <v>134644.571</v>
      </c>
      <c r="AZ39" s="176">
        <v>131462.429</v>
      </c>
      <c r="BA39" s="176">
        <v>125304.133</v>
      </c>
      <c r="BB39" s="176">
        <v>120306.031</v>
      </c>
      <c r="BC39" s="176">
        <v>117166.55100000001</v>
      </c>
      <c r="BD39" s="176">
        <v>104605.129</v>
      </c>
      <c r="BE39" s="176">
        <v>101220.144</v>
      </c>
      <c r="BF39" s="176">
        <v>95360.793999999994</v>
      </c>
      <c r="BG39" s="176">
        <v>96825.811000000002</v>
      </c>
      <c r="BH39" s="176">
        <v>88285.471000000005</v>
      </c>
      <c r="BI39" s="176">
        <v>87391.959000000003</v>
      </c>
      <c r="BJ39" s="176">
        <v>80715.013999999996</v>
      </c>
      <c r="BK39" s="176">
        <v>74609.387000000002</v>
      </c>
      <c r="BL39" s="176">
        <v>71435.990000000005</v>
      </c>
      <c r="BM39" s="39">
        <v>72425.62</v>
      </c>
      <c r="BN39" s="39">
        <v>66412.125</v>
      </c>
      <c r="BO39" s="39">
        <v>65846.070000000007</v>
      </c>
      <c r="BP39" s="39">
        <v>62644.856</v>
      </c>
      <c r="BQ39" s="39">
        <v>60730.258000000002</v>
      </c>
      <c r="BR39" s="39" t="s">
        <v>121</v>
      </c>
      <c r="BS39" s="39" t="s">
        <v>121</v>
      </c>
      <c r="BT39" s="39" t="s">
        <v>121</v>
      </c>
      <c r="BU39" s="39" t="s">
        <v>121</v>
      </c>
      <c r="BV39" s="39" t="s">
        <v>121</v>
      </c>
      <c r="BW39" s="39" t="s">
        <v>121</v>
      </c>
      <c r="BX39" s="39" t="s">
        <v>121</v>
      </c>
      <c r="BY39" s="39" t="s">
        <v>121</v>
      </c>
      <c r="BZ39" s="39" t="s">
        <v>121</v>
      </c>
      <c r="CA39" s="39" t="s">
        <v>121</v>
      </c>
      <c r="CB39" s="39" t="s">
        <v>121</v>
      </c>
      <c r="CC39" s="39" t="s">
        <v>121</v>
      </c>
      <c r="CD39" s="39" t="s">
        <v>121</v>
      </c>
      <c r="CE39" s="39" t="s">
        <v>121</v>
      </c>
      <c r="CF39" s="39" t="s">
        <v>121</v>
      </c>
      <c r="CG39" s="39" t="s">
        <v>121</v>
      </c>
      <c r="CH39" s="39" t="s">
        <v>121</v>
      </c>
      <c r="CI39" s="39" t="s">
        <v>121</v>
      </c>
      <c r="CJ39" s="39" t="s">
        <v>121</v>
      </c>
      <c r="CK39" s="39" t="s">
        <v>121</v>
      </c>
      <c r="CL39" s="39" t="s">
        <v>121</v>
      </c>
      <c r="CM39" s="39" t="s">
        <v>121</v>
      </c>
      <c r="CN39" s="39" t="s">
        <v>121</v>
      </c>
      <c r="CO39" s="39" t="s">
        <v>121</v>
      </c>
      <c r="CP39" s="39" t="s">
        <v>121</v>
      </c>
      <c r="CQ39" s="39" t="s">
        <v>121</v>
      </c>
      <c r="CR39" s="39" t="s">
        <v>121</v>
      </c>
      <c r="CS39" s="39" t="s">
        <v>121</v>
      </c>
      <c r="CT39" s="39" t="s">
        <v>121</v>
      </c>
      <c r="CU39" s="39" t="s">
        <v>121</v>
      </c>
      <c r="CV39" s="39" t="s">
        <v>121</v>
      </c>
      <c r="CW39" s="39" t="s">
        <v>121</v>
      </c>
      <c r="CX39" s="39" t="s">
        <v>121</v>
      </c>
      <c r="CY39" s="39" t="s">
        <v>121</v>
      </c>
      <c r="CZ39" s="39" t="s">
        <v>121</v>
      </c>
      <c r="DA39" s="39" t="s">
        <v>121</v>
      </c>
      <c r="DB39" s="39" t="s">
        <v>121</v>
      </c>
      <c r="DC39" s="39" t="s">
        <v>121</v>
      </c>
      <c r="DD39" s="39" t="s">
        <v>121</v>
      </c>
      <c r="DE39" s="39" t="s">
        <v>121</v>
      </c>
      <c r="DF39" s="39" t="s">
        <v>121</v>
      </c>
      <c r="DG39" s="39" t="s">
        <v>121</v>
      </c>
      <c r="DH39" s="39" t="s">
        <v>121</v>
      </c>
      <c r="DI39" s="39" t="s">
        <v>121</v>
      </c>
      <c r="DJ39" s="39" t="s">
        <v>121</v>
      </c>
      <c r="DK39" s="39" t="s">
        <v>121</v>
      </c>
      <c r="DL39" s="39" t="s">
        <v>121</v>
      </c>
      <c r="DM39" s="39" t="s">
        <v>121</v>
      </c>
      <c r="DN39" s="39" t="s">
        <v>121</v>
      </c>
      <c r="DO39" s="39" t="s">
        <v>121</v>
      </c>
      <c r="DP39" s="39" t="s">
        <v>121</v>
      </c>
      <c r="DQ39" s="39" t="s">
        <v>121</v>
      </c>
      <c r="DR39" s="39" t="s">
        <v>121</v>
      </c>
      <c r="DS39" s="39" t="s">
        <v>121</v>
      </c>
      <c r="DT39" s="39" t="s">
        <v>121</v>
      </c>
      <c r="DU39" s="39" t="s">
        <v>121</v>
      </c>
      <c r="DV39" s="39" t="s">
        <v>121</v>
      </c>
      <c r="DW39" s="39" t="s">
        <v>121</v>
      </c>
      <c r="DX39" s="39" t="s">
        <v>121</v>
      </c>
      <c r="DY39" s="39" t="s">
        <v>121</v>
      </c>
      <c r="DZ39" s="39" t="s">
        <v>121</v>
      </c>
      <c r="EA39" s="39" t="s">
        <v>121</v>
      </c>
      <c r="EB39" s="39" t="s">
        <v>121</v>
      </c>
      <c r="EC39" s="39" t="s">
        <v>121</v>
      </c>
      <c r="ED39" s="39" t="s">
        <v>121</v>
      </c>
      <c r="EE39" s="39" t="s">
        <v>121</v>
      </c>
      <c r="EF39" s="39" t="s">
        <v>121</v>
      </c>
      <c r="EG39" s="39" t="s">
        <v>121</v>
      </c>
      <c r="EH39" s="39" t="s">
        <v>121</v>
      </c>
      <c r="EI39" s="39" t="s">
        <v>121</v>
      </c>
      <c r="EJ39" s="39" t="s">
        <v>121</v>
      </c>
      <c r="EK39" s="39" t="s">
        <v>121</v>
      </c>
    </row>
    <row r="40" spans="1:141" s="39" customFormat="1" ht="15" customHeight="1" x14ac:dyDescent="0.25">
      <c r="A40" s="72">
        <v>40</v>
      </c>
      <c r="B40" s="184" t="s">
        <v>291</v>
      </c>
      <c r="C40" s="91" t="s">
        <v>121</v>
      </c>
      <c r="D40" s="86" t="s">
        <v>121</v>
      </c>
      <c r="E40" s="92" t="s">
        <v>121</v>
      </c>
      <c r="F40" s="165">
        <v>44</v>
      </c>
      <c r="G40" s="165">
        <v>122</v>
      </c>
      <c r="H40" s="165">
        <v>9</v>
      </c>
      <c r="I40" s="165">
        <v>2059</v>
      </c>
      <c r="J40" s="165">
        <v>1085</v>
      </c>
      <c r="K40" s="165">
        <v>448</v>
      </c>
      <c r="L40" s="165">
        <v>626</v>
      </c>
      <c r="M40" s="165">
        <v>1471</v>
      </c>
      <c r="N40" s="165">
        <v>591</v>
      </c>
      <c r="O40" s="165">
        <v>703</v>
      </c>
      <c r="P40" s="165">
        <v>690</v>
      </c>
      <c r="Q40" s="165">
        <v>707</v>
      </c>
      <c r="R40" s="404"/>
      <c r="S40" s="404"/>
      <c r="T40" s="404"/>
      <c r="U40" s="165">
        <v>1071</v>
      </c>
      <c r="V40" s="165">
        <v>1329.5239999999999</v>
      </c>
      <c r="W40" s="165">
        <v>754.822</v>
      </c>
      <c r="X40" s="165">
        <v>206.1</v>
      </c>
      <c r="Y40" s="165">
        <v>1707</v>
      </c>
      <c r="Z40" s="165">
        <v>1429.6759999999999</v>
      </c>
      <c r="AA40" s="165">
        <v>698.15200000000004</v>
      </c>
      <c r="AB40" s="165">
        <v>656.00699999999995</v>
      </c>
      <c r="AC40" s="165">
        <v>311.82900000000001</v>
      </c>
      <c r="AD40" s="165">
        <v>2687.0880000000002</v>
      </c>
      <c r="AE40" s="165">
        <v>4135.2790000000005</v>
      </c>
      <c r="AF40" s="165">
        <v>9549.4269999999997</v>
      </c>
      <c r="AG40" s="165">
        <v>12116.371999999999</v>
      </c>
      <c r="AH40" s="165">
        <v>12083.130999999999</v>
      </c>
      <c r="AI40" s="165">
        <v>4880.4650000000001</v>
      </c>
      <c r="AJ40" s="78">
        <v>10051.4</v>
      </c>
      <c r="AK40" s="165">
        <v>12511.032999999999</v>
      </c>
      <c r="AL40" s="165">
        <v>10171.879000000001</v>
      </c>
      <c r="AM40" s="165">
        <v>6652.19</v>
      </c>
      <c r="AN40" s="83">
        <v>6811.2749999999996</v>
      </c>
      <c r="AO40" s="83">
        <v>4223.1639999999998</v>
      </c>
      <c r="AP40" s="83" t="s">
        <v>121</v>
      </c>
      <c r="AQ40" s="83" t="s">
        <v>121</v>
      </c>
      <c r="AR40" s="83" t="s">
        <v>121</v>
      </c>
      <c r="AS40" s="83">
        <v>870.26199999999994</v>
      </c>
      <c r="AT40" s="83" t="s">
        <v>121</v>
      </c>
      <c r="AU40" s="83" t="s">
        <v>121</v>
      </c>
      <c r="AV40" s="83" t="s">
        <v>121</v>
      </c>
      <c r="AW40" s="83" t="s">
        <v>121</v>
      </c>
      <c r="AX40" s="83" t="s">
        <v>121</v>
      </c>
      <c r="AY40" s="83" t="s">
        <v>121</v>
      </c>
      <c r="AZ40" s="83" t="s">
        <v>121</v>
      </c>
      <c r="BA40" s="45" t="s">
        <v>121</v>
      </c>
      <c r="BB40" s="45" t="s">
        <v>121</v>
      </c>
      <c r="BC40" s="45" t="s">
        <v>121</v>
      </c>
      <c r="BD40" s="45" t="s">
        <v>121</v>
      </c>
      <c r="BE40" s="45" t="s">
        <v>121</v>
      </c>
      <c r="BF40" s="45" t="s">
        <v>121</v>
      </c>
      <c r="BG40" s="45" t="s">
        <v>121</v>
      </c>
      <c r="BH40" s="45" t="s">
        <v>121</v>
      </c>
      <c r="BI40" s="45" t="s">
        <v>121</v>
      </c>
      <c r="BJ40" s="45" t="s">
        <v>121</v>
      </c>
      <c r="BK40" s="45" t="s">
        <v>121</v>
      </c>
      <c r="BL40" s="45" t="s">
        <v>121</v>
      </c>
      <c r="BM40" s="39" t="s">
        <v>121</v>
      </c>
      <c r="BN40" s="39" t="s">
        <v>121</v>
      </c>
      <c r="BO40" s="39" t="s">
        <v>121</v>
      </c>
      <c r="BP40" s="39" t="s">
        <v>121</v>
      </c>
      <c r="BQ40" s="39" t="s">
        <v>121</v>
      </c>
      <c r="BR40" s="39" t="s">
        <v>121</v>
      </c>
      <c r="BS40" s="39" t="s">
        <v>121</v>
      </c>
      <c r="BT40" s="39" t="s">
        <v>121</v>
      </c>
      <c r="BU40" s="39" t="s">
        <v>121</v>
      </c>
      <c r="BV40" s="39" t="s">
        <v>121</v>
      </c>
      <c r="BW40" s="39" t="s">
        <v>121</v>
      </c>
      <c r="BX40" s="39" t="s">
        <v>121</v>
      </c>
      <c r="BY40" s="39" t="s">
        <v>121</v>
      </c>
      <c r="BZ40" s="39" t="s">
        <v>121</v>
      </c>
      <c r="CA40" s="39" t="s">
        <v>121</v>
      </c>
      <c r="CB40" s="39" t="s">
        <v>121</v>
      </c>
      <c r="CC40" s="39" t="s">
        <v>121</v>
      </c>
      <c r="CD40" s="39" t="s">
        <v>121</v>
      </c>
      <c r="CE40" s="39" t="s">
        <v>121</v>
      </c>
      <c r="CF40" s="39" t="s">
        <v>121</v>
      </c>
      <c r="CG40" s="39" t="s">
        <v>121</v>
      </c>
      <c r="CH40" s="39" t="s">
        <v>121</v>
      </c>
      <c r="CI40" s="39" t="s">
        <v>121</v>
      </c>
      <c r="CJ40" s="39" t="s">
        <v>121</v>
      </c>
      <c r="CK40" s="39" t="s">
        <v>121</v>
      </c>
      <c r="CL40" s="39" t="s">
        <v>121</v>
      </c>
      <c r="CM40" s="39" t="s">
        <v>121</v>
      </c>
      <c r="CN40" s="39" t="s">
        <v>121</v>
      </c>
      <c r="CO40" s="39" t="s">
        <v>121</v>
      </c>
      <c r="CP40" s="39" t="s">
        <v>121</v>
      </c>
      <c r="CQ40" s="39" t="s">
        <v>121</v>
      </c>
      <c r="CR40" s="39" t="s">
        <v>121</v>
      </c>
      <c r="CS40" s="39" t="s">
        <v>121</v>
      </c>
      <c r="CT40" s="39" t="s">
        <v>121</v>
      </c>
      <c r="CU40" s="39" t="s">
        <v>121</v>
      </c>
      <c r="CV40" s="39" t="s">
        <v>121</v>
      </c>
      <c r="CW40" s="39" t="s">
        <v>121</v>
      </c>
      <c r="CX40" s="39" t="s">
        <v>121</v>
      </c>
      <c r="CY40" s="39" t="s">
        <v>121</v>
      </c>
      <c r="CZ40" s="39" t="s">
        <v>121</v>
      </c>
      <c r="DA40" s="39" t="s">
        <v>121</v>
      </c>
      <c r="DB40" s="39" t="s">
        <v>121</v>
      </c>
      <c r="DC40" s="39" t="s">
        <v>121</v>
      </c>
      <c r="DD40" s="39" t="s">
        <v>121</v>
      </c>
      <c r="DE40" s="39" t="s">
        <v>121</v>
      </c>
      <c r="DF40" s="39" t="s">
        <v>121</v>
      </c>
      <c r="DG40" s="39" t="s">
        <v>121</v>
      </c>
      <c r="DH40" s="39" t="s">
        <v>121</v>
      </c>
      <c r="DI40" s="39" t="s">
        <v>121</v>
      </c>
      <c r="DJ40" s="39" t="s">
        <v>121</v>
      </c>
      <c r="DK40" s="39" t="s">
        <v>121</v>
      </c>
      <c r="DL40" s="39" t="s">
        <v>121</v>
      </c>
      <c r="DM40" s="39" t="s">
        <v>121</v>
      </c>
      <c r="DN40" s="39" t="s">
        <v>121</v>
      </c>
      <c r="DO40" s="39" t="s">
        <v>121</v>
      </c>
      <c r="DP40" s="39" t="s">
        <v>121</v>
      </c>
      <c r="DQ40" s="39" t="s">
        <v>121</v>
      </c>
      <c r="DR40" s="39" t="s">
        <v>121</v>
      </c>
      <c r="DS40" s="39" t="s">
        <v>121</v>
      </c>
      <c r="DT40" s="39" t="s">
        <v>121</v>
      </c>
      <c r="DU40" s="39" t="s">
        <v>121</v>
      </c>
      <c r="DV40" s="39" t="s">
        <v>121</v>
      </c>
      <c r="DW40" s="39" t="s">
        <v>121</v>
      </c>
      <c r="DX40" s="39" t="s">
        <v>121</v>
      </c>
      <c r="DY40" s="39" t="s">
        <v>121</v>
      </c>
      <c r="DZ40" s="39" t="s">
        <v>121</v>
      </c>
      <c r="EA40" s="39" t="s">
        <v>121</v>
      </c>
      <c r="EB40" s="39" t="s">
        <v>121</v>
      </c>
      <c r="EC40" s="39" t="s">
        <v>121</v>
      </c>
      <c r="ED40" s="39" t="s">
        <v>121</v>
      </c>
      <c r="EE40" s="39" t="s">
        <v>121</v>
      </c>
      <c r="EF40" s="39" t="s">
        <v>121</v>
      </c>
      <c r="EG40" s="39" t="s">
        <v>121</v>
      </c>
      <c r="EH40" s="39" t="s">
        <v>121</v>
      </c>
      <c r="EI40" s="39" t="s">
        <v>121</v>
      </c>
      <c r="EJ40" s="39" t="s">
        <v>121</v>
      </c>
      <c r="EK40" s="39" t="s">
        <v>121</v>
      </c>
    </row>
    <row r="41" spans="1:141" s="39" customFormat="1" ht="15" customHeight="1" x14ac:dyDescent="0.25">
      <c r="A41" s="72">
        <v>41</v>
      </c>
      <c r="B41" s="184" t="s">
        <v>292</v>
      </c>
      <c r="C41" s="91" t="s">
        <v>121</v>
      </c>
      <c r="D41" s="86" t="s">
        <v>121</v>
      </c>
      <c r="E41" s="92" t="s">
        <v>121</v>
      </c>
      <c r="F41" s="165">
        <v>5818</v>
      </c>
      <c r="G41" s="165">
        <v>7463</v>
      </c>
      <c r="H41" s="165">
        <v>7081</v>
      </c>
      <c r="I41" s="165">
        <v>7677</v>
      </c>
      <c r="J41" s="165">
        <v>11105</v>
      </c>
      <c r="K41" s="165">
        <v>12204</v>
      </c>
      <c r="L41" s="165">
        <v>8693</v>
      </c>
      <c r="M41" s="165">
        <v>7738</v>
      </c>
      <c r="N41" s="165">
        <v>10892</v>
      </c>
      <c r="O41" s="165">
        <v>9860</v>
      </c>
      <c r="P41" s="165">
        <v>4945</v>
      </c>
      <c r="Q41" s="165">
        <v>6063</v>
      </c>
      <c r="R41" s="404"/>
      <c r="S41" s="404"/>
      <c r="T41" s="404"/>
      <c r="U41" s="165">
        <v>5232</v>
      </c>
      <c r="V41" s="165">
        <v>4486.3220000000001</v>
      </c>
      <c r="W41" s="165">
        <v>5809.5460000000003</v>
      </c>
      <c r="X41" s="165">
        <v>5191.1189999999997</v>
      </c>
      <c r="Y41" s="165">
        <v>7411</v>
      </c>
      <c r="Z41" s="165">
        <v>12114.083000000001</v>
      </c>
      <c r="AA41" s="165">
        <v>12294.782999999999</v>
      </c>
      <c r="AB41" s="165">
        <v>14915.462</v>
      </c>
      <c r="AC41" s="165">
        <v>7394.07</v>
      </c>
      <c r="AD41" s="165">
        <v>3716.4580000000001</v>
      </c>
      <c r="AE41" s="165">
        <v>5396.9780000000001</v>
      </c>
      <c r="AF41" s="165">
        <v>3851.971</v>
      </c>
      <c r="AG41" s="165">
        <v>2939.1959999999999</v>
      </c>
      <c r="AH41" s="165">
        <v>1845.652</v>
      </c>
      <c r="AI41" s="165">
        <v>1352.0630000000001</v>
      </c>
      <c r="AJ41" s="78">
        <v>1100.8040000000001</v>
      </c>
      <c r="AK41" s="165">
        <v>1661.3510000000001</v>
      </c>
      <c r="AL41" s="165">
        <v>793.68299999999999</v>
      </c>
      <c r="AM41" s="165">
        <v>2552.92</v>
      </c>
      <c r="AN41" s="83">
        <v>3511.873</v>
      </c>
      <c r="AO41" s="83">
        <v>2929.752</v>
      </c>
      <c r="AP41" s="83">
        <v>907.89</v>
      </c>
      <c r="AQ41" s="83">
        <v>363.96</v>
      </c>
      <c r="AR41" s="83">
        <v>892.37099999999998</v>
      </c>
      <c r="AS41" s="83">
        <v>498.661</v>
      </c>
      <c r="AT41" s="83" t="s">
        <v>121</v>
      </c>
      <c r="AU41" s="83" t="s">
        <v>121</v>
      </c>
      <c r="AV41" s="83" t="s">
        <v>121</v>
      </c>
      <c r="AW41" s="83" t="s">
        <v>121</v>
      </c>
      <c r="AX41" s="83" t="s">
        <v>121</v>
      </c>
      <c r="AY41" s="83" t="s">
        <v>121</v>
      </c>
      <c r="AZ41" s="83" t="s">
        <v>121</v>
      </c>
      <c r="BA41" s="45" t="s">
        <v>121</v>
      </c>
      <c r="BB41" s="45" t="s">
        <v>121</v>
      </c>
      <c r="BC41" s="45" t="s">
        <v>121</v>
      </c>
      <c r="BD41" s="45" t="s">
        <v>121</v>
      </c>
      <c r="BE41" s="45" t="s">
        <v>121</v>
      </c>
      <c r="BF41" s="45" t="s">
        <v>121</v>
      </c>
      <c r="BG41" s="45" t="s">
        <v>121</v>
      </c>
      <c r="BH41" s="45" t="s">
        <v>121</v>
      </c>
      <c r="BI41" s="45" t="s">
        <v>121</v>
      </c>
      <c r="BJ41" s="45" t="s">
        <v>121</v>
      </c>
      <c r="BK41" s="45" t="s">
        <v>121</v>
      </c>
      <c r="BL41" s="45" t="s">
        <v>121</v>
      </c>
      <c r="BM41" s="39" t="s">
        <v>121</v>
      </c>
      <c r="BN41" s="39" t="s">
        <v>121</v>
      </c>
      <c r="BO41" s="39" t="s">
        <v>121</v>
      </c>
      <c r="BP41" s="39" t="s">
        <v>121</v>
      </c>
      <c r="BQ41" s="39" t="s">
        <v>121</v>
      </c>
      <c r="BR41" s="39" t="s">
        <v>121</v>
      </c>
      <c r="BS41" s="39" t="s">
        <v>121</v>
      </c>
      <c r="BT41" s="39" t="s">
        <v>121</v>
      </c>
      <c r="BU41" s="39" t="s">
        <v>121</v>
      </c>
      <c r="BV41" s="39" t="s">
        <v>121</v>
      </c>
      <c r="BW41" s="39" t="s">
        <v>121</v>
      </c>
      <c r="BX41" s="39" t="s">
        <v>121</v>
      </c>
      <c r="BY41" s="39" t="s">
        <v>121</v>
      </c>
      <c r="BZ41" s="39" t="s">
        <v>121</v>
      </c>
      <c r="CA41" s="39" t="s">
        <v>121</v>
      </c>
      <c r="CB41" s="39" t="s">
        <v>121</v>
      </c>
      <c r="CC41" s="39" t="s">
        <v>121</v>
      </c>
      <c r="CD41" s="39" t="s">
        <v>121</v>
      </c>
      <c r="CE41" s="39" t="s">
        <v>121</v>
      </c>
      <c r="CF41" s="39" t="s">
        <v>121</v>
      </c>
      <c r="CG41" s="39" t="s">
        <v>121</v>
      </c>
      <c r="CH41" s="39" t="s">
        <v>121</v>
      </c>
      <c r="CI41" s="39" t="s">
        <v>121</v>
      </c>
      <c r="CJ41" s="39" t="s">
        <v>121</v>
      </c>
      <c r="CK41" s="39" t="s">
        <v>121</v>
      </c>
      <c r="CL41" s="39" t="s">
        <v>121</v>
      </c>
      <c r="CM41" s="39" t="s">
        <v>121</v>
      </c>
      <c r="CN41" s="39" t="s">
        <v>121</v>
      </c>
      <c r="CO41" s="39" t="s">
        <v>121</v>
      </c>
      <c r="CP41" s="39" t="s">
        <v>121</v>
      </c>
      <c r="CQ41" s="39" t="s">
        <v>121</v>
      </c>
      <c r="CR41" s="39" t="s">
        <v>121</v>
      </c>
      <c r="CS41" s="39" t="s">
        <v>121</v>
      </c>
      <c r="CT41" s="39" t="s">
        <v>121</v>
      </c>
      <c r="CU41" s="39" t="s">
        <v>121</v>
      </c>
      <c r="CV41" s="39" t="s">
        <v>121</v>
      </c>
      <c r="CW41" s="39" t="s">
        <v>121</v>
      </c>
      <c r="CX41" s="39" t="s">
        <v>121</v>
      </c>
      <c r="CY41" s="39" t="s">
        <v>121</v>
      </c>
      <c r="CZ41" s="39" t="s">
        <v>121</v>
      </c>
      <c r="DA41" s="39" t="s">
        <v>121</v>
      </c>
      <c r="DB41" s="39" t="s">
        <v>121</v>
      </c>
      <c r="DC41" s="39" t="s">
        <v>121</v>
      </c>
      <c r="DD41" s="39" t="s">
        <v>121</v>
      </c>
      <c r="DE41" s="39" t="s">
        <v>121</v>
      </c>
      <c r="DF41" s="39" t="s">
        <v>121</v>
      </c>
      <c r="DG41" s="39" t="s">
        <v>121</v>
      </c>
      <c r="DH41" s="39" t="s">
        <v>121</v>
      </c>
      <c r="DI41" s="39" t="s">
        <v>121</v>
      </c>
      <c r="DJ41" s="39" t="s">
        <v>121</v>
      </c>
      <c r="DK41" s="39" t="s">
        <v>121</v>
      </c>
      <c r="DL41" s="39" t="s">
        <v>121</v>
      </c>
      <c r="DM41" s="39" t="s">
        <v>121</v>
      </c>
      <c r="DN41" s="39" t="s">
        <v>121</v>
      </c>
      <c r="DO41" s="39" t="s">
        <v>121</v>
      </c>
      <c r="DP41" s="39" t="s">
        <v>121</v>
      </c>
      <c r="DQ41" s="39" t="s">
        <v>121</v>
      </c>
      <c r="DR41" s="39" t="s">
        <v>121</v>
      </c>
      <c r="DS41" s="39" t="s">
        <v>121</v>
      </c>
      <c r="DT41" s="39" t="s">
        <v>121</v>
      </c>
      <c r="DU41" s="39" t="s">
        <v>121</v>
      </c>
      <c r="DV41" s="39" t="s">
        <v>121</v>
      </c>
      <c r="DW41" s="39" t="s">
        <v>121</v>
      </c>
      <c r="DX41" s="39" t="s">
        <v>121</v>
      </c>
      <c r="DY41" s="39" t="s">
        <v>121</v>
      </c>
      <c r="DZ41" s="39" t="s">
        <v>121</v>
      </c>
      <c r="EA41" s="39" t="s">
        <v>121</v>
      </c>
      <c r="EB41" s="39" t="s">
        <v>121</v>
      </c>
      <c r="EC41" s="39" t="s">
        <v>121</v>
      </c>
      <c r="ED41" s="39" t="s">
        <v>121</v>
      </c>
      <c r="EE41" s="39" t="s">
        <v>121</v>
      </c>
      <c r="EF41" s="39" t="s">
        <v>121</v>
      </c>
      <c r="EG41" s="39" t="s">
        <v>121</v>
      </c>
      <c r="EH41" s="39" t="s">
        <v>121</v>
      </c>
      <c r="EI41" s="39" t="s">
        <v>121</v>
      </c>
      <c r="EJ41" s="39" t="s">
        <v>121</v>
      </c>
      <c r="EK41" s="39" t="s">
        <v>121</v>
      </c>
    </row>
    <row r="42" spans="1:141" s="39" customFormat="1" ht="15" customHeight="1" x14ac:dyDescent="0.25">
      <c r="A42" s="72">
        <v>42</v>
      </c>
      <c r="B42" s="40" t="s">
        <v>293</v>
      </c>
      <c r="C42" s="91" t="s">
        <v>121</v>
      </c>
      <c r="D42" s="86" t="s">
        <v>121</v>
      </c>
      <c r="E42" s="92" t="s">
        <v>121</v>
      </c>
      <c r="F42" s="83" t="s">
        <v>121</v>
      </c>
      <c r="G42" s="83" t="s">
        <v>121</v>
      </c>
      <c r="H42" s="83" t="s">
        <v>121</v>
      </c>
      <c r="I42" s="83" t="s">
        <v>121</v>
      </c>
      <c r="J42" s="83" t="s">
        <v>121</v>
      </c>
      <c r="K42" s="83" t="s">
        <v>121</v>
      </c>
      <c r="L42" s="83" t="s">
        <v>121</v>
      </c>
      <c r="M42" s="83" t="s">
        <v>121</v>
      </c>
      <c r="N42" s="83" t="s">
        <v>121</v>
      </c>
      <c r="O42" s="83" t="s">
        <v>121</v>
      </c>
      <c r="P42" s="83">
        <v>673</v>
      </c>
      <c r="Q42" s="83">
        <v>801</v>
      </c>
      <c r="R42" s="404"/>
      <c r="S42" s="404"/>
      <c r="T42" s="404"/>
      <c r="U42" s="83">
        <v>1412</v>
      </c>
      <c r="V42" s="83">
        <v>1658.232</v>
      </c>
      <c r="W42" s="83">
        <v>1923.586</v>
      </c>
      <c r="X42" s="83">
        <v>2279.73</v>
      </c>
      <c r="Y42" s="83">
        <v>2712</v>
      </c>
      <c r="Z42" s="83">
        <v>3236.3150000000001</v>
      </c>
      <c r="AA42" s="83">
        <v>3717.8150000000001</v>
      </c>
      <c r="AB42" s="83">
        <v>4275.2380000000003</v>
      </c>
      <c r="AC42" s="83">
        <v>4802.7749999999996</v>
      </c>
      <c r="AD42" s="83">
        <v>5286.2380000000003</v>
      </c>
      <c r="AE42" s="83">
        <v>6103.6369999999997</v>
      </c>
      <c r="AF42" s="83">
        <v>12215.143</v>
      </c>
      <c r="AG42" s="83">
        <v>13806.545</v>
      </c>
      <c r="AH42" s="83">
        <v>7345.6419999999998</v>
      </c>
      <c r="AI42" s="83">
        <v>6898.2820000000002</v>
      </c>
      <c r="AJ42" s="45">
        <v>6588.9059999999999</v>
      </c>
      <c r="AK42" s="83">
        <v>7137.8919999999998</v>
      </c>
      <c r="AL42" s="83">
        <v>8380.1460000000006</v>
      </c>
      <c r="AM42" s="83">
        <v>11333.07</v>
      </c>
      <c r="AN42" s="83">
        <v>11363.083000000001</v>
      </c>
      <c r="AO42" s="83">
        <v>15882.715</v>
      </c>
      <c r="AP42" s="83">
        <v>16318.596</v>
      </c>
      <c r="AQ42" s="83">
        <v>16301.467000000001</v>
      </c>
      <c r="AR42" s="83">
        <v>17694.572</v>
      </c>
      <c r="AS42" s="83">
        <v>19200.016</v>
      </c>
      <c r="AT42" s="83">
        <v>23045.072</v>
      </c>
      <c r="AU42" s="83">
        <v>22045.995999999999</v>
      </c>
      <c r="AV42" s="83">
        <v>23298.947</v>
      </c>
      <c r="AW42" s="83">
        <v>23864.107</v>
      </c>
      <c r="AX42" s="83">
        <v>18900.439999999999</v>
      </c>
      <c r="AY42" s="83">
        <v>20498.859</v>
      </c>
      <c r="AZ42" s="83">
        <v>21254.785</v>
      </c>
      <c r="BA42" s="45">
        <v>20218.789000000001</v>
      </c>
      <c r="BB42" s="45">
        <v>17312.89</v>
      </c>
      <c r="BC42" s="45">
        <v>17319.041000000001</v>
      </c>
      <c r="BD42" s="45">
        <v>17077.238000000001</v>
      </c>
      <c r="BE42" s="45">
        <v>16883.583999999999</v>
      </c>
      <c r="BF42" s="45">
        <v>11322.001</v>
      </c>
      <c r="BG42" s="45">
        <v>11650.38</v>
      </c>
      <c r="BH42" s="45">
        <v>11113.235000000001</v>
      </c>
      <c r="BI42" s="45">
        <v>11555.523999999999</v>
      </c>
      <c r="BJ42" s="45">
        <v>16429.010999999999</v>
      </c>
      <c r="BK42" s="45">
        <v>16039.021000000001</v>
      </c>
      <c r="BL42" s="45">
        <v>16067.056</v>
      </c>
      <c r="BM42" s="39">
        <v>16281.994000000001</v>
      </c>
      <c r="BN42" s="39">
        <v>13201.717000000001</v>
      </c>
      <c r="BO42" s="39">
        <v>8263.42</v>
      </c>
      <c r="BP42" s="39">
        <v>2945.1610000000001</v>
      </c>
      <c r="BQ42" s="39">
        <v>3113.5810000000001</v>
      </c>
      <c r="BR42" s="39" t="s">
        <v>121</v>
      </c>
      <c r="BS42" s="39" t="s">
        <v>121</v>
      </c>
      <c r="BT42" s="39" t="s">
        <v>121</v>
      </c>
      <c r="BU42" s="39" t="s">
        <v>121</v>
      </c>
      <c r="BV42" s="39" t="s">
        <v>121</v>
      </c>
      <c r="BW42" s="39" t="s">
        <v>121</v>
      </c>
      <c r="BX42" s="39" t="s">
        <v>121</v>
      </c>
      <c r="BY42" s="39" t="s">
        <v>121</v>
      </c>
      <c r="BZ42" s="39" t="s">
        <v>121</v>
      </c>
      <c r="CA42" s="39" t="s">
        <v>121</v>
      </c>
      <c r="CB42" s="39" t="s">
        <v>121</v>
      </c>
      <c r="CC42" s="39" t="s">
        <v>121</v>
      </c>
      <c r="CD42" s="39" t="s">
        <v>121</v>
      </c>
      <c r="CE42" s="39" t="s">
        <v>121</v>
      </c>
      <c r="CF42" s="39" t="s">
        <v>121</v>
      </c>
      <c r="CG42" s="39" t="s">
        <v>121</v>
      </c>
      <c r="CH42" s="39" t="s">
        <v>121</v>
      </c>
      <c r="CI42" s="39" t="s">
        <v>121</v>
      </c>
      <c r="CJ42" s="39" t="s">
        <v>121</v>
      </c>
      <c r="CK42" s="39" t="s">
        <v>121</v>
      </c>
      <c r="CL42" s="39" t="s">
        <v>121</v>
      </c>
      <c r="CM42" s="39" t="s">
        <v>121</v>
      </c>
      <c r="CN42" s="39" t="s">
        <v>121</v>
      </c>
      <c r="CO42" s="39" t="s">
        <v>121</v>
      </c>
      <c r="CP42" s="39" t="s">
        <v>121</v>
      </c>
      <c r="CQ42" s="39" t="s">
        <v>121</v>
      </c>
      <c r="CR42" s="39" t="s">
        <v>121</v>
      </c>
      <c r="CS42" s="39" t="s">
        <v>121</v>
      </c>
      <c r="CT42" s="39" t="s">
        <v>121</v>
      </c>
      <c r="CU42" s="39" t="s">
        <v>121</v>
      </c>
      <c r="CV42" s="39" t="s">
        <v>121</v>
      </c>
      <c r="CW42" s="39" t="s">
        <v>121</v>
      </c>
      <c r="CX42" s="39" t="s">
        <v>121</v>
      </c>
      <c r="CY42" s="39" t="s">
        <v>121</v>
      </c>
      <c r="CZ42" s="39" t="s">
        <v>121</v>
      </c>
      <c r="DA42" s="39" t="s">
        <v>121</v>
      </c>
      <c r="DB42" s="39" t="s">
        <v>121</v>
      </c>
      <c r="DC42" s="39" t="s">
        <v>121</v>
      </c>
      <c r="DD42" s="39" t="s">
        <v>121</v>
      </c>
      <c r="DE42" s="39" t="s">
        <v>121</v>
      </c>
      <c r="DF42" s="39" t="s">
        <v>121</v>
      </c>
      <c r="DG42" s="39" t="s">
        <v>121</v>
      </c>
      <c r="DH42" s="39" t="s">
        <v>121</v>
      </c>
      <c r="DI42" s="39" t="s">
        <v>121</v>
      </c>
      <c r="DJ42" s="39" t="s">
        <v>121</v>
      </c>
      <c r="DK42" s="39" t="s">
        <v>121</v>
      </c>
      <c r="DL42" s="39" t="s">
        <v>121</v>
      </c>
      <c r="DM42" s="39" t="s">
        <v>121</v>
      </c>
      <c r="DN42" s="39" t="s">
        <v>121</v>
      </c>
      <c r="DO42" s="39" t="s">
        <v>121</v>
      </c>
      <c r="DP42" s="39" t="s">
        <v>121</v>
      </c>
      <c r="DQ42" s="39" t="s">
        <v>121</v>
      </c>
      <c r="DR42" s="39" t="s">
        <v>121</v>
      </c>
      <c r="DS42" s="39" t="s">
        <v>121</v>
      </c>
      <c r="DT42" s="39" t="s">
        <v>121</v>
      </c>
      <c r="DU42" s="39" t="s">
        <v>121</v>
      </c>
      <c r="DV42" s="39" t="s">
        <v>121</v>
      </c>
      <c r="DW42" s="39" t="s">
        <v>121</v>
      </c>
      <c r="DX42" s="39" t="s">
        <v>121</v>
      </c>
      <c r="DY42" s="39" t="s">
        <v>121</v>
      </c>
      <c r="DZ42" s="39" t="s">
        <v>121</v>
      </c>
      <c r="EA42" s="39" t="s">
        <v>121</v>
      </c>
      <c r="EB42" s="39" t="s">
        <v>121</v>
      </c>
      <c r="EC42" s="39" t="s">
        <v>121</v>
      </c>
      <c r="ED42" s="39" t="s">
        <v>121</v>
      </c>
      <c r="EE42" s="39" t="s">
        <v>121</v>
      </c>
      <c r="EF42" s="39" t="s">
        <v>121</v>
      </c>
      <c r="EG42" s="39" t="s">
        <v>121</v>
      </c>
      <c r="EH42" s="39" t="s">
        <v>121</v>
      </c>
      <c r="EI42" s="39" t="s">
        <v>121</v>
      </c>
      <c r="EJ42" s="39" t="s">
        <v>121</v>
      </c>
      <c r="EK42" s="39" t="s">
        <v>121</v>
      </c>
    </row>
    <row r="43" spans="1:141" s="39" customFormat="1" ht="15" customHeight="1" x14ac:dyDescent="0.25">
      <c r="A43" s="72">
        <v>43</v>
      </c>
      <c r="B43" s="40" t="s">
        <v>294</v>
      </c>
      <c r="C43" s="91">
        <v>0.10396164521826901</v>
      </c>
      <c r="D43" s="86">
        <v>-2.365543405489845E-2</v>
      </c>
      <c r="E43" s="92">
        <v>-5.138768430182139E-2</v>
      </c>
      <c r="F43" s="83">
        <v>4375</v>
      </c>
      <c r="G43" s="83">
        <v>3963</v>
      </c>
      <c r="H43" s="83">
        <v>6913</v>
      </c>
      <c r="I43" s="83">
        <v>4612</v>
      </c>
      <c r="J43" s="83">
        <v>4481</v>
      </c>
      <c r="K43" s="83">
        <v>4056</v>
      </c>
      <c r="L43" s="83">
        <v>4622</v>
      </c>
      <c r="M43" s="83">
        <v>4651</v>
      </c>
      <c r="N43" s="83">
        <v>4716</v>
      </c>
      <c r="O43" s="83">
        <v>5107</v>
      </c>
      <c r="P43" s="83">
        <v>4821</v>
      </c>
      <c r="Q43" s="83">
        <v>5337</v>
      </c>
      <c r="R43" s="404"/>
      <c r="S43" s="404"/>
      <c r="T43" s="404"/>
      <c r="U43" s="83">
        <v>5798</v>
      </c>
      <c r="V43" s="83">
        <v>5956.9269999999997</v>
      </c>
      <c r="W43" s="83">
        <v>6074.4279999999999</v>
      </c>
      <c r="X43" s="83">
        <v>7739.91</v>
      </c>
      <c r="Y43" s="83">
        <v>8150</v>
      </c>
      <c r="Z43" s="83">
        <v>8465.2029999999995</v>
      </c>
      <c r="AA43" s="83">
        <v>8997.8680000000004</v>
      </c>
      <c r="AB43" s="83">
        <v>8812.3459999999995</v>
      </c>
      <c r="AC43" s="83">
        <v>7231.2330000000002</v>
      </c>
      <c r="AD43" s="83">
        <v>7403.1180000000004</v>
      </c>
      <c r="AE43" s="83">
        <v>6559.7150000000001</v>
      </c>
      <c r="AF43" s="83">
        <v>8290.8240000000005</v>
      </c>
      <c r="AG43" s="83">
        <v>7977.0649999999996</v>
      </c>
      <c r="AH43" s="83">
        <v>7137.4830000000002</v>
      </c>
      <c r="AI43" s="83">
        <v>7257.7950000000001</v>
      </c>
      <c r="AJ43" s="45">
        <v>7022.2879999999996</v>
      </c>
      <c r="AK43" s="83">
        <v>7253.3450000000003</v>
      </c>
      <c r="AL43" s="83">
        <v>6530.0129999999999</v>
      </c>
      <c r="AM43" s="83">
        <v>7350.8760000000002</v>
      </c>
      <c r="AN43" s="83">
        <v>6966.8119999999999</v>
      </c>
      <c r="AO43" s="83">
        <v>7882.2839999999997</v>
      </c>
      <c r="AP43" s="83">
        <v>17335.918000000001</v>
      </c>
      <c r="AQ43" s="83">
        <v>7397.8119999999999</v>
      </c>
      <c r="AR43" s="83">
        <v>16193.317999999999</v>
      </c>
      <c r="AS43" s="83">
        <v>17441.146000000001</v>
      </c>
      <c r="AT43" s="83">
        <v>16001.814</v>
      </c>
      <c r="AU43" s="83">
        <v>15768.761</v>
      </c>
      <c r="AV43" s="83">
        <v>17598.036</v>
      </c>
      <c r="AW43" s="83">
        <v>16405.964</v>
      </c>
      <c r="AX43" s="83">
        <v>12087.833000000001</v>
      </c>
      <c r="AY43" s="83">
        <v>8054.23</v>
      </c>
      <c r="AZ43" s="83">
        <v>10458.544</v>
      </c>
      <c r="BA43" s="45">
        <v>8507.34</v>
      </c>
      <c r="BB43" s="45">
        <v>9505.7839999999997</v>
      </c>
      <c r="BC43" s="45">
        <v>6366.915</v>
      </c>
      <c r="BD43" s="45">
        <v>4309.4579999999996</v>
      </c>
      <c r="BE43" s="45">
        <v>5244.3339999999998</v>
      </c>
      <c r="BF43" s="45">
        <v>7133.741</v>
      </c>
      <c r="BG43" s="45">
        <v>8995.6489999999994</v>
      </c>
      <c r="BH43" s="45">
        <v>8318.5669999999991</v>
      </c>
      <c r="BI43" s="45">
        <v>9356.4439999999995</v>
      </c>
      <c r="BJ43" s="45">
        <v>12719.817999999999</v>
      </c>
      <c r="BK43" s="45">
        <v>10286.663</v>
      </c>
      <c r="BL43" s="45">
        <v>11760.227999999999</v>
      </c>
      <c r="BM43" s="39">
        <v>10365.23</v>
      </c>
      <c r="BN43" s="39">
        <v>9568.9920000000002</v>
      </c>
      <c r="BO43" s="39">
        <v>9052.5789999999997</v>
      </c>
      <c r="BP43" s="39">
        <v>5326.326</v>
      </c>
      <c r="BQ43" s="39">
        <v>5150.7740000000003</v>
      </c>
      <c r="BR43" s="39" t="s">
        <v>121</v>
      </c>
      <c r="BS43" s="39" t="s">
        <v>121</v>
      </c>
      <c r="BT43" s="39" t="s">
        <v>121</v>
      </c>
      <c r="BU43" s="39" t="s">
        <v>121</v>
      </c>
      <c r="BV43" s="39" t="s">
        <v>121</v>
      </c>
      <c r="BW43" s="39" t="s">
        <v>121</v>
      </c>
      <c r="BX43" s="39" t="s">
        <v>121</v>
      </c>
      <c r="BY43" s="39" t="s">
        <v>121</v>
      </c>
      <c r="BZ43" s="39" t="s">
        <v>121</v>
      </c>
      <c r="CA43" s="39" t="s">
        <v>121</v>
      </c>
      <c r="CB43" s="39" t="s">
        <v>121</v>
      </c>
      <c r="CC43" s="39" t="s">
        <v>121</v>
      </c>
      <c r="CD43" s="39" t="s">
        <v>121</v>
      </c>
      <c r="CE43" s="39" t="s">
        <v>121</v>
      </c>
      <c r="CF43" s="39" t="s">
        <v>121</v>
      </c>
      <c r="CG43" s="39" t="s">
        <v>121</v>
      </c>
      <c r="CH43" s="39" t="s">
        <v>121</v>
      </c>
      <c r="CI43" s="39" t="s">
        <v>121</v>
      </c>
      <c r="CJ43" s="39" t="s">
        <v>121</v>
      </c>
      <c r="CK43" s="39" t="s">
        <v>121</v>
      </c>
      <c r="CL43" s="39" t="s">
        <v>121</v>
      </c>
      <c r="CM43" s="39" t="s">
        <v>121</v>
      </c>
      <c r="CN43" s="39" t="s">
        <v>121</v>
      </c>
      <c r="CO43" s="39" t="s">
        <v>121</v>
      </c>
      <c r="CP43" s="39" t="s">
        <v>121</v>
      </c>
      <c r="CQ43" s="39" t="s">
        <v>121</v>
      </c>
      <c r="CR43" s="39" t="s">
        <v>121</v>
      </c>
      <c r="CS43" s="39" t="s">
        <v>121</v>
      </c>
      <c r="CT43" s="39" t="s">
        <v>121</v>
      </c>
      <c r="CU43" s="39" t="s">
        <v>121</v>
      </c>
      <c r="CV43" s="39" t="s">
        <v>121</v>
      </c>
      <c r="CW43" s="39" t="s">
        <v>121</v>
      </c>
      <c r="CX43" s="39" t="s">
        <v>121</v>
      </c>
      <c r="CY43" s="39" t="s">
        <v>121</v>
      </c>
      <c r="CZ43" s="39" t="s">
        <v>121</v>
      </c>
      <c r="DA43" s="39" t="s">
        <v>121</v>
      </c>
      <c r="DB43" s="39" t="s">
        <v>121</v>
      </c>
      <c r="DC43" s="39" t="s">
        <v>121</v>
      </c>
      <c r="DD43" s="39" t="s">
        <v>121</v>
      </c>
      <c r="DE43" s="39" t="s">
        <v>121</v>
      </c>
      <c r="DF43" s="39" t="s">
        <v>121</v>
      </c>
      <c r="DG43" s="39" t="s">
        <v>121</v>
      </c>
      <c r="DH43" s="39" t="s">
        <v>121</v>
      </c>
      <c r="DI43" s="39" t="s">
        <v>121</v>
      </c>
      <c r="DJ43" s="39" t="s">
        <v>121</v>
      </c>
      <c r="DK43" s="39" t="s">
        <v>121</v>
      </c>
      <c r="DL43" s="39" t="s">
        <v>121</v>
      </c>
      <c r="DM43" s="39" t="s">
        <v>121</v>
      </c>
      <c r="DN43" s="39" t="s">
        <v>121</v>
      </c>
      <c r="DO43" s="39" t="s">
        <v>121</v>
      </c>
      <c r="DP43" s="39" t="s">
        <v>121</v>
      </c>
      <c r="DQ43" s="39" t="s">
        <v>121</v>
      </c>
      <c r="DR43" s="39" t="s">
        <v>121</v>
      </c>
      <c r="DS43" s="39" t="s">
        <v>121</v>
      </c>
      <c r="DT43" s="39" t="s">
        <v>121</v>
      </c>
      <c r="DU43" s="39" t="s">
        <v>121</v>
      </c>
      <c r="DV43" s="39" t="s">
        <v>121</v>
      </c>
      <c r="DW43" s="39" t="s">
        <v>121</v>
      </c>
      <c r="DX43" s="39" t="s">
        <v>121</v>
      </c>
      <c r="DY43" s="39" t="s">
        <v>121</v>
      </c>
      <c r="DZ43" s="39" t="s">
        <v>121</v>
      </c>
      <c r="EA43" s="39" t="s">
        <v>121</v>
      </c>
      <c r="EB43" s="39" t="s">
        <v>121</v>
      </c>
      <c r="EC43" s="39" t="s">
        <v>121</v>
      </c>
      <c r="ED43" s="39" t="s">
        <v>121</v>
      </c>
      <c r="EE43" s="39" t="s">
        <v>121</v>
      </c>
      <c r="EF43" s="39" t="s">
        <v>121</v>
      </c>
      <c r="EG43" s="39" t="s">
        <v>121</v>
      </c>
      <c r="EH43" s="39" t="s">
        <v>121</v>
      </c>
      <c r="EI43" s="39" t="s">
        <v>121</v>
      </c>
      <c r="EJ43" s="39" t="s">
        <v>121</v>
      </c>
      <c r="EK43" s="39" t="s">
        <v>121</v>
      </c>
    </row>
    <row r="44" spans="1:141" s="39" customFormat="1" ht="15" customHeight="1" x14ac:dyDescent="0.25">
      <c r="A44" s="72">
        <v>44</v>
      </c>
      <c r="B44" s="40" t="s">
        <v>295</v>
      </c>
      <c r="C44" s="91" t="s">
        <v>121</v>
      </c>
      <c r="D44" s="86" t="s">
        <v>121</v>
      </c>
      <c r="E44" s="92" t="s">
        <v>121</v>
      </c>
      <c r="F44" s="83" t="s">
        <v>121</v>
      </c>
      <c r="G44" s="83" t="s">
        <v>121</v>
      </c>
      <c r="H44" s="83" t="s">
        <v>121</v>
      </c>
      <c r="I44" s="83" t="s">
        <v>121</v>
      </c>
      <c r="J44" s="83" t="s">
        <v>121</v>
      </c>
      <c r="K44" s="83" t="s">
        <v>121</v>
      </c>
      <c r="L44" s="83" t="s">
        <v>121</v>
      </c>
      <c r="M44" s="83" t="s">
        <v>121</v>
      </c>
      <c r="N44" s="83" t="s">
        <v>121</v>
      </c>
      <c r="O44" s="83" t="s">
        <v>121</v>
      </c>
      <c r="P44" s="83" t="s">
        <v>121</v>
      </c>
      <c r="Q44" s="83" t="s">
        <v>121</v>
      </c>
      <c r="R44" s="404"/>
      <c r="S44" s="404"/>
      <c r="T44" s="404"/>
      <c r="U44" s="83" t="s">
        <v>121</v>
      </c>
      <c r="V44" s="83" t="s">
        <v>121</v>
      </c>
      <c r="W44" s="83" t="s">
        <v>121</v>
      </c>
      <c r="X44" s="83" t="s">
        <v>121</v>
      </c>
      <c r="Y44" s="83" t="s">
        <v>121</v>
      </c>
      <c r="Z44" s="83" t="s">
        <v>121</v>
      </c>
      <c r="AA44" s="83" t="s">
        <v>121</v>
      </c>
      <c r="AB44" s="83" t="s">
        <v>121</v>
      </c>
      <c r="AC44" s="83" t="s">
        <v>121</v>
      </c>
      <c r="AD44" s="83">
        <v>1465.8969999999999</v>
      </c>
      <c r="AE44" s="83">
        <v>1466.45</v>
      </c>
      <c r="AF44" s="83">
        <v>2235.7669999999998</v>
      </c>
      <c r="AG44" s="83">
        <v>1465.7190000000001</v>
      </c>
      <c r="AH44" s="83">
        <v>1466.1210000000001</v>
      </c>
      <c r="AI44" s="83">
        <v>1466.191</v>
      </c>
      <c r="AJ44" s="45">
        <v>1813.4269999999999</v>
      </c>
      <c r="AK44" s="83">
        <v>1903.7439999999999</v>
      </c>
      <c r="AL44" s="83">
        <v>2239.8470000000002</v>
      </c>
      <c r="AM44" s="83">
        <v>2227.652</v>
      </c>
      <c r="AN44" s="83">
        <v>2157.2449999999999</v>
      </c>
      <c r="AO44" s="83">
        <v>2504.143</v>
      </c>
      <c r="AP44" s="83">
        <v>2405.1109999999999</v>
      </c>
      <c r="AQ44" s="83">
        <v>2694.5219999999999</v>
      </c>
      <c r="AR44" s="83">
        <v>2389.2579999999998</v>
      </c>
      <c r="AS44" s="83">
        <v>2642.299</v>
      </c>
      <c r="AT44" s="83">
        <v>2568.3629999999998</v>
      </c>
      <c r="AU44" s="83">
        <v>3249.4659999999999</v>
      </c>
      <c r="AV44" s="83">
        <v>3325.8789999999999</v>
      </c>
      <c r="AW44" s="83">
        <v>5671.1790000000001</v>
      </c>
      <c r="AX44" s="83">
        <v>4922.75</v>
      </c>
      <c r="AY44" s="83">
        <v>6964.6450000000004</v>
      </c>
      <c r="AZ44" s="83">
        <v>7356.1319999999996</v>
      </c>
      <c r="BA44" s="45">
        <v>7579.4260000000004</v>
      </c>
      <c r="BB44" s="45">
        <v>7776.0479999999998</v>
      </c>
      <c r="BC44" s="45">
        <v>9557.9189999999999</v>
      </c>
      <c r="BD44" s="45">
        <v>9234.0669999999991</v>
      </c>
      <c r="BE44" s="45">
        <v>11410.628000000001</v>
      </c>
      <c r="BF44" s="45">
        <v>11235.492</v>
      </c>
      <c r="BG44" s="45">
        <v>12065.945</v>
      </c>
      <c r="BH44" s="45">
        <v>11078.949000000001</v>
      </c>
      <c r="BI44" s="45">
        <v>12078.255999999999</v>
      </c>
      <c r="BJ44" s="45">
        <v>13440.15</v>
      </c>
      <c r="BK44" s="45">
        <v>12011.038</v>
      </c>
      <c r="BL44" s="45">
        <v>12367.001</v>
      </c>
      <c r="BM44" s="39">
        <v>13121.108</v>
      </c>
      <c r="BN44" s="39">
        <v>10941.668</v>
      </c>
      <c r="BO44" s="39">
        <v>10014.017</v>
      </c>
      <c r="BP44" s="39">
        <v>10289.808000000001</v>
      </c>
      <c r="BQ44" s="39">
        <v>9206.6450000000004</v>
      </c>
      <c r="BR44" s="39" t="s">
        <v>121</v>
      </c>
      <c r="BS44" s="39" t="s">
        <v>121</v>
      </c>
      <c r="BT44" s="39" t="s">
        <v>121</v>
      </c>
      <c r="BU44" s="39" t="s">
        <v>121</v>
      </c>
      <c r="BV44" s="39" t="s">
        <v>121</v>
      </c>
      <c r="BW44" s="39" t="s">
        <v>121</v>
      </c>
      <c r="BX44" s="39" t="s">
        <v>121</v>
      </c>
      <c r="BY44" s="39" t="s">
        <v>121</v>
      </c>
      <c r="BZ44" s="39" t="s">
        <v>121</v>
      </c>
      <c r="CA44" s="39" t="s">
        <v>121</v>
      </c>
      <c r="CB44" s="39" t="s">
        <v>121</v>
      </c>
      <c r="CC44" s="39" t="s">
        <v>121</v>
      </c>
      <c r="CD44" s="39" t="s">
        <v>121</v>
      </c>
      <c r="CE44" s="39" t="s">
        <v>121</v>
      </c>
      <c r="CF44" s="39" t="s">
        <v>121</v>
      </c>
      <c r="CG44" s="39" t="s">
        <v>121</v>
      </c>
      <c r="CH44" s="39" t="s">
        <v>121</v>
      </c>
      <c r="CI44" s="39" t="s">
        <v>121</v>
      </c>
      <c r="CJ44" s="39" t="s">
        <v>121</v>
      </c>
      <c r="CK44" s="39" t="s">
        <v>121</v>
      </c>
      <c r="CL44" s="39" t="s">
        <v>121</v>
      </c>
      <c r="CM44" s="39" t="s">
        <v>121</v>
      </c>
      <c r="CN44" s="39" t="s">
        <v>121</v>
      </c>
      <c r="CO44" s="39" t="s">
        <v>121</v>
      </c>
      <c r="CP44" s="39" t="s">
        <v>121</v>
      </c>
      <c r="CQ44" s="39" t="s">
        <v>121</v>
      </c>
      <c r="CR44" s="39" t="s">
        <v>121</v>
      </c>
      <c r="CS44" s="39" t="s">
        <v>121</v>
      </c>
      <c r="CT44" s="39" t="s">
        <v>121</v>
      </c>
      <c r="CU44" s="39" t="s">
        <v>121</v>
      </c>
      <c r="CV44" s="39" t="s">
        <v>121</v>
      </c>
      <c r="CW44" s="39" t="s">
        <v>121</v>
      </c>
      <c r="CX44" s="39" t="s">
        <v>121</v>
      </c>
      <c r="CY44" s="39" t="s">
        <v>121</v>
      </c>
      <c r="CZ44" s="39" t="s">
        <v>121</v>
      </c>
      <c r="DA44" s="39" t="s">
        <v>121</v>
      </c>
      <c r="DB44" s="39" t="s">
        <v>121</v>
      </c>
      <c r="DC44" s="39" t="s">
        <v>121</v>
      </c>
      <c r="DD44" s="39" t="s">
        <v>121</v>
      </c>
      <c r="DE44" s="39" t="s">
        <v>121</v>
      </c>
      <c r="DF44" s="39" t="s">
        <v>121</v>
      </c>
      <c r="DG44" s="39" t="s">
        <v>121</v>
      </c>
      <c r="DH44" s="39" t="s">
        <v>121</v>
      </c>
      <c r="DI44" s="39" t="s">
        <v>121</v>
      </c>
      <c r="DJ44" s="39" t="s">
        <v>121</v>
      </c>
      <c r="DK44" s="39" t="s">
        <v>121</v>
      </c>
      <c r="DL44" s="39" t="s">
        <v>121</v>
      </c>
      <c r="DM44" s="39" t="s">
        <v>121</v>
      </c>
      <c r="DN44" s="39" t="s">
        <v>121</v>
      </c>
      <c r="DO44" s="39" t="s">
        <v>121</v>
      </c>
      <c r="DP44" s="39" t="s">
        <v>121</v>
      </c>
      <c r="DQ44" s="39" t="s">
        <v>121</v>
      </c>
      <c r="DR44" s="39" t="s">
        <v>121</v>
      </c>
      <c r="DS44" s="39" t="s">
        <v>121</v>
      </c>
      <c r="DT44" s="39" t="s">
        <v>121</v>
      </c>
      <c r="DU44" s="39" t="s">
        <v>121</v>
      </c>
      <c r="DV44" s="39" t="s">
        <v>121</v>
      </c>
      <c r="DW44" s="39" t="s">
        <v>121</v>
      </c>
      <c r="DX44" s="39" t="s">
        <v>121</v>
      </c>
      <c r="DY44" s="39" t="s">
        <v>121</v>
      </c>
      <c r="DZ44" s="39" t="s">
        <v>121</v>
      </c>
      <c r="EA44" s="39" t="s">
        <v>121</v>
      </c>
      <c r="EB44" s="39" t="s">
        <v>121</v>
      </c>
      <c r="EC44" s="39" t="s">
        <v>121</v>
      </c>
      <c r="ED44" s="39" t="s">
        <v>121</v>
      </c>
      <c r="EE44" s="39" t="s">
        <v>121</v>
      </c>
      <c r="EF44" s="39" t="s">
        <v>121</v>
      </c>
      <c r="EG44" s="39" t="s">
        <v>121</v>
      </c>
      <c r="EH44" s="39" t="s">
        <v>121</v>
      </c>
      <c r="EI44" s="39" t="s">
        <v>121</v>
      </c>
      <c r="EJ44" s="39" t="s">
        <v>121</v>
      </c>
      <c r="EK44" s="39" t="s">
        <v>121</v>
      </c>
    </row>
    <row r="45" spans="1:141" s="39" customFormat="1" ht="15" hidden="1" customHeight="1" x14ac:dyDescent="0.25">
      <c r="A45" s="72">
        <v>45</v>
      </c>
      <c r="B45" s="40" t="s">
        <v>296</v>
      </c>
      <c r="C45" s="91" t="s">
        <v>121</v>
      </c>
      <c r="D45" s="86" t="e">
        <v>#DIV/0!</v>
      </c>
      <c r="E45" s="92" t="s">
        <v>121</v>
      </c>
      <c r="F45" s="83" t="s">
        <v>121</v>
      </c>
      <c r="G45" s="83" t="s">
        <v>121</v>
      </c>
      <c r="H45" s="83" t="s">
        <v>121</v>
      </c>
      <c r="I45" s="83" t="s">
        <v>121</v>
      </c>
      <c r="J45" s="83" t="s">
        <v>121</v>
      </c>
      <c r="K45" s="83" t="s">
        <v>121</v>
      </c>
      <c r="L45" s="83" t="s">
        <v>121</v>
      </c>
      <c r="M45" s="83" t="s">
        <v>121</v>
      </c>
      <c r="N45" s="83" t="s">
        <v>121</v>
      </c>
      <c r="O45" s="83" t="s">
        <v>121</v>
      </c>
      <c r="P45" s="83" t="s">
        <v>121</v>
      </c>
      <c r="Q45" s="83" t="s">
        <v>121</v>
      </c>
      <c r="R45" s="404"/>
      <c r="S45" s="404"/>
      <c r="T45" s="404"/>
      <c r="U45" s="83" t="s">
        <v>121</v>
      </c>
      <c r="V45" s="83" t="s">
        <v>121</v>
      </c>
      <c r="W45" s="83" t="s">
        <v>121</v>
      </c>
      <c r="X45" s="83" t="s">
        <v>121</v>
      </c>
      <c r="Y45" s="83" t="s">
        <v>121</v>
      </c>
      <c r="Z45" s="83" t="s">
        <v>121</v>
      </c>
      <c r="AA45" s="83" t="s">
        <v>121</v>
      </c>
      <c r="AB45" s="83" t="s">
        <v>121</v>
      </c>
      <c r="AC45" s="83" t="s">
        <v>121</v>
      </c>
      <c r="AD45" s="83" t="s">
        <v>121</v>
      </c>
      <c r="AE45" s="83" t="s">
        <v>121</v>
      </c>
      <c r="AF45" s="83" t="s">
        <v>121</v>
      </c>
      <c r="AG45" s="83" t="s">
        <v>121</v>
      </c>
      <c r="AH45" s="83" t="s">
        <v>121</v>
      </c>
      <c r="AI45" s="83" t="s">
        <v>121</v>
      </c>
      <c r="AJ45" s="45" t="s">
        <v>121</v>
      </c>
      <c r="AK45" s="83" t="s">
        <v>121</v>
      </c>
      <c r="AL45" s="83" t="s">
        <v>121</v>
      </c>
      <c r="AM45" s="83" t="s">
        <v>121</v>
      </c>
      <c r="AN45" s="83" t="s">
        <v>121</v>
      </c>
      <c r="AO45" s="83" t="s">
        <v>121</v>
      </c>
      <c r="AP45" s="83" t="s">
        <v>121</v>
      </c>
      <c r="AQ45" s="83" t="s">
        <v>121</v>
      </c>
      <c r="AR45" s="83" t="s">
        <v>121</v>
      </c>
      <c r="AS45" s="83" t="s">
        <v>121</v>
      </c>
      <c r="AT45" s="83" t="s">
        <v>121</v>
      </c>
      <c r="AU45" s="83" t="s">
        <v>121</v>
      </c>
      <c r="AV45" s="83" t="s">
        <v>121</v>
      </c>
      <c r="AW45" s="83" t="s">
        <v>121</v>
      </c>
      <c r="AX45" s="83" t="s">
        <v>121</v>
      </c>
      <c r="AY45" s="83" t="s">
        <v>121</v>
      </c>
      <c r="AZ45" s="83" t="s">
        <v>121</v>
      </c>
      <c r="BA45" s="45" t="s">
        <v>121</v>
      </c>
      <c r="BB45" s="45" t="s">
        <v>121</v>
      </c>
      <c r="BC45" s="45" t="s">
        <v>121</v>
      </c>
      <c r="BD45" s="45" t="s">
        <v>121</v>
      </c>
      <c r="BE45" s="45" t="s">
        <v>121</v>
      </c>
      <c r="BF45" s="45">
        <v>1564.172</v>
      </c>
      <c r="BG45" s="45">
        <v>881.97</v>
      </c>
      <c r="BH45" s="45">
        <v>939.90200000000004</v>
      </c>
      <c r="BI45" s="45">
        <v>1157.902</v>
      </c>
      <c r="BJ45" s="45">
        <v>1435.7370000000001</v>
      </c>
      <c r="BK45" s="45">
        <v>653.13499999999999</v>
      </c>
      <c r="BL45" s="45">
        <v>949.09400000000005</v>
      </c>
      <c r="BM45" s="39">
        <v>474.22899999999998</v>
      </c>
      <c r="BN45" s="39">
        <v>478.74</v>
      </c>
      <c r="BO45" s="39">
        <v>276.56700000000001</v>
      </c>
      <c r="BP45" s="39">
        <v>277.33100000000002</v>
      </c>
      <c r="BQ45" s="39">
        <v>414.55399999999997</v>
      </c>
      <c r="BR45" s="39" t="s">
        <v>121</v>
      </c>
      <c r="BS45" s="39" t="s">
        <v>121</v>
      </c>
      <c r="BT45" s="39" t="s">
        <v>121</v>
      </c>
      <c r="BU45" s="39" t="s">
        <v>121</v>
      </c>
      <c r="BV45" s="39" t="s">
        <v>121</v>
      </c>
      <c r="BW45" s="39" t="s">
        <v>121</v>
      </c>
      <c r="BX45" s="39" t="s">
        <v>121</v>
      </c>
      <c r="BY45" s="39" t="s">
        <v>121</v>
      </c>
      <c r="BZ45" s="39" t="s">
        <v>121</v>
      </c>
      <c r="CA45" s="39" t="s">
        <v>121</v>
      </c>
      <c r="CB45" s="39" t="s">
        <v>121</v>
      </c>
      <c r="CC45" s="39" t="s">
        <v>121</v>
      </c>
      <c r="CD45" s="39" t="s">
        <v>121</v>
      </c>
      <c r="CE45" s="39" t="s">
        <v>121</v>
      </c>
      <c r="CF45" s="39" t="s">
        <v>121</v>
      </c>
      <c r="CG45" s="39" t="s">
        <v>121</v>
      </c>
      <c r="CH45" s="39" t="s">
        <v>121</v>
      </c>
      <c r="CI45" s="39" t="s">
        <v>121</v>
      </c>
      <c r="CJ45" s="39" t="s">
        <v>121</v>
      </c>
      <c r="CK45" s="39" t="s">
        <v>121</v>
      </c>
      <c r="CL45" s="39" t="s">
        <v>121</v>
      </c>
      <c r="CM45" s="39" t="s">
        <v>121</v>
      </c>
      <c r="CN45" s="39" t="s">
        <v>121</v>
      </c>
      <c r="CO45" s="39" t="s">
        <v>121</v>
      </c>
      <c r="CP45" s="39" t="s">
        <v>121</v>
      </c>
      <c r="CQ45" s="39" t="s">
        <v>121</v>
      </c>
      <c r="CR45" s="39" t="s">
        <v>121</v>
      </c>
      <c r="CS45" s="39" t="s">
        <v>121</v>
      </c>
      <c r="CT45" s="39" t="s">
        <v>121</v>
      </c>
      <c r="CU45" s="39" t="s">
        <v>121</v>
      </c>
      <c r="CV45" s="39" t="s">
        <v>121</v>
      </c>
      <c r="CW45" s="39" t="s">
        <v>121</v>
      </c>
      <c r="CX45" s="39" t="s">
        <v>121</v>
      </c>
      <c r="CY45" s="39" t="s">
        <v>121</v>
      </c>
      <c r="CZ45" s="39" t="s">
        <v>121</v>
      </c>
      <c r="DA45" s="39" t="s">
        <v>121</v>
      </c>
      <c r="DB45" s="39" t="s">
        <v>121</v>
      </c>
      <c r="DC45" s="39" t="s">
        <v>121</v>
      </c>
      <c r="DD45" s="39" t="s">
        <v>121</v>
      </c>
      <c r="DE45" s="39" t="s">
        <v>121</v>
      </c>
      <c r="DF45" s="39" t="s">
        <v>121</v>
      </c>
      <c r="DG45" s="39" t="s">
        <v>121</v>
      </c>
      <c r="DH45" s="39" t="s">
        <v>121</v>
      </c>
      <c r="DI45" s="39" t="s">
        <v>121</v>
      </c>
      <c r="DJ45" s="39" t="s">
        <v>121</v>
      </c>
      <c r="DK45" s="39" t="s">
        <v>121</v>
      </c>
      <c r="DL45" s="39" t="s">
        <v>121</v>
      </c>
      <c r="DM45" s="39" t="s">
        <v>121</v>
      </c>
      <c r="DN45" s="39" t="s">
        <v>121</v>
      </c>
      <c r="DO45" s="39" t="s">
        <v>121</v>
      </c>
      <c r="DP45" s="39" t="s">
        <v>121</v>
      </c>
      <c r="DQ45" s="39" t="s">
        <v>121</v>
      </c>
      <c r="DR45" s="39" t="s">
        <v>121</v>
      </c>
      <c r="DS45" s="39" t="s">
        <v>121</v>
      </c>
      <c r="DT45" s="39" t="s">
        <v>121</v>
      </c>
      <c r="DU45" s="39" t="s">
        <v>121</v>
      </c>
      <c r="DV45" s="39" t="s">
        <v>121</v>
      </c>
      <c r="DW45" s="39" t="s">
        <v>121</v>
      </c>
      <c r="DX45" s="39" t="s">
        <v>121</v>
      </c>
      <c r="DY45" s="39" t="s">
        <v>121</v>
      </c>
      <c r="DZ45" s="39" t="s">
        <v>121</v>
      </c>
      <c r="EA45" s="39" t="s">
        <v>121</v>
      </c>
      <c r="EB45" s="39" t="s">
        <v>121</v>
      </c>
      <c r="EC45" s="39" t="s">
        <v>121</v>
      </c>
      <c r="ED45" s="39" t="s">
        <v>121</v>
      </c>
      <c r="EE45" s="39" t="s">
        <v>121</v>
      </c>
      <c r="EF45" s="39" t="s">
        <v>121</v>
      </c>
      <c r="EG45" s="39" t="s">
        <v>121</v>
      </c>
      <c r="EH45" s="39" t="s">
        <v>121</v>
      </c>
      <c r="EI45" s="39" t="s">
        <v>121</v>
      </c>
      <c r="EJ45" s="39" t="s">
        <v>121</v>
      </c>
      <c r="EK45" s="39" t="s">
        <v>121</v>
      </c>
    </row>
    <row r="46" spans="1:141" ht="15" customHeight="1" x14ac:dyDescent="0.25">
      <c r="A46" s="72">
        <v>46</v>
      </c>
      <c r="B46" s="5" t="s">
        <v>297</v>
      </c>
      <c r="C46" s="91" t="s">
        <v>121</v>
      </c>
      <c r="D46" s="86" t="s">
        <v>121</v>
      </c>
      <c r="E46" s="92" t="s">
        <v>121</v>
      </c>
      <c r="F46" s="83">
        <v>16031</v>
      </c>
      <c r="G46" s="83">
        <v>18749</v>
      </c>
      <c r="H46" s="83">
        <v>25940</v>
      </c>
      <c r="I46" s="83">
        <v>20267</v>
      </c>
      <c r="J46" s="22">
        <v>20800</v>
      </c>
      <c r="K46" s="22">
        <v>20117</v>
      </c>
      <c r="L46" s="22">
        <v>18095</v>
      </c>
      <c r="M46" s="83">
        <v>14544</v>
      </c>
      <c r="N46" s="83">
        <v>24681</v>
      </c>
      <c r="O46" s="22">
        <v>19584</v>
      </c>
      <c r="P46" s="22">
        <v>15534</v>
      </c>
      <c r="Q46" s="22">
        <v>20402</v>
      </c>
      <c r="R46" s="404"/>
      <c r="S46" s="404"/>
      <c r="T46" s="404"/>
      <c r="U46" s="22">
        <v>11636</v>
      </c>
      <c r="V46" s="22">
        <v>11113.111000000001</v>
      </c>
      <c r="W46" s="22">
        <v>9868.009</v>
      </c>
      <c r="X46" s="22">
        <v>10948.17</v>
      </c>
      <c r="Y46" s="22">
        <v>9541</v>
      </c>
      <c r="Z46" s="22">
        <v>8434.7929999999997</v>
      </c>
      <c r="AA46" s="22">
        <v>5182.3580000000002</v>
      </c>
      <c r="AB46" s="22">
        <v>4618.6899999999996</v>
      </c>
      <c r="AC46" s="22">
        <v>5630.9809999999998</v>
      </c>
      <c r="AD46" s="22">
        <v>3836.1509999999998</v>
      </c>
      <c r="AE46" s="22">
        <v>5048.6959999999999</v>
      </c>
      <c r="AF46" s="22">
        <v>4748.8549999999996</v>
      </c>
      <c r="AG46" s="22">
        <v>4837.62</v>
      </c>
      <c r="AH46" s="22">
        <v>3265.2440000000001</v>
      </c>
      <c r="AI46" s="22">
        <v>2535.5540000000001</v>
      </c>
      <c r="AJ46" s="11">
        <v>2309.1709999999998</v>
      </c>
      <c r="AK46" s="22">
        <v>3584.9989999999998</v>
      </c>
      <c r="AL46" s="22">
        <v>2535.2350000000001</v>
      </c>
      <c r="AM46" s="22">
        <v>2171.6990000000001</v>
      </c>
      <c r="AN46" s="22">
        <v>2286.105</v>
      </c>
      <c r="AO46" s="22">
        <v>4329.8609999999999</v>
      </c>
      <c r="AP46" s="22">
        <v>3359.0039999999999</v>
      </c>
      <c r="AQ46" s="22">
        <v>3360.723</v>
      </c>
      <c r="AR46" s="22">
        <v>5068.9880000000003</v>
      </c>
      <c r="AS46" s="22">
        <v>4173.9620000000004</v>
      </c>
      <c r="AT46" s="22">
        <v>4271.826</v>
      </c>
      <c r="AU46" s="22">
        <v>4367.4340000000002</v>
      </c>
      <c r="AV46" s="22">
        <v>7740.4850000000006</v>
      </c>
      <c r="AW46" s="22">
        <v>13286.137999999999</v>
      </c>
      <c r="AX46" s="22">
        <v>4871.5510000000004</v>
      </c>
      <c r="AY46" s="22">
        <v>4599.7809999999999</v>
      </c>
      <c r="AZ46" s="22">
        <v>2994.587</v>
      </c>
      <c r="BA46" s="11">
        <v>1772.53</v>
      </c>
      <c r="BB46" s="11">
        <v>2784.4949999999999</v>
      </c>
      <c r="BC46" s="11">
        <v>2517.8110000000001</v>
      </c>
      <c r="BD46" s="11">
        <v>2343.4569999999999</v>
      </c>
      <c r="BE46" s="11">
        <v>2458.152</v>
      </c>
      <c r="BF46" s="11">
        <v>1417.0419999999999</v>
      </c>
      <c r="BG46" s="11">
        <v>1209.8599999999999</v>
      </c>
      <c r="BH46" s="11">
        <v>1324.8109999999999</v>
      </c>
      <c r="BI46" s="11">
        <v>1960.7439999999999</v>
      </c>
      <c r="BJ46" s="11">
        <v>876.39400000000001</v>
      </c>
      <c r="BK46" s="11">
        <v>812.00700000000006</v>
      </c>
      <c r="BL46" s="11">
        <v>335.59300000000002</v>
      </c>
      <c r="BM46" s="1">
        <v>667.85799999999995</v>
      </c>
      <c r="BN46" s="1">
        <v>598.32100000000003</v>
      </c>
      <c r="BO46" s="1">
        <v>378.59500000000003</v>
      </c>
      <c r="BP46" s="1">
        <v>377.03399999999999</v>
      </c>
      <c r="BQ46" s="1">
        <v>444.10700000000003</v>
      </c>
      <c r="BR46" s="1" t="s">
        <v>121</v>
      </c>
      <c r="BS46" s="1" t="s">
        <v>121</v>
      </c>
      <c r="BT46" s="1" t="s">
        <v>121</v>
      </c>
      <c r="BU46" s="1" t="s">
        <v>121</v>
      </c>
      <c r="BV46" s="1" t="s">
        <v>121</v>
      </c>
      <c r="BW46" s="1" t="s">
        <v>121</v>
      </c>
      <c r="BX46" s="1" t="s">
        <v>121</v>
      </c>
      <c r="BY46" s="1" t="s">
        <v>121</v>
      </c>
      <c r="BZ46" s="1" t="s">
        <v>121</v>
      </c>
      <c r="CA46" s="1" t="s">
        <v>121</v>
      </c>
      <c r="CB46" s="1" t="s">
        <v>121</v>
      </c>
      <c r="CC46" s="1" t="s">
        <v>121</v>
      </c>
      <c r="CD46" s="1" t="s">
        <v>121</v>
      </c>
      <c r="CE46" s="1" t="s">
        <v>121</v>
      </c>
      <c r="CF46" s="1" t="s">
        <v>121</v>
      </c>
      <c r="CG46" s="1" t="s">
        <v>121</v>
      </c>
      <c r="CH46" s="1" t="s">
        <v>121</v>
      </c>
      <c r="CI46" s="1" t="s">
        <v>121</v>
      </c>
      <c r="CJ46" s="1" t="s">
        <v>121</v>
      </c>
      <c r="CK46" s="1" t="s">
        <v>121</v>
      </c>
      <c r="CL46" s="1" t="s">
        <v>121</v>
      </c>
      <c r="CM46" s="1" t="s">
        <v>121</v>
      </c>
      <c r="CN46" s="1" t="s">
        <v>121</v>
      </c>
      <c r="CO46" s="1" t="s">
        <v>121</v>
      </c>
      <c r="CP46" s="1" t="s">
        <v>121</v>
      </c>
      <c r="CQ46" s="1" t="s">
        <v>121</v>
      </c>
      <c r="CR46" s="1" t="s">
        <v>121</v>
      </c>
      <c r="CS46" s="1" t="s">
        <v>121</v>
      </c>
      <c r="CT46" s="1" t="s">
        <v>121</v>
      </c>
      <c r="CU46" s="1" t="s">
        <v>121</v>
      </c>
      <c r="CV46" s="1" t="s">
        <v>121</v>
      </c>
      <c r="CW46" s="1" t="s">
        <v>121</v>
      </c>
      <c r="CX46" s="1" t="s">
        <v>121</v>
      </c>
      <c r="CY46" s="1" t="s">
        <v>121</v>
      </c>
      <c r="CZ46" s="1" t="s">
        <v>121</v>
      </c>
      <c r="DA46" s="1" t="s">
        <v>121</v>
      </c>
      <c r="DB46" s="1" t="s">
        <v>121</v>
      </c>
      <c r="DC46" s="1" t="s">
        <v>121</v>
      </c>
      <c r="DD46" s="1" t="s">
        <v>121</v>
      </c>
      <c r="DE46" s="1" t="s">
        <v>121</v>
      </c>
      <c r="DF46" s="1" t="s">
        <v>121</v>
      </c>
      <c r="DG46" s="1" t="s">
        <v>121</v>
      </c>
      <c r="DH46" s="1" t="s">
        <v>121</v>
      </c>
      <c r="DI46" s="1" t="s">
        <v>121</v>
      </c>
      <c r="DJ46" s="1" t="s">
        <v>121</v>
      </c>
      <c r="DK46" s="1" t="s">
        <v>121</v>
      </c>
      <c r="DL46" s="1" t="s">
        <v>121</v>
      </c>
      <c r="DM46" s="1" t="s">
        <v>121</v>
      </c>
      <c r="DN46" s="1" t="s">
        <v>121</v>
      </c>
      <c r="DO46" s="1" t="s">
        <v>121</v>
      </c>
      <c r="DP46" s="1" t="s">
        <v>121</v>
      </c>
      <c r="DQ46" s="1" t="s">
        <v>121</v>
      </c>
      <c r="DR46" s="1" t="s">
        <v>121</v>
      </c>
      <c r="DS46" s="1" t="s">
        <v>121</v>
      </c>
      <c r="DT46" s="1" t="s">
        <v>121</v>
      </c>
      <c r="DU46" s="1" t="s">
        <v>121</v>
      </c>
      <c r="DV46" s="1" t="s">
        <v>121</v>
      </c>
      <c r="DW46" s="1" t="s">
        <v>121</v>
      </c>
      <c r="DX46" s="1" t="s">
        <v>121</v>
      </c>
      <c r="DY46" s="1" t="s">
        <v>121</v>
      </c>
      <c r="DZ46" s="1" t="s">
        <v>121</v>
      </c>
      <c r="EA46" s="1" t="s">
        <v>121</v>
      </c>
      <c r="EB46" s="1" t="s">
        <v>121</v>
      </c>
      <c r="EC46" s="1" t="s">
        <v>121</v>
      </c>
      <c r="ED46" s="1" t="s">
        <v>121</v>
      </c>
      <c r="EE46" s="1" t="s">
        <v>121</v>
      </c>
      <c r="EF46" s="1" t="s">
        <v>121</v>
      </c>
      <c r="EG46" s="1" t="s">
        <v>121</v>
      </c>
      <c r="EH46" s="1" t="s">
        <v>121</v>
      </c>
      <c r="EI46" s="1" t="s">
        <v>121</v>
      </c>
      <c r="EJ46" s="1" t="s">
        <v>121</v>
      </c>
      <c r="EK46" s="1" t="s">
        <v>121</v>
      </c>
    </row>
    <row r="47" spans="1:141" s="19" customFormat="1" ht="26.1" customHeight="1" x14ac:dyDescent="0.25">
      <c r="A47" s="72">
        <v>47</v>
      </c>
      <c r="B47" s="19" t="s">
        <v>298</v>
      </c>
      <c r="C47" s="93">
        <v>8.842829513093764E-2</v>
      </c>
      <c r="D47" s="123">
        <v>0.35202191498029389</v>
      </c>
      <c r="E47" s="94">
        <v>0.20911294708153005</v>
      </c>
      <c r="F47" s="65">
        <v>1131714</v>
      </c>
      <c r="G47" s="65">
        <v>1039769</v>
      </c>
      <c r="H47" s="65">
        <v>926344</v>
      </c>
      <c r="I47" s="65">
        <v>935987</v>
      </c>
      <c r="J47" s="65">
        <v>837053</v>
      </c>
      <c r="K47" s="65">
        <v>887029</v>
      </c>
      <c r="L47" s="65">
        <v>825619</v>
      </c>
      <c r="M47" s="65">
        <v>883410</v>
      </c>
      <c r="N47" s="65">
        <v>795022</v>
      </c>
      <c r="O47" s="65">
        <v>698267</v>
      </c>
      <c r="P47" s="65">
        <v>677352</v>
      </c>
      <c r="Q47" s="65">
        <v>694549</v>
      </c>
      <c r="R47" s="404"/>
      <c r="S47" s="404"/>
      <c r="T47" s="404"/>
      <c r="U47" s="65">
        <v>692691</v>
      </c>
      <c r="V47" s="65">
        <v>672842.505</v>
      </c>
      <c r="W47" s="65">
        <v>643861.25699999987</v>
      </c>
      <c r="X47" s="65">
        <v>639894.24300000002</v>
      </c>
      <c r="Y47" s="65">
        <v>641534</v>
      </c>
      <c r="Z47" s="65">
        <v>634229.42699999979</v>
      </c>
      <c r="AA47" s="65">
        <v>587682.47600000002</v>
      </c>
      <c r="AB47" s="65">
        <v>587007.07899999991</v>
      </c>
      <c r="AC47" s="65">
        <v>594281.01100000006</v>
      </c>
      <c r="AD47" s="65">
        <v>577124.13500000001</v>
      </c>
      <c r="AE47" s="65">
        <v>580833.43299999996</v>
      </c>
      <c r="AF47" s="65">
        <v>574826.46600000001</v>
      </c>
      <c r="AG47" s="65">
        <v>597749.83400000003</v>
      </c>
      <c r="AH47" s="65">
        <v>538953.10699999996</v>
      </c>
      <c r="AI47" s="65">
        <v>530102.85100000002</v>
      </c>
      <c r="AJ47" s="65">
        <v>532229.47900000005</v>
      </c>
      <c r="AK47" s="65">
        <v>535949.24199999997</v>
      </c>
      <c r="AL47" s="65">
        <v>503635.47100000008</v>
      </c>
      <c r="AM47" s="65">
        <v>495631.91300000006</v>
      </c>
      <c r="AN47" s="65">
        <v>490744.49099999998</v>
      </c>
      <c r="AO47" s="65">
        <v>519418.55399999995</v>
      </c>
      <c r="AP47" s="65">
        <v>486473.13000000006</v>
      </c>
      <c r="AQ47" s="65">
        <v>515463.41399999999</v>
      </c>
      <c r="AR47" s="65">
        <v>503603.39499999996</v>
      </c>
      <c r="AS47" s="65">
        <v>505751.09200000006</v>
      </c>
      <c r="AT47" s="65">
        <v>471829.87799999997</v>
      </c>
      <c r="AU47" s="65">
        <v>465834.34400000004</v>
      </c>
      <c r="AV47" s="65">
        <v>467974.09299999999</v>
      </c>
      <c r="AW47" s="65">
        <v>470305.80900000001</v>
      </c>
      <c r="AX47" s="65">
        <v>396856.21799999994</v>
      </c>
      <c r="AY47" s="65">
        <v>389466.10900000005</v>
      </c>
      <c r="AZ47" s="65">
        <v>379578.76299999998</v>
      </c>
      <c r="BA47" s="65">
        <v>361746.364</v>
      </c>
      <c r="BB47" s="65">
        <v>357351.74700000003</v>
      </c>
      <c r="BC47" s="65">
        <v>332860.41700000002</v>
      </c>
      <c r="BD47" s="65">
        <v>307709.55999999994</v>
      </c>
      <c r="BE47" s="65">
        <v>311047.734</v>
      </c>
      <c r="BF47" s="65">
        <v>277034.66100000008</v>
      </c>
      <c r="BG47" s="65">
        <v>301075.81999999995</v>
      </c>
      <c r="BH47" s="65">
        <v>300547.59599999996</v>
      </c>
      <c r="BI47" s="65">
        <v>290010.65500000003</v>
      </c>
      <c r="BJ47" s="65">
        <v>269679.83500000002</v>
      </c>
      <c r="BK47" s="65">
        <v>259787.26400000002</v>
      </c>
      <c r="BL47" s="65">
        <v>251778.95699999999</v>
      </c>
      <c r="BM47" s="19">
        <v>244044.48800000004</v>
      </c>
      <c r="BN47" s="19">
        <v>220676.33699999997</v>
      </c>
      <c r="BO47" s="19">
        <v>213882.78500000003</v>
      </c>
      <c r="BP47" s="19">
        <v>206441.59099999999</v>
      </c>
      <c r="BQ47" s="19">
        <v>210321.78900000002</v>
      </c>
      <c r="BR47" s="19" t="s">
        <v>121</v>
      </c>
      <c r="BS47" s="19" t="s">
        <v>121</v>
      </c>
      <c r="BT47" s="19" t="s">
        <v>121</v>
      </c>
      <c r="BU47" s="19" t="s">
        <v>121</v>
      </c>
      <c r="BV47" s="19" t="s">
        <v>121</v>
      </c>
      <c r="BW47" s="19" t="s">
        <v>121</v>
      </c>
      <c r="BX47" s="19" t="s">
        <v>121</v>
      </c>
      <c r="BY47" s="19" t="s">
        <v>121</v>
      </c>
      <c r="BZ47" s="19" t="s">
        <v>121</v>
      </c>
      <c r="CA47" s="19" t="s">
        <v>121</v>
      </c>
      <c r="CB47" s="19" t="s">
        <v>121</v>
      </c>
      <c r="CC47" s="19" t="s">
        <v>121</v>
      </c>
      <c r="CD47" s="19" t="s">
        <v>121</v>
      </c>
      <c r="CE47" s="19" t="s">
        <v>121</v>
      </c>
      <c r="CF47" s="19" t="s">
        <v>121</v>
      </c>
      <c r="CG47" s="19" t="s">
        <v>121</v>
      </c>
      <c r="CH47" s="19" t="s">
        <v>121</v>
      </c>
      <c r="CI47" s="19" t="s">
        <v>121</v>
      </c>
      <c r="CJ47" s="19" t="s">
        <v>121</v>
      </c>
      <c r="CK47" s="19" t="s">
        <v>121</v>
      </c>
      <c r="CL47" s="19" t="s">
        <v>121</v>
      </c>
      <c r="CM47" s="19" t="s">
        <v>121</v>
      </c>
      <c r="CN47" s="19" t="s">
        <v>121</v>
      </c>
      <c r="CO47" s="19" t="s">
        <v>121</v>
      </c>
      <c r="CP47" s="19" t="s">
        <v>121</v>
      </c>
      <c r="CQ47" s="19" t="s">
        <v>121</v>
      </c>
      <c r="CR47" s="19" t="s">
        <v>121</v>
      </c>
      <c r="CS47" s="19" t="s">
        <v>121</v>
      </c>
      <c r="CT47" s="19" t="s">
        <v>121</v>
      </c>
      <c r="CU47" s="19" t="s">
        <v>121</v>
      </c>
      <c r="CV47" s="19" t="s">
        <v>121</v>
      </c>
      <c r="CW47" s="19" t="s">
        <v>121</v>
      </c>
      <c r="CX47" s="19" t="s">
        <v>121</v>
      </c>
      <c r="CY47" s="19" t="s">
        <v>121</v>
      </c>
      <c r="CZ47" s="19" t="s">
        <v>121</v>
      </c>
      <c r="DA47" s="19" t="s">
        <v>121</v>
      </c>
      <c r="DB47" s="19" t="s">
        <v>121</v>
      </c>
      <c r="DC47" s="19" t="s">
        <v>121</v>
      </c>
      <c r="DD47" s="19" t="s">
        <v>121</v>
      </c>
      <c r="DE47" s="19" t="s">
        <v>121</v>
      </c>
      <c r="DF47" s="19" t="s">
        <v>121</v>
      </c>
      <c r="DG47" s="19" t="s">
        <v>121</v>
      </c>
      <c r="DH47" s="19" t="s">
        <v>121</v>
      </c>
      <c r="DI47" s="19" t="s">
        <v>121</v>
      </c>
      <c r="DJ47" s="19" t="s">
        <v>121</v>
      </c>
      <c r="DK47" s="19" t="s">
        <v>121</v>
      </c>
      <c r="DL47" s="19" t="s">
        <v>121</v>
      </c>
      <c r="DM47" s="19" t="s">
        <v>121</v>
      </c>
      <c r="DN47" s="19" t="s">
        <v>121</v>
      </c>
      <c r="DO47" s="19" t="s">
        <v>121</v>
      </c>
      <c r="DP47" s="19" t="s">
        <v>121</v>
      </c>
      <c r="DQ47" s="19" t="s">
        <v>121</v>
      </c>
      <c r="DR47" s="19" t="s">
        <v>121</v>
      </c>
      <c r="DS47" s="19" t="s">
        <v>121</v>
      </c>
      <c r="DT47" s="19" t="s">
        <v>121</v>
      </c>
      <c r="DU47" s="19" t="s">
        <v>121</v>
      </c>
      <c r="DV47" s="19" t="s">
        <v>121</v>
      </c>
      <c r="DW47" s="19" t="s">
        <v>121</v>
      </c>
      <c r="DX47" s="19" t="s">
        <v>121</v>
      </c>
      <c r="DY47" s="19" t="s">
        <v>121</v>
      </c>
      <c r="DZ47" s="19" t="s">
        <v>121</v>
      </c>
      <c r="EA47" s="19" t="s">
        <v>121</v>
      </c>
      <c r="EB47" s="19" t="s">
        <v>121</v>
      </c>
      <c r="EC47" s="19" t="s">
        <v>121</v>
      </c>
      <c r="ED47" s="19" t="s">
        <v>121</v>
      </c>
      <c r="EE47" s="19" t="s">
        <v>121</v>
      </c>
      <c r="EF47" s="19" t="s">
        <v>121</v>
      </c>
      <c r="EG47" s="19" t="s">
        <v>121</v>
      </c>
      <c r="EH47" s="19" t="s">
        <v>121</v>
      </c>
      <c r="EI47" s="19" t="s">
        <v>121</v>
      </c>
      <c r="EJ47" s="19" t="s">
        <v>121</v>
      </c>
      <c r="EK47" s="19" t="s">
        <v>121</v>
      </c>
    </row>
    <row r="48" spans="1:141" ht="26.1" customHeight="1" x14ac:dyDescent="0.25">
      <c r="A48" s="72">
        <v>48</v>
      </c>
      <c r="B48" s="19" t="s">
        <v>299</v>
      </c>
      <c r="C48" s="91" t="s">
        <v>121</v>
      </c>
      <c r="D48" s="86" t="s">
        <v>121</v>
      </c>
      <c r="E48" s="92" t="s">
        <v>121</v>
      </c>
      <c r="F48" s="139" t="s">
        <v>121</v>
      </c>
      <c r="G48" s="139" t="s">
        <v>121</v>
      </c>
      <c r="H48" s="139" t="s">
        <v>121</v>
      </c>
      <c r="I48" s="139" t="s">
        <v>121</v>
      </c>
      <c r="J48" s="139" t="s">
        <v>121</v>
      </c>
      <c r="K48" s="139" t="s">
        <v>121</v>
      </c>
      <c r="L48" s="139" t="s">
        <v>121</v>
      </c>
      <c r="M48" s="139" t="s">
        <v>121</v>
      </c>
      <c r="N48" s="139" t="s">
        <v>121</v>
      </c>
      <c r="O48" s="139" t="s">
        <v>121</v>
      </c>
      <c r="P48" s="139" t="s">
        <v>121</v>
      </c>
      <c r="Q48" s="139" t="s">
        <v>121</v>
      </c>
      <c r="R48" s="404"/>
      <c r="S48" s="404"/>
      <c r="T48" s="404"/>
      <c r="U48" s="139" t="s">
        <v>121</v>
      </c>
      <c r="V48" s="139" t="s">
        <v>121</v>
      </c>
      <c r="W48" s="139" t="s">
        <v>121</v>
      </c>
      <c r="X48" s="139" t="s">
        <v>121</v>
      </c>
      <c r="Y48" s="139" t="s">
        <v>121</v>
      </c>
      <c r="Z48" s="139" t="s">
        <v>121</v>
      </c>
      <c r="AA48" s="139" t="s">
        <v>121</v>
      </c>
      <c r="AB48" s="139" t="s">
        <v>121</v>
      </c>
      <c r="AC48" s="139" t="s">
        <v>121</v>
      </c>
      <c r="AD48" s="139" t="s">
        <v>121</v>
      </c>
      <c r="AE48" s="139" t="s">
        <v>121</v>
      </c>
      <c r="AF48" s="139" t="s">
        <v>121</v>
      </c>
      <c r="AG48" s="139" t="s">
        <v>121</v>
      </c>
      <c r="AH48" s="139" t="s">
        <v>121</v>
      </c>
      <c r="AI48" s="86" t="s">
        <v>121</v>
      </c>
      <c r="AJ48" s="154" t="s">
        <v>121</v>
      </c>
      <c r="AK48" s="154" t="s">
        <v>121</v>
      </c>
      <c r="AL48" s="154" t="s">
        <v>121</v>
      </c>
      <c r="AM48" s="154" t="s">
        <v>121</v>
      </c>
      <c r="AN48" s="154" t="s">
        <v>121</v>
      </c>
      <c r="AO48" s="154" t="s">
        <v>121</v>
      </c>
      <c r="AP48" s="154" t="s">
        <v>121</v>
      </c>
      <c r="AQ48" s="154" t="s">
        <v>121</v>
      </c>
      <c r="AR48" s="154" t="s">
        <v>121</v>
      </c>
      <c r="AS48" s="154" t="s">
        <v>121</v>
      </c>
      <c r="AT48" s="154" t="s">
        <v>121</v>
      </c>
      <c r="AU48" s="154" t="s">
        <v>121</v>
      </c>
      <c r="AV48" s="154" t="s">
        <v>121</v>
      </c>
      <c r="AW48" s="154" t="s">
        <v>121</v>
      </c>
      <c r="AX48" s="154" t="s">
        <v>121</v>
      </c>
      <c r="AY48" s="154" t="s">
        <v>121</v>
      </c>
      <c r="AZ48" s="154" t="s">
        <v>121</v>
      </c>
      <c r="BA48" s="154" t="s">
        <v>121</v>
      </c>
      <c r="BB48" s="154" t="s">
        <v>121</v>
      </c>
      <c r="BC48" s="154" t="s">
        <v>121</v>
      </c>
      <c r="BD48" s="154" t="s">
        <v>121</v>
      </c>
      <c r="BE48" s="154" t="s">
        <v>121</v>
      </c>
      <c r="BF48" s="154" t="s">
        <v>121</v>
      </c>
      <c r="BG48" s="154" t="s">
        <v>121</v>
      </c>
      <c r="BH48" s="154" t="s">
        <v>121</v>
      </c>
      <c r="BI48" s="154" t="s">
        <v>121</v>
      </c>
      <c r="BJ48" s="154" t="s">
        <v>121</v>
      </c>
      <c r="BK48" s="154" t="s">
        <v>121</v>
      </c>
      <c r="BL48" s="154" t="s">
        <v>121</v>
      </c>
      <c r="BM48" s="1" t="s">
        <v>121</v>
      </c>
      <c r="BN48" s="1" t="s">
        <v>121</v>
      </c>
      <c r="BO48" s="1" t="s">
        <v>121</v>
      </c>
      <c r="BP48" s="1" t="s">
        <v>121</v>
      </c>
      <c r="BQ48" s="1" t="s">
        <v>121</v>
      </c>
      <c r="BR48" s="1" t="s">
        <v>121</v>
      </c>
      <c r="BS48" s="1" t="s">
        <v>121</v>
      </c>
      <c r="BT48" s="1" t="s">
        <v>121</v>
      </c>
      <c r="BU48" s="1" t="s">
        <v>121</v>
      </c>
      <c r="BV48" s="1" t="s">
        <v>121</v>
      </c>
      <c r="BW48" s="1" t="s">
        <v>121</v>
      </c>
      <c r="BX48" s="1" t="s">
        <v>121</v>
      </c>
      <c r="BY48" s="1" t="s">
        <v>121</v>
      </c>
      <c r="BZ48" s="1" t="s">
        <v>121</v>
      </c>
      <c r="CA48" s="1" t="s">
        <v>121</v>
      </c>
      <c r="CB48" s="1" t="s">
        <v>121</v>
      </c>
      <c r="CC48" s="1" t="s">
        <v>121</v>
      </c>
      <c r="CD48" s="1" t="s">
        <v>121</v>
      </c>
      <c r="CE48" s="1" t="s">
        <v>121</v>
      </c>
      <c r="CF48" s="1" t="s">
        <v>121</v>
      </c>
      <c r="CG48" s="1" t="s">
        <v>121</v>
      </c>
      <c r="CH48" s="1" t="s">
        <v>121</v>
      </c>
      <c r="CI48" s="1" t="s">
        <v>121</v>
      </c>
      <c r="CJ48" s="1" t="s">
        <v>121</v>
      </c>
      <c r="CK48" s="1" t="s">
        <v>121</v>
      </c>
      <c r="CL48" s="1" t="s">
        <v>121</v>
      </c>
      <c r="CM48" s="1" t="s">
        <v>121</v>
      </c>
      <c r="CN48" s="1" t="s">
        <v>121</v>
      </c>
      <c r="CO48" s="1" t="s">
        <v>121</v>
      </c>
      <c r="CP48" s="1" t="s">
        <v>121</v>
      </c>
      <c r="CQ48" s="1" t="s">
        <v>121</v>
      </c>
      <c r="CR48" s="1" t="s">
        <v>121</v>
      </c>
      <c r="CS48" s="1" t="s">
        <v>121</v>
      </c>
      <c r="CT48" s="1" t="s">
        <v>121</v>
      </c>
      <c r="CU48" s="1" t="s">
        <v>121</v>
      </c>
      <c r="CV48" s="1" t="s">
        <v>121</v>
      </c>
      <c r="CW48" s="1" t="s">
        <v>121</v>
      </c>
      <c r="CX48" s="1" t="s">
        <v>121</v>
      </c>
      <c r="CY48" s="1" t="s">
        <v>121</v>
      </c>
      <c r="CZ48" s="1" t="s">
        <v>121</v>
      </c>
      <c r="DA48" s="1" t="s">
        <v>121</v>
      </c>
      <c r="DB48" s="1" t="s">
        <v>121</v>
      </c>
      <c r="DC48" s="1" t="s">
        <v>121</v>
      </c>
      <c r="DD48" s="1" t="s">
        <v>121</v>
      </c>
      <c r="DE48" s="1" t="s">
        <v>121</v>
      </c>
      <c r="DF48" s="1" t="s">
        <v>121</v>
      </c>
      <c r="DG48" s="1" t="s">
        <v>121</v>
      </c>
      <c r="DH48" s="1" t="s">
        <v>121</v>
      </c>
      <c r="DI48" s="1" t="s">
        <v>121</v>
      </c>
      <c r="DJ48" s="1" t="s">
        <v>121</v>
      </c>
      <c r="DK48" s="1" t="s">
        <v>121</v>
      </c>
      <c r="DL48" s="1" t="s">
        <v>121</v>
      </c>
      <c r="DM48" s="1" t="s">
        <v>121</v>
      </c>
      <c r="DN48" s="1" t="s">
        <v>121</v>
      </c>
      <c r="DO48" s="1" t="s">
        <v>121</v>
      </c>
      <c r="DP48" s="1" t="s">
        <v>121</v>
      </c>
      <c r="DQ48" s="1" t="s">
        <v>121</v>
      </c>
      <c r="DR48" s="1" t="s">
        <v>121</v>
      </c>
      <c r="DS48" s="1" t="s">
        <v>121</v>
      </c>
      <c r="DT48" s="1" t="s">
        <v>121</v>
      </c>
      <c r="DU48" s="1" t="s">
        <v>121</v>
      </c>
      <c r="DV48" s="1" t="s">
        <v>121</v>
      </c>
      <c r="DW48" s="1" t="s">
        <v>121</v>
      </c>
      <c r="DX48" s="1" t="s">
        <v>121</v>
      </c>
      <c r="DY48" s="1" t="s">
        <v>121</v>
      </c>
      <c r="DZ48" s="1" t="s">
        <v>121</v>
      </c>
      <c r="EA48" s="1" t="s">
        <v>121</v>
      </c>
      <c r="EB48" s="1" t="s">
        <v>121</v>
      </c>
      <c r="EC48" s="1" t="s">
        <v>121</v>
      </c>
      <c r="ED48" s="1" t="s">
        <v>121</v>
      </c>
      <c r="EE48" s="1" t="s">
        <v>121</v>
      </c>
      <c r="EF48" s="1" t="s">
        <v>121</v>
      </c>
      <c r="EG48" s="1" t="s">
        <v>121</v>
      </c>
      <c r="EH48" s="1" t="s">
        <v>121</v>
      </c>
      <c r="EI48" s="1" t="s">
        <v>121</v>
      </c>
      <c r="EJ48" s="1" t="s">
        <v>121</v>
      </c>
      <c r="EK48" s="1" t="s">
        <v>121</v>
      </c>
    </row>
    <row r="49" spans="1:141" ht="15" customHeight="1" x14ac:dyDescent="0.25">
      <c r="A49" s="72">
        <v>49</v>
      </c>
      <c r="B49" s="5" t="s">
        <v>300</v>
      </c>
      <c r="C49" s="91" t="s">
        <v>121</v>
      </c>
      <c r="D49" s="86" t="s">
        <v>121</v>
      </c>
      <c r="E49" s="92" t="s">
        <v>121</v>
      </c>
      <c r="F49" s="22">
        <v>3391</v>
      </c>
      <c r="G49" s="22">
        <v>3394</v>
      </c>
      <c r="H49" s="22">
        <v>3479</v>
      </c>
      <c r="I49" s="22">
        <v>3479</v>
      </c>
      <c r="J49" s="22">
        <v>3479</v>
      </c>
      <c r="K49" s="22">
        <v>3479</v>
      </c>
      <c r="L49" s="22">
        <v>3510</v>
      </c>
      <c r="M49" s="22">
        <v>3510</v>
      </c>
      <c r="N49" s="22">
        <v>3510</v>
      </c>
      <c r="O49" s="22">
        <v>3510</v>
      </c>
      <c r="P49" s="22">
        <v>3609</v>
      </c>
      <c r="Q49" s="22">
        <v>3609</v>
      </c>
      <c r="R49" s="404"/>
      <c r="S49" s="404"/>
      <c r="T49" s="404"/>
      <c r="U49" s="22">
        <v>3609</v>
      </c>
      <c r="V49" s="22">
        <v>3608.5740000000001</v>
      </c>
      <c r="W49" s="22">
        <v>3608.5740000000001</v>
      </c>
      <c r="X49" s="22">
        <v>3695.154</v>
      </c>
      <c r="Y49" s="22">
        <v>3695</v>
      </c>
      <c r="Z49" s="22">
        <v>3695.154</v>
      </c>
      <c r="AA49" s="22">
        <v>3695.154</v>
      </c>
      <c r="AB49" s="22">
        <v>3781.7339999999999</v>
      </c>
      <c r="AC49" s="22">
        <v>3781.7339999999999</v>
      </c>
      <c r="AD49" s="22">
        <v>3781.7339999999999</v>
      </c>
      <c r="AE49" s="22">
        <v>3781.7339999999999</v>
      </c>
      <c r="AF49" s="22">
        <v>3781.7339999999999</v>
      </c>
      <c r="AG49" s="22">
        <v>3781.7339999999999</v>
      </c>
      <c r="AH49" s="22">
        <v>3781.7339999999999</v>
      </c>
      <c r="AI49" s="22">
        <v>3781.7339999999999</v>
      </c>
      <c r="AJ49" s="11">
        <v>3781.7339999999999</v>
      </c>
      <c r="AK49" s="22">
        <v>3781.7339999999999</v>
      </c>
      <c r="AL49" s="22">
        <v>3781.7339999999999</v>
      </c>
      <c r="AM49" s="22">
        <v>3721.7339999999999</v>
      </c>
      <c r="AN49" s="22">
        <v>3721.7339999999999</v>
      </c>
      <c r="AO49" s="22">
        <v>3721.7339999999999</v>
      </c>
      <c r="AP49" s="22">
        <v>3721.7339999999999</v>
      </c>
      <c r="AQ49" s="22">
        <v>3721.7339999999999</v>
      </c>
      <c r="AR49" s="22">
        <v>3141.5320000000002</v>
      </c>
      <c r="AS49" s="22">
        <v>3721.7339999999999</v>
      </c>
      <c r="AT49" s="22">
        <v>3721.223</v>
      </c>
      <c r="AU49" s="22">
        <v>3721.223</v>
      </c>
      <c r="AV49" s="22">
        <v>3710.2040000000002</v>
      </c>
      <c r="AW49" s="22">
        <v>3696.674</v>
      </c>
      <c r="AX49" s="22">
        <v>3721.7339999999999</v>
      </c>
      <c r="AY49" s="22">
        <v>3721.7339999999999</v>
      </c>
      <c r="AZ49" s="22">
        <v>3721.7339999999999</v>
      </c>
      <c r="BA49" s="11">
        <v>3721.7339999999999</v>
      </c>
      <c r="BB49" s="11">
        <v>3721.7339999999999</v>
      </c>
      <c r="BC49" s="11">
        <v>3648.11</v>
      </c>
      <c r="BD49" s="11">
        <v>3648.11</v>
      </c>
      <c r="BE49" s="11">
        <v>3648.11</v>
      </c>
      <c r="BF49" s="11">
        <v>3648.11</v>
      </c>
      <c r="BG49" s="11">
        <v>3648.11</v>
      </c>
      <c r="BH49" s="11">
        <v>3648.11</v>
      </c>
      <c r="BI49" s="11">
        <v>3648.11</v>
      </c>
      <c r="BJ49" s="11">
        <v>3648.11</v>
      </c>
      <c r="BK49" s="11">
        <v>3629.5410000000002</v>
      </c>
      <c r="BL49" s="11">
        <v>3629.5410000000002</v>
      </c>
      <c r="BM49" s="1">
        <v>3629.5410000000002</v>
      </c>
      <c r="BN49" s="1">
        <v>3629.5410000000002</v>
      </c>
      <c r="BO49" s="1">
        <v>3629.5410000000002</v>
      </c>
      <c r="BP49" s="1">
        <v>3629.5410000000002</v>
      </c>
      <c r="BQ49" s="1">
        <v>3629.5410000000002</v>
      </c>
      <c r="BR49" s="1" t="s">
        <v>121</v>
      </c>
      <c r="BS49" s="1" t="s">
        <v>121</v>
      </c>
      <c r="BT49" s="1" t="s">
        <v>121</v>
      </c>
      <c r="BU49" s="1" t="s">
        <v>121</v>
      </c>
      <c r="BV49" s="1" t="s">
        <v>121</v>
      </c>
      <c r="BW49" s="1" t="s">
        <v>121</v>
      </c>
      <c r="BX49" s="1" t="s">
        <v>121</v>
      </c>
      <c r="BY49" s="1" t="s">
        <v>121</v>
      </c>
      <c r="BZ49" s="1" t="s">
        <v>121</v>
      </c>
      <c r="CA49" s="1" t="s">
        <v>121</v>
      </c>
      <c r="CB49" s="1" t="s">
        <v>121</v>
      </c>
      <c r="CC49" s="1" t="s">
        <v>121</v>
      </c>
      <c r="CD49" s="1" t="s">
        <v>121</v>
      </c>
      <c r="CE49" s="1" t="s">
        <v>121</v>
      </c>
      <c r="CF49" s="1" t="s">
        <v>121</v>
      </c>
      <c r="CG49" s="1" t="s">
        <v>121</v>
      </c>
      <c r="CH49" s="1" t="s">
        <v>121</v>
      </c>
      <c r="CI49" s="1" t="s">
        <v>121</v>
      </c>
      <c r="CJ49" s="1" t="s">
        <v>121</v>
      </c>
      <c r="CK49" s="1" t="s">
        <v>121</v>
      </c>
      <c r="CL49" s="1" t="s">
        <v>121</v>
      </c>
      <c r="CM49" s="1" t="s">
        <v>121</v>
      </c>
      <c r="CN49" s="1" t="s">
        <v>121</v>
      </c>
      <c r="CO49" s="1" t="s">
        <v>121</v>
      </c>
      <c r="CP49" s="1" t="s">
        <v>121</v>
      </c>
      <c r="CQ49" s="1" t="s">
        <v>121</v>
      </c>
      <c r="CR49" s="1" t="s">
        <v>121</v>
      </c>
      <c r="CS49" s="1" t="s">
        <v>121</v>
      </c>
      <c r="CT49" s="1" t="s">
        <v>121</v>
      </c>
      <c r="CU49" s="1" t="s">
        <v>121</v>
      </c>
      <c r="CV49" s="1" t="s">
        <v>121</v>
      </c>
      <c r="CW49" s="1" t="s">
        <v>121</v>
      </c>
      <c r="CX49" s="1" t="s">
        <v>121</v>
      </c>
      <c r="CY49" s="1" t="s">
        <v>121</v>
      </c>
      <c r="CZ49" s="1" t="s">
        <v>121</v>
      </c>
      <c r="DA49" s="1" t="s">
        <v>121</v>
      </c>
      <c r="DB49" s="1" t="s">
        <v>121</v>
      </c>
      <c r="DC49" s="1" t="s">
        <v>121</v>
      </c>
      <c r="DD49" s="1" t="s">
        <v>121</v>
      </c>
      <c r="DE49" s="1" t="s">
        <v>121</v>
      </c>
      <c r="DF49" s="1" t="s">
        <v>121</v>
      </c>
      <c r="DG49" s="1" t="s">
        <v>121</v>
      </c>
      <c r="DH49" s="1" t="s">
        <v>121</v>
      </c>
      <c r="DI49" s="1" t="s">
        <v>121</v>
      </c>
      <c r="DJ49" s="1" t="s">
        <v>121</v>
      </c>
      <c r="DK49" s="1" t="s">
        <v>121</v>
      </c>
      <c r="DL49" s="1" t="s">
        <v>121</v>
      </c>
      <c r="DM49" s="1" t="s">
        <v>121</v>
      </c>
      <c r="DN49" s="1" t="s">
        <v>121</v>
      </c>
      <c r="DO49" s="1" t="s">
        <v>121</v>
      </c>
      <c r="DP49" s="1" t="s">
        <v>121</v>
      </c>
      <c r="DQ49" s="1" t="s">
        <v>121</v>
      </c>
      <c r="DR49" s="1" t="s">
        <v>121</v>
      </c>
      <c r="DS49" s="1" t="s">
        <v>121</v>
      </c>
      <c r="DT49" s="1" t="s">
        <v>121</v>
      </c>
      <c r="DU49" s="1" t="s">
        <v>121</v>
      </c>
      <c r="DV49" s="1" t="s">
        <v>121</v>
      </c>
      <c r="DW49" s="1" t="s">
        <v>121</v>
      </c>
      <c r="DX49" s="1" t="s">
        <v>121</v>
      </c>
      <c r="DY49" s="1" t="s">
        <v>121</v>
      </c>
      <c r="DZ49" s="1" t="s">
        <v>121</v>
      </c>
      <c r="EA49" s="1" t="s">
        <v>121</v>
      </c>
      <c r="EB49" s="1" t="s">
        <v>121</v>
      </c>
      <c r="EC49" s="1" t="s">
        <v>121</v>
      </c>
      <c r="ED49" s="1" t="s">
        <v>121</v>
      </c>
      <c r="EE49" s="1" t="s">
        <v>121</v>
      </c>
      <c r="EF49" s="1" t="s">
        <v>121</v>
      </c>
      <c r="EG49" s="1" t="s">
        <v>121</v>
      </c>
      <c r="EH49" s="1" t="s">
        <v>121</v>
      </c>
      <c r="EI49" s="1" t="s">
        <v>121</v>
      </c>
      <c r="EJ49" s="1" t="s">
        <v>121</v>
      </c>
      <c r="EK49" s="1" t="s">
        <v>121</v>
      </c>
    </row>
    <row r="50" spans="1:141" ht="15" customHeight="1" x14ac:dyDescent="0.25">
      <c r="A50" s="72">
        <v>50</v>
      </c>
      <c r="B50" s="5" t="s">
        <v>301</v>
      </c>
      <c r="C50" s="91" t="s">
        <v>121</v>
      </c>
      <c r="D50" s="86" t="s">
        <v>121</v>
      </c>
      <c r="E50" s="92" t="s">
        <v>121</v>
      </c>
      <c r="F50" s="22">
        <v>20357</v>
      </c>
      <c r="G50" s="22">
        <v>20497</v>
      </c>
      <c r="H50" s="22">
        <v>21500</v>
      </c>
      <c r="I50" s="22">
        <v>21500</v>
      </c>
      <c r="J50" s="22">
        <v>21500</v>
      </c>
      <c r="K50" s="22">
        <v>21500</v>
      </c>
      <c r="L50" s="22">
        <v>22178</v>
      </c>
      <c r="M50" s="22">
        <v>22178</v>
      </c>
      <c r="N50" s="22">
        <v>22178</v>
      </c>
      <c r="O50" s="22">
        <v>22178</v>
      </c>
      <c r="P50" s="22">
        <v>23206</v>
      </c>
      <c r="Q50" s="22">
        <v>23206</v>
      </c>
      <c r="R50" s="404"/>
      <c r="S50" s="404"/>
      <c r="T50" s="404"/>
      <c r="U50" s="22">
        <v>23206</v>
      </c>
      <c r="V50" s="22">
        <v>23206.065999999999</v>
      </c>
      <c r="W50" s="22">
        <v>23206.065999999999</v>
      </c>
      <c r="X50" s="22">
        <v>23850.974999999999</v>
      </c>
      <c r="Y50" s="22">
        <v>23851</v>
      </c>
      <c r="Z50" s="22">
        <v>23850.974999999999</v>
      </c>
      <c r="AA50" s="22">
        <v>23850.974999999999</v>
      </c>
      <c r="AB50" s="22">
        <v>24513.878000000001</v>
      </c>
      <c r="AC50" s="22">
        <v>24513.878000000001</v>
      </c>
      <c r="AD50" s="22">
        <v>24513.878000000001</v>
      </c>
      <c r="AE50" s="22">
        <v>24513.878000000001</v>
      </c>
      <c r="AF50" s="22">
        <v>24513.878000000001</v>
      </c>
      <c r="AG50" s="22">
        <v>24513.878000000001</v>
      </c>
      <c r="AH50" s="22">
        <v>24513.878000000001</v>
      </c>
      <c r="AI50" s="22">
        <v>24513.878000000001</v>
      </c>
      <c r="AJ50" s="11">
        <v>24513.878000000001</v>
      </c>
      <c r="AK50" s="22">
        <v>24513.878000000001</v>
      </c>
      <c r="AL50" s="22">
        <v>24513.878000000001</v>
      </c>
      <c r="AM50" s="22">
        <v>21393.878000000001</v>
      </c>
      <c r="AN50" s="22">
        <v>21393.878000000001</v>
      </c>
      <c r="AO50" s="22">
        <v>21393.878000000001</v>
      </c>
      <c r="AP50" s="22">
        <v>21393.878000000001</v>
      </c>
      <c r="AQ50" s="22">
        <v>21393.878000000001</v>
      </c>
      <c r="AR50" s="22">
        <v>21393.878000000001</v>
      </c>
      <c r="AS50" s="22">
        <v>21393.878000000001</v>
      </c>
      <c r="AT50" s="22">
        <v>21393.878000000001</v>
      </c>
      <c r="AU50" s="22">
        <v>21393.878000000001</v>
      </c>
      <c r="AV50" s="22">
        <v>21393.878000000001</v>
      </c>
      <c r="AW50" s="22">
        <v>21393.878000000001</v>
      </c>
      <c r="AX50" s="22">
        <v>21393.878000000001</v>
      </c>
      <c r="AY50" s="22">
        <v>21393.878000000001</v>
      </c>
      <c r="AZ50" s="22">
        <v>21393.878000000001</v>
      </c>
      <c r="BA50" s="11">
        <v>21393.878000000001</v>
      </c>
      <c r="BB50" s="11">
        <v>21393.878000000001</v>
      </c>
      <c r="BC50" s="11">
        <v>18448.915000000001</v>
      </c>
      <c r="BD50" s="11">
        <v>18448.915000000001</v>
      </c>
      <c r="BE50" s="11">
        <v>18448.915000000001</v>
      </c>
      <c r="BF50" s="11">
        <v>18448.915000000001</v>
      </c>
      <c r="BG50" s="11">
        <v>18448.915000000001</v>
      </c>
      <c r="BH50" s="11">
        <v>18448.915000000001</v>
      </c>
      <c r="BI50" s="11">
        <v>18448.915000000001</v>
      </c>
      <c r="BJ50" s="11">
        <v>18448.915000000001</v>
      </c>
      <c r="BK50" s="11">
        <v>15744.164000000001</v>
      </c>
      <c r="BL50" s="11">
        <v>15744.164000000001</v>
      </c>
      <c r="BM50" s="1">
        <v>15744.164000000001</v>
      </c>
      <c r="BN50" s="1">
        <v>15744.164000000001</v>
      </c>
      <c r="BO50" s="1">
        <v>15744.164000000001</v>
      </c>
      <c r="BP50" s="1">
        <v>15744.164000000001</v>
      </c>
      <c r="BQ50" s="1">
        <v>15744.164000000001</v>
      </c>
      <c r="BR50" s="1" t="s">
        <v>121</v>
      </c>
      <c r="BS50" s="1" t="s">
        <v>121</v>
      </c>
      <c r="BT50" s="1" t="s">
        <v>121</v>
      </c>
      <c r="BU50" s="1" t="s">
        <v>121</v>
      </c>
      <c r="BV50" s="1" t="s">
        <v>121</v>
      </c>
      <c r="BW50" s="1" t="s">
        <v>121</v>
      </c>
      <c r="BX50" s="1" t="s">
        <v>121</v>
      </c>
      <c r="BY50" s="1" t="s">
        <v>121</v>
      </c>
      <c r="BZ50" s="1" t="s">
        <v>121</v>
      </c>
      <c r="CA50" s="1" t="s">
        <v>121</v>
      </c>
      <c r="CB50" s="1" t="s">
        <v>121</v>
      </c>
      <c r="CC50" s="1" t="s">
        <v>121</v>
      </c>
      <c r="CD50" s="1" t="s">
        <v>121</v>
      </c>
      <c r="CE50" s="1" t="s">
        <v>121</v>
      </c>
      <c r="CF50" s="1" t="s">
        <v>121</v>
      </c>
      <c r="CG50" s="1" t="s">
        <v>121</v>
      </c>
      <c r="CH50" s="1" t="s">
        <v>121</v>
      </c>
      <c r="CI50" s="1" t="s">
        <v>121</v>
      </c>
      <c r="CJ50" s="1" t="s">
        <v>121</v>
      </c>
      <c r="CK50" s="1" t="s">
        <v>121</v>
      </c>
      <c r="CL50" s="1" t="s">
        <v>121</v>
      </c>
      <c r="CM50" s="1" t="s">
        <v>121</v>
      </c>
      <c r="CN50" s="1" t="s">
        <v>121</v>
      </c>
      <c r="CO50" s="1" t="s">
        <v>121</v>
      </c>
      <c r="CP50" s="1" t="s">
        <v>121</v>
      </c>
      <c r="CQ50" s="1" t="s">
        <v>121</v>
      </c>
      <c r="CR50" s="1" t="s">
        <v>121</v>
      </c>
      <c r="CS50" s="1" t="s">
        <v>121</v>
      </c>
      <c r="CT50" s="1" t="s">
        <v>121</v>
      </c>
      <c r="CU50" s="1" t="s">
        <v>121</v>
      </c>
      <c r="CV50" s="1" t="s">
        <v>121</v>
      </c>
      <c r="CW50" s="1" t="s">
        <v>121</v>
      </c>
      <c r="CX50" s="1" t="s">
        <v>121</v>
      </c>
      <c r="CY50" s="1" t="s">
        <v>121</v>
      </c>
      <c r="CZ50" s="1" t="s">
        <v>121</v>
      </c>
      <c r="DA50" s="1" t="s">
        <v>121</v>
      </c>
      <c r="DB50" s="1" t="s">
        <v>121</v>
      </c>
      <c r="DC50" s="1" t="s">
        <v>121</v>
      </c>
      <c r="DD50" s="1" t="s">
        <v>121</v>
      </c>
      <c r="DE50" s="1" t="s">
        <v>121</v>
      </c>
      <c r="DF50" s="1" t="s">
        <v>121</v>
      </c>
      <c r="DG50" s="1" t="s">
        <v>121</v>
      </c>
      <c r="DH50" s="1" t="s">
        <v>121</v>
      </c>
      <c r="DI50" s="1" t="s">
        <v>121</v>
      </c>
      <c r="DJ50" s="1" t="s">
        <v>121</v>
      </c>
      <c r="DK50" s="1" t="s">
        <v>121</v>
      </c>
      <c r="DL50" s="1" t="s">
        <v>121</v>
      </c>
      <c r="DM50" s="1" t="s">
        <v>121</v>
      </c>
      <c r="DN50" s="1" t="s">
        <v>121</v>
      </c>
      <c r="DO50" s="1" t="s">
        <v>121</v>
      </c>
      <c r="DP50" s="1" t="s">
        <v>121</v>
      </c>
      <c r="DQ50" s="1" t="s">
        <v>121</v>
      </c>
      <c r="DR50" s="1" t="s">
        <v>121</v>
      </c>
      <c r="DS50" s="1" t="s">
        <v>121</v>
      </c>
      <c r="DT50" s="1" t="s">
        <v>121</v>
      </c>
      <c r="DU50" s="1" t="s">
        <v>121</v>
      </c>
      <c r="DV50" s="1" t="s">
        <v>121</v>
      </c>
      <c r="DW50" s="1" t="s">
        <v>121</v>
      </c>
      <c r="DX50" s="1" t="s">
        <v>121</v>
      </c>
      <c r="DY50" s="1" t="s">
        <v>121</v>
      </c>
      <c r="DZ50" s="1" t="s">
        <v>121</v>
      </c>
      <c r="EA50" s="1" t="s">
        <v>121</v>
      </c>
      <c r="EB50" s="1" t="s">
        <v>121</v>
      </c>
      <c r="EC50" s="1" t="s">
        <v>121</v>
      </c>
      <c r="ED50" s="1" t="s">
        <v>121</v>
      </c>
      <c r="EE50" s="1" t="s">
        <v>121</v>
      </c>
      <c r="EF50" s="1" t="s">
        <v>121</v>
      </c>
      <c r="EG50" s="1" t="s">
        <v>121</v>
      </c>
      <c r="EH50" s="1" t="s">
        <v>121</v>
      </c>
      <c r="EI50" s="1" t="s">
        <v>121</v>
      </c>
      <c r="EJ50" s="1" t="s">
        <v>121</v>
      </c>
      <c r="EK50" s="1" t="s">
        <v>121</v>
      </c>
    </row>
    <row r="51" spans="1:141" ht="15" customHeight="1" x14ac:dyDescent="0.25">
      <c r="A51" s="72">
        <v>51</v>
      </c>
      <c r="B51" s="5" t="s">
        <v>302</v>
      </c>
      <c r="C51" s="91" t="s">
        <v>121</v>
      </c>
      <c r="D51" s="86" t="s">
        <v>121</v>
      </c>
      <c r="E51" s="92" t="s">
        <v>121</v>
      </c>
      <c r="F51" s="22" t="s">
        <v>121</v>
      </c>
      <c r="G51" s="22">
        <v>-140</v>
      </c>
      <c r="H51" s="22">
        <v>-1140</v>
      </c>
      <c r="I51" s="22">
        <v>-1140</v>
      </c>
      <c r="J51" s="22">
        <v>-1000</v>
      </c>
      <c r="K51" s="22">
        <v>-1000</v>
      </c>
      <c r="L51" s="22">
        <v>-1676</v>
      </c>
      <c r="M51" s="22">
        <v>-1676</v>
      </c>
      <c r="N51" s="22">
        <v>-1676</v>
      </c>
      <c r="O51" s="22">
        <v>-1543</v>
      </c>
      <c r="P51" s="22">
        <v>-2102</v>
      </c>
      <c r="Q51" s="22">
        <v>-2050</v>
      </c>
      <c r="R51" s="404"/>
      <c r="S51" s="404"/>
      <c r="T51" s="404"/>
      <c r="U51" s="22">
        <v>-1025</v>
      </c>
      <c r="V51" s="22">
        <v>-1.208</v>
      </c>
      <c r="W51" s="22" t="s">
        <v>121</v>
      </c>
      <c r="X51" s="22">
        <v>-641.99599999999998</v>
      </c>
      <c r="Y51" s="22">
        <v>-642</v>
      </c>
      <c r="Z51" s="22">
        <v>-641.99599999999998</v>
      </c>
      <c r="AA51" s="22">
        <v>-641.99599999999998</v>
      </c>
      <c r="AB51" s="22">
        <v>-1301.9870000000001</v>
      </c>
      <c r="AC51" s="22">
        <v>-1301.9870000000001</v>
      </c>
      <c r="AD51" s="22">
        <v>-659.99099999999999</v>
      </c>
      <c r="AE51" s="22">
        <v>-659.99099999999999</v>
      </c>
      <c r="AF51" s="22">
        <v>-659.99099999999999</v>
      </c>
      <c r="AG51" s="22">
        <v>-659.99099999999999</v>
      </c>
      <c r="AH51" s="22" t="s">
        <v>121</v>
      </c>
      <c r="AI51" s="22" t="s">
        <v>121</v>
      </c>
      <c r="AJ51" s="11" t="s">
        <v>121</v>
      </c>
      <c r="AK51" s="22" t="s">
        <v>121</v>
      </c>
      <c r="AL51" s="22" t="s">
        <v>121</v>
      </c>
      <c r="AM51" s="22" t="s">
        <v>121</v>
      </c>
      <c r="AN51" s="22" t="s">
        <v>121</v>
      </c>
      <c r="AO51" s="22" t="s">
        <v>121</v>
      </c>
      <c r="AP51" s="22" t="s">
        <v>121</v>
      </c>
      <c r="AQ51" s="22" t="s">
        <v>121</v>
      </c>
      <c r="AR51" s="22" t="s">
        <v>121</v>
      </c>
      <c r="AS51" s="22" t="s">
        <v>121</v>
      </c>
      <c r="AT51" s="22" t="s">
        <v>121</v>
      </c>
      <c r="AU51" s="22" t="s">
        <v>121</v>
      </c>
      <c r="AV51" s="22" t="s">
        <v>121</v>
      </c>
      <c r="AW51" s="22" t="s">
        <v>121</v>
      </c>
      <c r="AX51" s="22" t="s">
        <v>121</v>
      </c>
      <c r="AY51" s="22" t="s">
        <v>121</v>
      </c>
      <c r="AZ51" s="22" t="s">
        <v>121</v>
      </c>
      <c r="BA51" s="11" t="s">
        <v>121</v>
      </c>
      <c r="BB51" s="11" t="s">
        <v>121</v>
      </c>
      <c r="BC51" s="11" t="s">
        <v>121</v>
      </c>
      <c r="BD51" s="11" t="s">
        <v>121</v>
      </c>
      <c r="BE51" s="11" t="s">
        <v>121</v>
      </c>
      <c r="BF51" s="11" t="s">
        <v>121</v>
      </c>
      <c r="BG51" s="11" t="s">
        <v>121</v>
      </c>
      <c r="BH51" s="11" t="s">
        <v>121</v>
      </c>
      <c r="BI51" s="11" t="s">
        <v>121</v>
      </c>
      <c r="BJ51" s="11" t="s">
        <v>121</v>
      </c>
      <c r="BK51" s="11" t="s">
        <v>121</v>
      </c>
      <c r="BL51" s="11" t="s">
        <v>121</v>
      </c>
      <c r="BM51" s="1" t="s">
        <v>121</v>
      </c>
      <c r="BN51" s="1" t="s">
        <v>121</v>
      </c>
      <c r="BO51" s="1" t="s">
        <v>121</v>
      </c>
      <c r="BP51" s="1" t="s">
        <v>121</v>
      </c>
      <c r="BQ51" s="1" t="s">
        <v>121</v>
      </c>
      <c r="BR51" s="1" t="s">
        <v>121</v>
      </c>
      <c r="BS51" s="1" t="s">
        <v>121</v>
      </c>
      <c r="BT51" s="1" t="s">
        <v>121</v>
      </c>
      <c r="BU51" s="1" t="s">
        <v>121</v>
      </c>
      <c r="BV51" s="1" t="s">
        <v>121</v>
      </c>
      <c r="BW51" s="1" t="s">
        <v>121</v>
      </c>
      <c r="BX51" s="1" t="s">
        <v>121</v>
      </c>
      <c r="BY51" s="1" t="s">
        <v>121</v>
      </c>
      <c r="BZ51" s="1" t="s">
        <v>121</v>
      </c>
      <c r="CA51" s="1" t="s">
        <v>121</v>
      </c>
      <c r="CB51" s="1" t="s">
        <v>121</v>
      </c>
      <c r="CC51" s="1" t="s">
        <v>121</v>
      </c>
      <c r="CD51" s="1" t="s">
        <v>121</v>
      </c>
      <c r="CE51" s="1" t="s">
        <v>121</v>
      </c>
      <c r="CF51" s="1" t="s">
        <v>121</v>
      </c>
      <c r="CG51" s="1" t="s">
        <v>121</v>
      </c>
      <c r="CH51" s="1" t="s">
        <v>121</v>
      </c>
      <c r="CI51" s="1" t="s">
        <v>121</v>
      </c>
      <c r="CJ51" s="1" t="s">
        <v>121</v>
      </c>
      <c r="CK51" s="1" t="s">
        <v>121</v>
      </c>
      <c r="CL51" s="1" t="s">
        <v>121</v>
      </c>
      <c r="CM51" s="1" t="s">
        <v>121</v>
      </c>
      <c r="CN51" s="1" t="s">
        <v>121</v>
      </c>
      <c r="CO51" s="1" t="s">
        <v>121</v>
      </c>
      <c r="CP51" s="1" t="s">
        <v>121</v>
      </c>
      <c r="CQ51" s="1" t="s">
        <v>121</v>
      </c>
      <c r="CR51" s="1" t="s">
        <v>121</v>
      </c>
      <c r="CS51" s="1" t="s">
        <v>121</v>
      </c>
      <c r="CT51" s="1" t="s">
        <v>121</v>
      </c>
      <c r="CU51" s="1" t="s">
        <v>121</v>
      </c>
      <c r="CV51" s="1" t="s">
        <v>121</v>
      </c>
      <c r="CW51" s="1" t="s">
        <v>121</v>
      </c>
      <c r="CX51" s="1" t="s">
        <v>121</v>
      </c>
      <c r="CY51" s="1" t="s">
        <v>121</v>
      </c>
      <c r="CZ51" s="1" t="s">
        <v>121</v>
      </c>
      <c r="DA51" s="1" t="s">
        <v>121</v>
      </c>
      <c r="DB51" s="1" t="s">
        <v>121</v>
      </c>
      <c r="DC51" s="1" t="s">
        <v>121</v>
      </c>
      <c r="DD51" s="1" t="s">
        <v>121</v>
      </c>
      <c r="DE51" s="1" t="s">
        <v>121</v>
      </c>
      <c r="DF51" s="1" t="s">
        <v>121</v>
      </c>
      <c r="DG51" s="1" t="s">
        <v>121</v>
      </c>
      <c r="DH51" s="1" t="s">
        <v>121</v>
      </c>
      <c r="DI51" s="1" t="s">
        <v>121</v>
      </c>
      <c r="DJ51" s="1" t="s">
        <v>121</v>
      </c>
      <c r="DK51" s="1" t="s">
        <v>121</v>
      </c>
      <c r="DL51" s="1" t="s">
        <v>121</v>
      </c>
      <c r="DM51" s="1" t="s">
        <v>121</v>
      </c>
      <c r="DN51" s="1" t="s">
        <v>121</v>
      </c>
      <c r="DO51" s="1" t="s">
        <v>121</v>
      </c>
      <c r="DP51" s="1" t="s">
        <v>121</v>
      </c>
      <c r="DQ51" s="1" t="s">
        <v>121</v>
      </c>
      <c r="DR51" s="1" t="s">
        <v>121</v>
      </c>
      <c r="DS51" s="1" t="s">
        <v>121</v>
      </c>
      <c r="DT51" s="1" t="s">
        <v>121</v>
      </c>
      <c r="DU51" s="1" t="s">
        <v>121</v>
      </c>
      <c r="DV51" s="1" t="s">
        <v>121</v>
      </c>
      <c r="DW51" s="1" t="s">
        <v>121</v>
      </c>
      <c r="DX51" s="1" t="s">
        <v>121</v>
      </c>
      <c r="DY51" s="1" t="s">
        <v>121</v>
      </c>
      <c r="DZ51" s="1" t="s">
        <v>121</v>
      </c>
      <c r="EA51" s="1" t="s">
        <v>121</v>
      </c>
      <c r="EB51" s="1" t="s">
        <v>121</v>
      </c>
      <c r="EC51" s="1" t="s">
        <v>121</v>
      </c>
      <c r="ED51" s="1" t="s">
        <v>121</v>
      </c>
      <c r="EE51" s="1" t="s">
        <v>121</v>
      </c>
      <c r="EF51" s="1" t="s">
        <v>121</v>
      </c>
      <c r="EG51" s="1" t="s">
        <v>121</v>
      </c>
      <c r="EH51" s="1" t="s">
        <v>121</v>
      </c>
      <c r="EI51" s="1" t="s">
        <v>121</v>
      </c>
      <c r="EJ51" s="1" t="s">
        <v>121</v>
      </c>
      <c r="EK51" s="1" t="s">
        <v>121</v>
      </c>
    </row>
    <row r="52" spans="1:141" ht="15" customHeight="1" x14ac:dyDescent="0.25">
      <c r="A52" s="72">
        <v>52</v>
      </c>
      <c r="B52" s="5" t="s">
        <v>303</v>
      </c>
      <c r="C52" s="91" t="s">
        <v>121</v>
      </c>
      <c r="D52" s="86" t="s">
        <v>121</v>
      </c>
      <c r="E52" s="92" t="s">
        <v>121</v>
      </c>
      <c r="F52" s="22">
        <v>2859</v>
      </c>
      <c r="G52" s="22">
        <v>2859</v>
      </c>
      <c r="H52" s="22">
        <v>2859</v>
      </c>
      <c r="I52" s="22">
        <v>2859</v>
      </c>
      <c r="J52" s="22">
        <v>3049</v>
      </c>
      <c r="K52" s="22">
        <v>3049</v>
      </c>
      <c r="L52" s="22">
        <v>3050</v>
      </c>
      <c r="M52" s="22">
        <v>3050</v>
      </c>
      <c r="N52" s="22">
        <v>2647</v>
      </c>
      <c r="O52" s="22">
        <v>2647</v>
      </c>
      <c r="P52" s="22">
        <v>2647</v>
      </c>
      <c r="Q52" s="22">
        <v>2647</v>
      </c>
      <c r="R52" s="404"/>
      <c r="S52" s="404"/>
      <c r="T52" s="404"/>
      <c r="U52" s="22">
        <v>2949</v>
      </c>
      <c r="V52" s="22">
        <v>2998.4670000000001</v>
      </c>
      <c r="W52" s="22">
        <v>3259.4209999999998</v>
      </c>
      <c r="X52" s="22">
        <v>3259.4209999999998</v>
      </c>
      <c r="Y52" s="22">
        <v>3259</v>
      </c>
      <c r="Z52" s="22">
        <v>3239.5360000000001</v>
      </c>
      <c r="AA52" s="22">
        <v>3239.5360000000001</v>
      </c>
      <c r="AB52" s="22">
        <v>3239.5360000000001</v>
      </c>
      <c r="AC52" s="22">
        <v>3239.5360000000001</v>
      </c>
      <c r="AD52" s="22">
        <v>3542.5189999999998</v>
      </c>
      <c r="AE52" s="22">
        <v>3542.5189999999998</v>
      </c>
      <c r="AF52" s="22">
        <v>3542.5189999999998</v>
      </c>
      <c r="AG52" s="22">
        <v>3651.4549999999999</v>
      </c>
      <c r="AH52" s="22">
        <v>3651.4549999999999</v>
      </c>
      <c r="AI52" s="22">
        <v>3651.4549999999999</v>
      </c>
      <c r="AJ52" s="11">
        <v>3651.4549999999999</v>
      </c>
      <c r="AK52" s="22">
        <v>3651.4549999999999</v>
      </c>
      <c r="AL52" s="22">
        <v>3816.12</v>
      </c>
      <c r="AM52" s="22">
        <v>3816.12</v>
      </c>
      <c r="AN52" s="22">
        <v>3820.4960000000001</v>
      </c>
      <c r="AO52" s="22">
        <v>3820.4960000000001</v>
      </c>
      <c r="AP52" s="22">
        <v>3820.4960000000001</v>
      </c>
      <c r="AQ52" s="22">
        <v>3820.4960000000001</v>
      </c>
      <c r="AR52" s="22">
        <v>3820.4960000000001</v>
      </c>
      <c r="AS52" s="22">
        <v>3820.4960000000001</v>
      </c>
      <c r="AT52" s="22">
        <v>3820.4960000000001</v>
      </c>
      <c r="AU52" s="22">
        <v>3820.4960000000001</v>
      </c>
      <c r="AV52" s="22">
        <v>3820.4960000000001</v>
      </c>
      <c r="AW52" s="22">
        <v>3901.5549999999998</v>
      </c>
      <c r="AX52" s="22">
        <v>3295.3159999999998</v>
      </c>
      <c r="AY52" s="22">
        <v>3339.0309999999999</v>
      </c>
      <c r="AZ52" s="22">
        <v>3339.0309999999999</v>
      </c>
      <c r="BA52" s="11">
        <v>3339.0309999999999</v>
      </c>
      <c r="BB52" s="11">
        <v>3339.0309999999999</v>
      </c>
      <c r="BC52" s="11">
        <v>3339.0309999999999</v>
      </c>
      <c r="BD52" s="11">
        <v>3339.0309999999999</v>
      </c>
      <c r="BE52" s="11">
        <v>3339.0309999999999</v>
      </c>
      <c r="BF52" s="11">
        <v>3291.8490000000002</v>
      </c>
      <c r="BG52" s="11">
        <v>3295.5729999999999</v>
      </c>
      <c r="BH52" s="11">
        <v>3319.8939999999998</v>
      </c>
      <c r="BI52" s="11">
        <v>3346.3029999999999</v>
      </c>
      <c r="BJ52" s="11">
        <v>1966.0150000000001</v>
      </c>
      <c r="BK52" s="11">
        <v>1966.0150000000001</v>
      </c>
      <c r="BL52" s="11">
        <v>1966.0150000000001</v>
      </c>
      <c r="BM52" s="1">
        <v>1966.0150000000001</v>
      </c>
      <c r="BN52" s="1">
        <v>1966.0150000000001</v>
      </c>
      <c r="BO52" s="1">
        <v>1966.0150000000001</v>
      </c>
      <c r="BP52" s="1">
        <v>1966.0150000000001</v>
      </c>
      <c r="BQ52" s="1">
        <v>1966.0150000000001</v>
      </c>
      <c r="BR52" s="1" t="s">
        <v>121</v>
      </c>
      <c r="BS52" s="1" t="s">
        <v>121</v>
      </c>
      <c r="BT52" s="1" t="s">
        <v>121</v>
      </c>
      <c r="BU52" s="1" t="s">
        <v>121</v>
      </c>
      <c r="BV52" s="1" t="s">
        <v>121</v>
      </c>
      <c r="BW52" s="1" t="s">
        <v>121</v>
      </c>
      <c r="BX52" s="1" t="s">
        <v>121</v>
      </c>
      <c r="BY52" s="1" t="s">
        <v>121</v>
      </c>
      <c r="BZ52" s="1" t="s">
        <v>121</v>
      </c>
      <c r="CA52" s="1" t="s">
        <v>121</v>
      </c>
      <c r="CB52" s="1" t="s">
        <v>121</v>
      </c>
      <c r="CC52" s="1" t="s">
        <v>121</v>
      </c>
      <c r="CD52" s="1" t="s">
        <v>121</v>
      </c>
      <c r="CE52" s="1" t="s">
        <v>121</v>
      </c>
      <c r="CF52" s="1" t="s">
        <v>121</v>
      </c>
      <c r="CG52" s="1" t="s">
        <v>121</v>
      </c>
      <c r="CH52" s="1" t="s">
        <v>121</v>
      </c>
      <c r="CI52" s="1" t="s">
        <v>121</v>
      </c>
      <c r="CJ52" s="1" t="s">
        <v>121</v>
      </c>
      <c r="CK52" s="1" t="s">
        <v>121</v>
      </c>
      <c r="CL52" s="1" t="s">
        <v>121</v>
      </c>
      <c r="CM52" s="1" t="s">
        <v>121</v>
      </c>
      <c r="CN52" s="1" t="s">
        <v>121</v>
      </c>
      <c r="CO52" s="1" t="s">
        <v>121</v>
      </c>
      <c r="CP52" s="1" t="s">
        <v>121</v>
      </c>
      <c r="CQ52" s="1" t="s">
        <v>121</v>
      </c>
      <c r="CR52" s="1" t="s">
        <v>121</v>
      </c>
      <c r="CS52" s="1" t="s">
        <v>121</v>
      </c>
      <c r="CT52" s="1" t="s">
        <v>121</v>
      </c>
      <c r="CU52" s="1" t="s">
        <v>121</v>
      </c>
      <c r="CV52" s="1" t="s">
        <v>121</v>
      </c>
      <c r="CW52" s="1" t="s">
        <v>121</v>
      </c>
      <c r="CX52" s="1" t="s">
        <v>121</v>
      </c>
      <c r="CY52" s="1" t="s">
        <v>121</v>
      </c>
      <c r="CZ52" s="1" t="s">
        <v>121</v>
      </c>
      <c r="DA52" s="1" t="s">
        <v>121</v>
      </c>
      <c r="DB52" s="1" t="s">
        <v>121</v>
      </c>
      <c r="DC52" s="1" t="s">
        <v>121</v>
      </c>
      <c r="DD52" s="1" t="s">
        <v>121</v>
      </c>
      <c r="DE52" s="1" t="s">
        <v>121</v>
      </c>
      <c r="DF52" s="1" t="s">
        <v>121</v>
      </c>
      <c r="DG52" s="1" t="s">
        <v>121</v>
      </c>
      <c r="DH52" s="1" t="s">
        <v>121</v>
      </c>
      <c r="DI52" s="1" t="s">
        <v>121</v>
      </c>
      <c r="DJ52" s="1" t="s">
        <v>121</v>
      </c>
      <c r="DK52" s="1" t="s">
        <v>121</v>
      </c>
      <c r="DL52" s="1" t="s">
        <v>121</v>
      </c>
      <c r="DM52" s="1" t="s">
        <v>121</v>
      </c>
      <c r="DN52" s="1" t="s">
        <v>121</v>
      </c>
      <c r="DO52" s="1" t="s">
        <v>121</v>
      </c>
      <c r="DP52" s="1" t="s">
        <v>121</v>
      </c>
      <c r="DQ52" s="1" t="s">
        <v>121</v>
      </c>
      <c r="DR52" s="1" t="s">
        <v>121</v>
      </c>
      <c r="DS52" s="1" t="s">
        <v>121</v>
      </c>
      <c r="DT52" s="1" t="s">
        <v>121</v>
      </c>
      <c r="DU52" s="1" t="s">
        <v>121</v>
      </c>
      <c r="DV52" s="1" t="s">
        <v>121</v>
      </c>
      <c r="DW52" s="1" t="s">
        <v>121</v>
      </c>
      <c r="DX52" s="1" t="s">
        <v>121</v>
      </c>
      <c r="DY52" s="1" t="s">
        <v>121</v>
      </c>
      <c r="DZ52" s="1" t="s">
        <v>121</v>
      </c>
      <c r="EA52" s="1" t="s">
        <v>121</v>
      </c>
      <c r="EB52" s="1" t="s">
        <v>121</v>
      </c>
      <c r="EC52" s="1" t="s">
        <v>121</v>
      </c>
      <c r="ED52" s="1" t="s">
        <v>121</v>
      </c>
      <c r="EE52" s="1" t="s">
        <v>121</v>
      </c>
      <c r="EF52" s="1" t="s">
        <v>121</v>
      </c>
      <c r="EG52" s="1" t="s">
        <v>121</v>
      </c>
      <c r="EH52" s="1" t="s">
        <v>121</v>
      </c>
      <c r="EI52" s="1" t="s">
        <v>121</v>
      </c>
      <c r="EJ52" s="1" t="s">
        <v>121</v>
      </c>
      <c r="EK52" s="1" t="s">
        <v>121</v>
      </c>
    </row>
    <row r="53" spans="1:141" ht="15" customHeight="1" x14ac:dyDescent="0.25">
      <c r="A53" s="72">
        <v>53</v>
      </c>
      <c r="B53" s="28" t="s">
        <v>304</v>
      </c>
      <c r="C53" s="91" t="s">
        <v>121</v>
      </c>
      <c r="D53" s="86" t="s">
        <v>121</v>
      </c>
      <c r="E53" s="92" t="s">
        <v>121</v>
      </c>
      <c r="F53" s="22">
        <v>-9</v>
      </c>
      <c r="G53" s="22">
        <v>7</v>
      </c>
      <c r="H53" s="22">
        <v>-7</v>
      </c>
      <c r="I53" s="22">
        <v>-9</v>
      </c>
      <c r="J53" s="22">
        <v>-9</v>
      </c>
      <c r="K53" s="22">
        <v>311</v>
      </c>
      <c r="L53" s="22">
        <v>313</v>
      </c>
      <c r="M53" s="22">
        <v>316</v>
      </c>
      <c r="N53" s="22">
        <v>-290</v>
      </c>
      <c r="O53" s="22">
        <v>164</v>
      </c>
      <c r="P53" s="22">
        <v>215</v>
      </c>
      <c r="Q53" s="22">
        <v>152</v>
      </c>
      <c r="R53" s="404"/>
      <c r="S53" s="404"/>
      <c r="T53" s="404"/>
      <c r="U53" s="22">
        <v>1014</v>
      </c>
      <c r="V53" s="22">
        <v>838.75599999999997</v>
      </c>
      <c r="W53" s="22">
        <v>831.63199999999995</v>
      </c>
      <c r="X53" s="22">
        <v>736.94500000000005</v>
      </c>
      <c r="Y53" s="22">
        <v>722</v>
      </c>
      <c r="Z53" s="22">
        <v>778.98</v>
      </c>
      <c r="AA53" s="22">
        <v>674.78300000000002</v>
      </c>
      <c r="AB53" s="22">
        <v>661.39200000000005</v>
      </c>
      <c r="AC53" s="22">
        <v>689.61300000000006</v>
      </c>
      <c r="AD53" s="22">
        <v>680.69100000000003</v>
      </c>
      <c r="AE53" s="22">
        <v>584.28700000000003</v>
      </c>
      <c r="AF53" s="22">
        <v>350.976</v>
      </c>
      <c r="AG53" s="22">
        <v>374.49700000000001</v>
      </c>
      <c r="AH53" s="22">
        <v>671.48800000000006</v>
      </c>
      <c r="AI53" s="22">
        <v>1186.752</v>
      </c>
      <c r="AJ53" s="11">
        <v>1731.585</v>
      </c>
      <c r="AK53" s="22">
        <v>1264.691</v>
      </c>
      <c r="AL53" s="22">
        <v>1081.4359999999999</v>
      </c>
      <c r="AM53" s="22">
        <v>1654.972</v>
      </c>
      <c r="AN53" s="22">
        <v>1685.0360000000001</v>
      </c>
      <c r="AO53" s="22">
        <v>1793.1379999999999</v>
      </c>
      <c r="AP53" s="22">
        <v>2404.6379999999999</v>
      </c>
      <c r="AQ53" s="22">
        <v>2317.7469999999998</v>
      </c>
      <c r="AR53" s="22">
        <v>2154.0169999999998</v>
      </c>
      <c r="AS53" s="22">
        <v>1596.2860000000001</v>
      </c>
      <c r="AT53" s="22">
        <v>1485.451</v>
      </c>
      <c r="AU53" s="22">
        <v>1293.54</v>
      </c>
      <c r="AV53" s="22">
        <v>594.79700000000003</v>
      </c>
      <c r="AW53" s="22">
        <v>-433.89400000000001</v>
      </c>
      <c r="AX53" s="22">
        <v>103.23399999999999</v>
      </c>
      <c r="AY53" s="22">
        <v>87.028999999999996</v>
      </c>
      <c r="AZ53" s="22">
        <v>323.49799999999999</v>
      </c>
      <c r="BA53" s="11">
        <v>399.67399999999998</v>
      </c>
      <c r="BB53" s="11">
        <v>1808.261</v>
      </c>
      <c r="BC53" s="11">
        <v>1820.973</v>
      </c>
      <c r="BD53" s="11">
        <v>1636.2660000000001</v>
      </c>
      <c r="BE53" s="11">
        <v>1888.6859999999999</v>
      </c>
      <c r="BF53" s="11">
        <v>2353.0050000000001</v>
      </c>
      <c r="BG53" s="11">
        <v>2351.9259999999999</v>
      </c>
      <c r="BH53" s="11">
        <v>2284.8119999999999</v>
      </c>
      <c r="BI53" s="11">
        <v>2282.46</v>
      </c>
      <c r="BJ53" s="11">
        <v>33.548000000000002</v>
      </c>
      <c r="BK53" s="11">
        <v>29.059000000000001</v>
      </c>
      <c r="BL53" s="11">
        <v>27.227</v>
      </c>
      <c r="BM53" s="1">
        <v>26.346</v>
      </c>
      <c r="BN53" s="1">
        <v>27.689</v>
      </c>
      <c r="BO53" s="1">
        <v>27.108000000000001</v>
      </c>
      <c r="BP53" s="1">
        <v>32.83</v>
      </c>
      <c r="BQ53" s="1">
        <v>32.43</v>
      </c>
      <c r="BR53" s="1" t="s">
        <v>121</v>
      </c>
      <c r="BS53" s="1" t="s">
        <v>121</v>
      </c>
      <c r="BT53" s="1" t="s">
        <v>121</v>
      </c>
      <c r="BU53" s="1" t="s">
        <v>121</v>
      </c>
      <c r="BV53" s="1" t="s">
        <v>121</v>
      </c>
      <c r="BW53" s="1" t="s">
        <v>121</v>
      </c>
      <c r="BX53" s="1" t="s">
        <v>121</v>
      </c>
      <c r="BY53" s="1" t="s">
        <v>121</v>
      </c>
      <c r="BZ53" s="1" t="s">
        <v>121</v>
      </c>
      <c r="CA53" s="1" t="s">
        <v>121</v>
      </c>
      <c r="CB53" s="1" t="s">
        <v>121</v>
      </c>
      <c r="CC53" s="1" t="s">
        <v>121</v>
      </c>
      <c r="CD53" s="1" t="s">
        <v>121</v>
      </c>
      <c r="CE53" s="1" t="s">
        <v>121</v>
      </c>
      <c r="CF53" s="1" t="s">
        <v>121</v>
      </c>
      <c r="CG53" s="1" t="s">
        <v>121</v>
      </c>
      <c r="CH53" s="1" t="s">
        <v>121</v>
      </c>
      <c r="CI53" s="1" t="s">
        <v>121</v>
      </c>
      <c r="CJ53" s="1" t="s">
        <v>121</v>
      </c>
      <c r="CK53" s="1" t="s">
        <v>121</v>
      </c>
      <c r="CL53" s="1" t="s">
        <v>121</v>
      </c>
      <c r="CM53" s="1" t="s">
        <v>121</v>
      </c>
      <c r="CN53" s="1" t="s">
        <v>121</v>
      </c>
      <c r="CO53" s="1" t="s">
        <v>121</v>
      </c>
      <c r="CP53" s="1" t="s">
        <v>121</v>
      </c>
      <c r="CQ53" s="1" t="s">
        <v>121</v>
      </c>
      <c r="CR53" s="1" t="s">
        <v>121</v>
      </c>
      <c r="CS53" s="1" t="s">
        <v>121</v>
      </c>
      <c r="CT53" s="1" t="s">
        <v>121</v>
      </c>
      <c r="CU53" s="1" t="s">
        <v>121</v>
      </c>
      <c r="CV53" s="1" t="s">
        <v>121</v>
      </c>
      <c r="CW53" s="1" t="s">
        <v>121</v>
      </c>
      <c r="CX53" s="1" t="s">
        <v>121</v>
      </c>
      <c r="CY53" s="1" t="s">
        <v>121</v>
      </c>
      <c r="CZ53" s="1" t="s">
        <v>121</v>
      </c>
      <c r="DA53" s="1" t="s">
        <v>121</v>
      </c>
      <c r="DB53" s="1" t="s">
        <v>121</v>
      </c>
      <c r="DC53" s="1" t="s">
        <v>121</v>
      </c>
      <c r="DD53" s="1" t="s">
        <v>121</v>
      </c>
      <c r="DE53" s="1" t="s">
        <v>121</v>
      </c>
      <c r="DF53" s="1" t="s">
        <v>121</v>
      </c>
      <c r="DG53" s="1" t="s">
        <v>121</v>
      </c>
      <c r="DH53" s="1" t="s">
        <v>121</v>
      </c>
      <c r="DI53" s="1" t="s">
        <v>121</v>
      </c>
      <c r="DJ53" s="1" t="s">
        <v>121</v>
      </c>
      <c r="DK53" s="1" t="s">
        <v>121</v>
      </c>
      <c r="DL53" s="1" t="s">
        <v>121</v>
      </c>
      <c r="DM53" s="1" t="s">
        <v>121</v>
      </c>
      <c r="DN53" s="1" t="s">
        <v>121</v>
      </c>
      <c r="DO53" s="1" t="s">
        <v>121</v>
      </c>
      <c r="DP53" s="1" t="s">
        <v>121</v>
      </c>
      <c r="DQ53" s="1" t="s">
        <v>121</v>
      </c>
      <c r="DR53" s="1" t="s">
        <v>121</v>
      </c>
      <c r="DS53" s="1" t="s">
        <v>121</v>
      </c>
      <c r="DT53" s="1" t="s">
        <v>121</v>
      </c>
      <c r="DU53" s="1" t="s">
        <v>121</v>
      </c>
      <c r="DV53" s="1" t="s">
        <v>121</v>
      </c>
      <c r="DW53" s="1" t="s">
        <v>121</v>
      </c>
      <c r="DX53" s="1" t="s">
        <v>121</v>
      </c>
      <c r="DY53" s="1" t="s">
        <v>121</v>
      </c>
      <c r="DZ53" s="1" t="s">
        <v>121</v>
      </c>
      <c r="EA53" s="1" t="s">
        <v>121</v>
      </c>
      <c r="EB53" s="1" t="s">
        <v>121</v>
      </c>
      <c r="EC53" s="1" t="s">
        <v>121</v>
      </c>
      <c r="ED53" s="1" t="s">
        <v>121</v>
      </c>
      <c r="EE53" s="1" t="s">
        <v>121</v>
      </c>
      <c r="EF53" s="1" t="s">
        <v>121</v>
      </c>
      <c r="EG53" s="1" t="s">
        <v>121</v>
      </c>
      <c r="EH53" s="1" t="s">
        <v>121</v>
      </c>
      <c r="EI53" s="1" t="s">
        <v>121</v>
      </c>
      <c r="EJ53" s="1" t="s">
        <v>121</v>
      </c>
      <c r="EK53" s="1" t="s">
        <v>121</v>
      </c>
    </row>
    <row r="54" spans="1:141" ht="15" customHeight="1" x14ac:dyDescent="0.25">
      <c r="A54" s="72">
        <v>54</v>
      </c>
      <c r="B54" s="5" t="s">
        <v>305</v>
      </c>
      <c r="C54" s="91" t="s">
        <v>121</v>
      </c>
      <c r="D54" s="86" t="s">
        <v>121</v>
      </c>
      <c r="E54" s="92" t="s">
        <v>121</v>
      </c>
      <c r="F54" s="22" t="s">
        <v>121</v>
      </c>
      <c r="G54" s="22" t="s">
        <v>121</v>
      </c>
      <c r="H54" s="22" t="s">
        <v>121</v>
      </c>
      <c r="I54" s="22" t="s">
        <v>121</v>
      </c>
      <c r="J54" s="22" t="s">
        <v>121</v>
      </c>
      <c r="K54" s="22" t="s">
        <v>121</v>
      </c>
      <c r="L54" s="22" t="s">
        <v>121</v>
      </c>
      <c r="M54" s="22" t="s">
        <v>121</v>
      </c>
      <c r="N54" s="22" t="s">
        <v>121</v>
      </c>
      <c r="O54" s="22" t="s">
        <v>121</v>
      </c>
      <c r="P54" s="22" t="s">
        <v>121</v>
      </c>
      <c r="Q54" s="22">
        <v>94</v>
      </c>
      <c r="R54" s="404"/>
      <c r="S54" s="404"/>
      <c r="T54" s="404"/>
      <c r="U54" s="22">
        <v>24</v>
      </c>
      <c r="V54" s="22">
        <v>23.207000000000001</v>
      </c>
      <c r="W54" s="22">
        <v>23.946999999999999</v>
      </c>
      <c r="X54" s="22">
        <v>32.441000000000003</v>
      </c>
      <c r="Y54" s="22">
        <v>23</v>
      </c>
      <c r="Z54" s="22">
        <v>22.469000000000001</v>
      </c>
      <c r="AA54" s="22">
        <v>22.87</v>
      </c>
      <c r="AB54" s="22">
        <v>11.79</v>
      </c>
      <c r="AC54" s="22">
        <v>-8.9890000000000008</v>
      </c>
      <c r="AD54" s="22">
        <v>-17.617000000000001</v>
      </c>
      <c r="AE54" s="22">
        <v>-18.898</v>
      </c>
      <c r="AF54" s="22">
        <v>-18.956</v>
      </c>
      <c r="AG54" s="22">
        <v>2.0470000000000002</v>
      </c>
      <c r="AH54" s="22">
        <v>-8.6829999999999998</v>
      </c>
      <c r="AI54" s="22">
        <v>-3.5750000000000002</v>
      </c>
      <c r="AJ54" s="11">
        <v>-1.4810000000000001</v>
      </c>
      <c r="AK54" s="22">
        <v>-1.4510000000000001</v>
      </c>
      <c r="AL54" s="22">
        <v>-1.286</v>
      </c>
      <c r="AM54" s="22">
        <v>-1.339</v>
      </c>
      <c r="AN54" s="22">
        <v>-1.546</v>
      </c>
      <c r="AO54" s="22" t="s">
        <v>121</v>
      </c>
      <c r="AP54" s="22" t="s">
        <v>121</v>
      </c>
      <c r="AQ54" s="22" t="s">
        <v>121</v>
      </c>
      <c r="AR54" s="22" t="s">
        <v>121</v>
      </c>
      <c r="AS54" s="22" t="s">
        <v>121</v>
      </c>
      <c r="AT54" s="22" t="s">
        <v>121</v>
      </c>
      <c r="AU54" s="22" t="s">
        <v>121</v>
      </c>
      <c r="AV54" s="22" t="s">
        <v>121</v>
      </c>
      <c r="AW54" s="22" t="s">
        <v>121</v>
      </c>
      <c r="AX54" s="22" t="s">
        <v>121</v>
      </c>
      <c r="AY54" s="22" t="s">
        <v>121</v>
      </c>
      <c r="AZ54" s="22" t="s">
        <v>121</v>
      </c>
      <c r="BA54" s="11" t="s">
        <v>121</v>
      </c>
      <c r="BB54" s="11" t="s">
        <v>121</v>
      </c>
      <c r="BC54" s="11" t="s">
        <v>121</v>
      </c>
      <c r="BD54" s="11" t="s">
        <v>121</v>
      </c>
      <c r="BE54" s="11" t="s">
        <v>121</v>
      </c>
      <c r="BF54" s="11" t="s">
        <v>121</v>
      </c>
      <c r="BG54" s="11" t="s">
        <v>121</v>
      </c>
      <c r="BH54" s="11" t="s">
        <v>121</v>
      </c>
      <c r="BI54" s="11" t="s">
        <v>121</v>
      </c>
      <c r="BJ54" s="11" t="s">
        <v>121</v>
      </c>
      <c r="BK54" s="11" t="s">
        <v>121</v>
      </c>
      <c r="BL54" s="11" t="s">
        <v>121</v>
      </c>
      <c r="BM54" s="1" t="s">
        <v>121</v>
      </c>
      <c r="BN54" s="1" t="s">
        <v>121</v>
      </c>
      <c r="BO54" s="1" t="s">
        <v>121</v>
      </c>
      <c r="BP54" s="1" t="s">
        <v>121</v>
      </c>
      <c r="BQ54" s="1" t="s">
        <v>121</v>
      </c>
      <c r="BR54" s="1" t="s">
        <v>121</v>
      </c>
      <c r="BS54" s="1" t="s">
        <v>121</v>
      </c>
      <c r="BT54" s="1" t="s">
        <v>121</v>
      </c>
      <c r="BU54" s="1" t="s">
        <v>121</v>
      </c>
      <c r="BV54" s="1" t="s">
        <v>121</v>
      </c>
      <c r="BW54" s="1" t="s">
        <v>121</v>
      </c>
      <c r="BX54" s="1" t="s">
        <v>121</v>
      </c>
      <c r="BY54" s="1" t="s">
        <v>121</v>
      </c>
      <c r="BZ54" s="1" t="s">
        <v>121</v>
      </c>
      <c r="CA54" s="1" t="s">
        <v>121</v>
      </c>
      <c r="CB54" s="1" t="s">
        <v>121</v>
      </c>
      <c r="CC54" s="1" t="s">
        <v>121</v>
      </c>
      <c r="CD54" s="1" t="s">
        <v>121</v>
      </c>
      <c r="CE54" s="1" t="s">
        <v>121</v>
      </c>
      <c r="CF54" s="1" t="s">
        <v>121</v>
      </c>
      <c r="CG54" s="1" t="s">
        <v>121</v>
      </c>
      <c r="CH54" s="1" t="s">
        <v>121</v>
      </c>
      <c r="CI54" s="1" t="s">
        <v>121</v>
      </c>
      <c r="CJ54" s="1" t="s">
        <v>121</v>
      </c>
      <c r="CK54" s="1" t="s">
        <v>121</v>
      </c>
      <c r="CL54" s="1" t="s">
        <v>121</v>
      </c>
      <c r="CM54" s="1" t="s">
        <v>121</v>
      </c>
      <c r="CN54" s="1" t="s">
        <v>121</v>
      </c>
      <c r="CO54" s="1" t="s">
        <v>121</v>
      </c>
      <c r="CP54" s="1" t="s">
        <v>121</v>
      </c>
      <c r="CQ54" s="1" t="s">
        <v>121</v>
      </c>
      <c r="CR54" s="1" t="s">
        <v>121</v>
      </c>
      <c r="CS54" s="1" t="s">
        <v>121</v>
      </c>
      <c r="CT54" s="1" t="s">
        <v>121</v>
      </c>
      <c r="CU54" s="1" t="s">
        <v>121</v>
      </c>
      <c r="CV54" s="1" t="s">
        <v>121</v>
      </c>
      <c r="CW54" s="1" t="s">
        <v>121</v>
      </c>
      <c r="CX54" s="1" t="s">
        <v>121</v>
      </c>
      <c r="CY54" s="1" t="s">
        <v>121</v>
      </c>
      <c r="CZ54" s="1" t="s">
        <v>121</v>
      </c>
      <c r="DA54" s="1" t="s">
        <v>121</v>
      </c>
      <c r="DB54" s="1" t="s">
        <v>121</v>
      </c>
      <c r="DC54" s="1" t="s">
        <v>121</v>
      </c>
      <c r="DD54" s="1" t="s">
        <v>121</v>
      </c>
      <c r="DE54" s="1" t="s">
        <v>121</v>
      </c>
      <c r="DF54" s="1" t="s">
        <v>121</v>
      </c>
      <c r="DG54" s="1" t="s">
        <v>121</v>
      </c>
      <c r="DH54" s="1" t="s">
        <v>121</v>
      </c>
      <c r="DI54" s="1" t="s">
        <v>121</v>
      </c>
      <c r="DJ54" s="1" t="s">
        <v>121</v>
      </c>
      <c r="DK54" s="1" t="s">
        <v>121</v>
      </c>
      <c r="DL54" s="1" t="s">
        <v>121</v>
      </c>
      <c r="DM54" s="1" t="s">
        <v>121</v>
      </c>
      <c r="DN54" s="1" t="s">
        <v>121</v>
      </c>
      <c r="DO54" s="1" t="s">
        <v>121</v>
      </c>
      <c r="DP54" s="1" t="s">
        <v>121</v>
      </c>
      <c r="DQ54" s="1" t="s">
        <v>121</v>
      </c>
      <c r="DR54" s="1" t="s">
        <v>121</v>
      </c>
      <c r="DS54" s="1" t="s">
        <v>121</v>
      </c>
      <c r="DT54" s="1" t="s">
        <v>121</v>
      </c>
      <c r="DU54" s="1" t="s">
        <v>121</v>
      </c>
      <c r="DV54" s="1" t="s">
        <v>121</v>
      </c>
      <c r="DW54" s="1" t="s">
        <v>121</v>
      </c>
      <c r="DX54" s="1" t="s">
        <v>121</v>
      </c>
      <c r="DY54" s="1" t="s">
        <v>121</v>
      </c>
      <c r="DZ54" s="1" t="s">
        <v>121</v>
      </c>
      <c r="EA54" s="1" t="s">
        <v>121</v>
      </c>
      <c r="EB54" s="1" t="s">
        <v>121</v>
      </c>
      <c r="EC54" s="1" t="s">
        <v>121</v>
      </c>
      <c r="ED54" s="1" t="s">
        <v>121</v>
      </c>
      <c r="EE54" s="1" t="s">
        <v>121</v>
      </c>
      <c r="EF54" s="1" t="s">
        <v>121</v>
      </c>
      <c r="EG54" s="1" t="s">
        <v>121</v>
      </c>
      <c r="EH54" s="1" t="s">
        <v>121</v>
      </c>
      <c r="EI54" s="1" t="s">
        <v>121</v>
      </c>
      <c r="EJ54" s="1" t="s">
        <v>121</v>
      </c>
      <c r="EK54" s="1" t="s">
        <v>121</v>
      </c>
    </row>
    <row r="55" spans="1:141" ht="15" customHeight="1" x14ac:dyDescent="0.25">
      <c r="A55" s="72">
        <v>55</v>
      </c>
      <c r="B55" s="5" t="s">
        <v>306</v>
      </c>
      <c r="C55" s="91" t="s">
        <v>121</v>
      </c>
      <c r="D55" s="86" t="s">
        <v>121</v>
      </c>
      <c r="E55" s="92" t="s">
        <v>121</v>
      </c>
      <c r="F55" s="83">
        <v>195021</v>
      </c>
      <c r="G55" s="83">
        <v>186255</v>
      </c>
      <c r="H55" s="83">
        <v>190283</v>
      </c>
      <c r="I55" s="83">
        <v>174756</v>
      </c>
      <c r="J55" s="22">
        <v>173705</v>
      </c>
      <c r="K55" s="22">
        <v>160432</v>
      </c>
      <c r="L55" s="22">
        <v>159534</v>
      </c>
      <c r="M55" s="83">
        <v>146514</v>
      </c>
      <c r="N55" s="83">
        <v>144590</v>
      </c>
      <c r="O55" s="22">
        <v>136065</v>
      </c>
      <c r="P55" s="22">
        <v>131743</v>
      </c>
      <c r="Q55" s="22">
        <v>117122</v>
      </c>
      <c r="R55" s="404"/>
      <c r="S55" s="404"/>
      <c r="T55" s="404"/>
      <c r="U55" s="22">
        <v>74089</v>
      </c>
      <c r="V55" s="22">
        <v>67368.111000000004</v>
      </c>
      <c r="W55" s="22">
        <v>62970.239000000001</v>
      </c>
      <c r="X55" s="22">
        <v>60178.334000000003</v>
      </c>
      <c r="Y55" s="22">
        <v>57785</v>
      </c>
      <c r="Z55" s="22">
        <v>55592.303999999996</v>
      </c>
      <c r="AA55" s="22">
        <v>52842.06</v>
      </c>
      <c r="AB55" s="22">
        <v>50737.646000000001</v>
      </c>
      <c r="AC55" s="22">
        <v>48456.483</v>
      </c>
      <c r="AD55" s="22">
        <v>46618.648000000001</v>
      </c>
      <c r="AE55" s="22">
        <v>44611.612000000001</v>
      </c>
      <c r="AF55" s="22">
        <v>44075.394</v>
      </c>
      <c r="AG55" s="22">
        <v>42903.49</v>
      </c>
      <c r="AH55" s="22">
        <v>40349.639000000003</v>
      </c>
      <c r="AI55" s="22">
        <v>38311.286999999997</v>
      </c>
      <c r="AJ55" s="11">
        <v>36186.665999999997</v>
      </c>
      <c r="AK55" s="22">
        <v>37109.43</v>
      </c>
      <c r="AL55" s="22">
        <v>35362.767999999996</v>
      </c>
      <c r="AM55" s="22">
        <v>32975.593999999997</v>
      </c>
      <c r="AN55" s="22">
        <v>31616.55</v>
      </c>
      <c r="AO55" s="22">
        <v>30139.72</v>
      </c>
      <c r="AP55" s="22">
        <v>28892.581999999999</v>
      </c>
      <c r="AQ55" s="22">
        <v>27857.717000000001</v>
      </c>
      <c r="AR55" s="22">
        <v>27420.6</v>
      </c>
      <c r="AS55" s="22">
        <v>26251.09</v>
      </c>
      <c r="AT55" s="22">
        <v>25320.034</v>
      </c>
      <c r="AU55" s="22">
        <v>24200.11</v>
      </c>
      <c r="AV55" s="22">
        <v>23728.933000000001</v>
      </c>
      <c r="AW55" s="22">
        <v>22736.128000000001</v>
      </c>
      <c r="AX55" s="22">
        <v>22919.308000000001</v>
      </c>
      <c r="AY55" s="22">
        <v>21690.592000000001</v>
      </c>
      <c r="AZ55" s="22">
        <v>20497.2</v>
      </c>
      <c r="BA55" s="11">
        <v>18821.637999999999</v>
      </c>
      <c r="BB55" s="11">
        <v>15742.261</v>
      </c>
      <c r="BC55" s="11">
        <v>14129.522000000001</v>
      </c>
      <c r="BD55" s="11">
        <v>14073.687</v>
      </c>
      <c r="BE55" s="11">
        <v>12993.757</v>
      </c>
      <c r="BF55" s="11">
        <v>12463.923000000001</v>
      </c>
      <c r="BG55" s="11">
        <v>11767.276</v>
      </c>
      <c r="BH55" s="11">
        <v>12446.708000000001</v>
      </c>
      <c r="BI55" s="11">
        <v>12297.014999999999</v>
      </c>
      <c r="BJ55" s="11">
        <v>12042.61</v>
      </c>
      <c r="BK55" s="11">
        <v>10899.996999999999</v>
      </c>
      <c r="BL55" s="11">
        <v>9288.5319999999992</v>
      </c>
      <c r="BM55" s="1">
        <v>7198.1450000000004</v>
      </c>
      <c r="BN55" s="1">
        <v>5383.3710000000001</v>
      </c>
      <c r="BO55" s="1">
        <v>4210.5119999999997</v>
      </c>
      <c r="BP55" s="1">
        <v>4262.2349999999997</v>
      </c>
      <c r="BQ55" s="1">
        <v>3912.4009999999998</v>
      </c>
      <c r="BR55" s="1" t="s">
        <v>121</v>
      </c>
      <c r="BS55" s="1" t="s">
        <v>121</v>
      </c>
      <c r="BT55" s="1" t="s">
        <v>121</v>
      </c>
      <c r="BU55" s="1" t="s">
        <v>121</v>
      </c>
      <c r="BV55" s="1" t="s">
        <v>121</v>
      </c>
      <c r="BW55" s="1" t="s">
        <v>121</v>
      </c>
      <c r="BX55" s="1" t="s">
        <v>121</v>
      </c>
      <c r="BY55" s="1" t="s">
        <v>121</v>
      </c>
      <c r="BZ55" s="1" t="s">
        <v>121</v>
      </c>
      <c r="CA55" s="1" t="s">
        <v>121</v>
      </c>
      <c r="CB55" s="1" t="s">
        <v>121</v>
      </c>
      <c r="CC55" s="1" t="s">
        <v>121</v>
      </c>
      <c r="CD55" s="1" t="s">
        <v>121</v>
      </c>
      <c r="CE55" s="1" t="s">
        <v>121</v>
      </c>
      <c r="CF55" s="1" t="s">
        <v>121</v>
      </c>
      <c r="CG55" s="1" t="s">
        <v>121</v>
      </c>
      <c r="CH55" s="1" t="s">
        <v>121</v>
      </c>
      <c r="CI55" s="1" t="s">
        <v>121</v>
      </c>
      <c r="CJ55" s="1" t="s">
        <v>121</v>
      </c>
      <c r="CK55" s="1" t="s">
        <v>121</v>
      </c>
      <c r="CL55" s="1" t="s">
        <v>121</v>
      </c>
      <c r="CM55" s="1" t="s">
        <v>121</v>
      </c>
      <c r="CN55" s="1" t="s">
        <v>121</v>
      </c>
      <c r="CO55" s="1" t="s">
        <v>121</v>
      </c>
      <c r="CP55" s="1" t="s">
        <v>121</v>
      </c>
      <c r="CQ55" s="1" t="s">
        <v>121</v>
      </c>
      <c r="CR55" s="1" t="s">
        <v>121</v>
      </c>
      <c r="CS55" s="1" t="s">
        <v>121</v>
      </c>
      <c r="CT55" s="1" t="s">
        <v>121</v>
      </c>
      <c r="CU55" s="1" t="s">
        <v>121</v>
      </c>
      <c r="CV55" s="1" t="s">
        <v>121</v>
      </c>
      <c r="CW55" s="1" t="s">
        <v>121</v>
      </c>
      <c r="CX55" s="1" t="s">
        <v>121</v>
      </c>
      <c r="CY55" s="1" t="s">
        <v>121</v>
      </c>
      <c r="CZ55" s="1" t="s">
        <v>121</v>
      </c>
      <c r="DA55" s="1" t="s">
        <v>121</v>
      </c>
      <c r="DB55" s="1" t="s">
        <v>121</v>
      </c>
      <c r="DC55" s="1" t="s">
        <v>121</v>
      </c>
      <c r="DD55" s="1" t="s">
        <v>121</v>
      </c>
      <c r="DE55" s="1" t="s">
        <v>121</v>
      </c>
      <c r="DF55" s="1" t="s">
        <v>121</v>
      </c>
      <c r="DG55" s="1" t="s">
        <v>121</v>
      </c>
      <c r="DH55" s="1" t="s">
        <v>121</v>
      </c>
      <c r="DI55" s="1" t="s">
        <v>121</v>
      </c>
      <c r="DJ55" s="1" t="s">
        <v>121</v>
      </c>
      <c r="DK55" s="1" t="s">
        <v>121</v>
      </c>
      <c r="DL55" s="1" t="s">
        <v>121</v>
      </c>
      <c r="DM55" s="1" t="s">
        <v>121</v>
      </c>
      <c r="DN55" s="1" t="s">
        <v>121</v>
      </c>
      <c r="DO55" s="1" t="s">
        <v>121</v>
      </c>
      <c r="DP55" s="1" t="s">
        <v>121</v>
      </c>
      <c r="DQ55" s="1" t="s">
        <v>121</v>
      </c>
      <c r="DR55" s="1" t="s">
        <v>121</v>
      </c>
      <c r="DS55" s="1" t="s">
        <v>121</v>
      </c>
      <c r="DT55" s="1" t="s">
        <v>121</v>
      </c>
      <c r="DU55" s="1" t="s">
        <v>121</v>
      </c>
      <c r="DV55" s="1" t="s">
        <v>121</v>
      </c>
      <c r="DW55" s="1" t="s">
        <v>121</v>
      </c>
      <c r="DX55" s="1" t="s">
        <v>121</v>
      </c>
      <c r="DY55" s="1" t="s">
        <v>121</v>
      </c>
      <c r="DZ55" s="1" t="s">
        <v>121</v>
      </c>
      <c r="EA55" s="1" t="s">
        <v>121</v>
      </c>
      <c r="EB55" s="1" t="s">
        <v>121</v>
      </c>
      <c r="EC55" s="1" t="s">
        <v>121</v>
      </c>
      <c r="ED55" s="1" t="s">
        <v>121</v>
      </c>
      <c r="EE55" s="1" t="s">
        <v>121</v>
      </c>
      <c r="EF55" s="1" t="s">
        <v>121</v>
      </c>
      <c r="EG55" s="1" t="s">
        <v>121</v>
      </c>
      <c r="EH55" s="1" t="s">
        <v>121</v>
      </c>
      <c r="EI55" s="1" t="s">
        <v>121</v>
      </c>
      <c r="EJ55" s="1" t="s">
        <v>121</v>
      </c>
      <c r="EK55" s="1" t="s">
        <v>121</v>
      </c>
    </row>
    <row r="56" spans="1:141" s="19" customFormat="1" ht="26.1" customHeight="1" x14ac:dyDescent="0.25">
      <c r="A56" s="72">
        <v>56</v>
      </c>
      <c r="B56" s="19" t="s">
        <v>307</v>
      </c>
      <c r="C56" s="93">
        <v>4.1090420534405592E-2</v>
      </c>
      <c r="D56" s="123">
        <v>0.10409816464398869</v>
      </c>
      <c r="E56" s="94">
        <v>0.10014644195686162</v>
      </c>
      <c r="F56" s="65">
        <v>221619</v>
      </c>
      <c r="G56" s="65">
        <v>212872</v>
      </c>
      <c r="H56" s="65">
        <v>216974</v>
      </c>
      <c r="I56" s="65">
        <v>201445</v>
      </c>
      <c r="J56" s="65">
        <v>200724</v>
      </c>
      <c r="K56" s="65">
        <v>187771</v>
      </c>
      <c r="L56" s="65">
        <v>186909</v>
      </c>
      <c r="M56" s="65">
        <v>173892</v>
      </c>
      <c r="N56" s="65">
        <v>170959</v>
      </c>
      <c r="O56" s="65">
        <v>163021</v>
      </c>
      <c r="P56" s="65">
        <v>159318</v>
      </c>
      <c r="Q56" s="65">
        <v>144780</v>
      </c>
      <c r="R56" s="404"/>
      <c r="S56" s="404"/>
      <c r="T56" s="404"/>
      <c r="U56" s="65">
        <v>103866</v>
      </c>
      <c r="V56" s="65">
        <v>98041.972999999998</v>
      </c>
      <c r="W56" s="65">
        <v>93899.879000000001</v>
      </c>
      <c r="X56" s="65">
        <v>91111.274000000005</v>
      </c>
      <c r="Y56" s="65">
        <v>88693</v>
      </c>
      <c r="Z56" s="65">
        <v>86537.421999999991</v>
      </c>
      <c r="AA56" s="65">
        <v>83683.381999999998</v>
      </c>
      <c r="AB56" s="65">
        <v>81643.989000000001</v>
      </c>
      <c r="AC56" s="65">
        <v>79370.267999999996</v>
      </c>
      <c r="AD56" s="65">
        <v>78459.861999999994</v>
      </c>
      <c r="AE56" s="65">
        <v>76355.141000000003</v>
      </c>
      <c r="AF56" s="65">
        <v>75585.554000000004</v>
      </c>
      <c r="AG56" s="65">
        <v>74567.11</v>
      </c>
      <c r="AH56" s="65">
        <v>72959.510999999999</v>
      </c>
      <c r="AI56" s="20">
        <v>71441.531000000003</v>
      </c>
      <c r="AJ56" s="20">
        <v>69863.837</v>
      </c>
      <c r="AK56" s="20">
        <v>70319.736999999994</v>
      </c>
      <c r="AL56" s="20">
        <v>68554.649999999994</v>
      </c>
      <c r="AM56" s="20">
        <v>63560.959000000003</v>
      </c>
      <c r="AN56" s="20">
        <v>62236.148000000001</v>
      </c>
      <c r="AO56" s="20">
        <v>60868.966</v>
      </c>
      <c r="AP56" s="20">
        <v>60233.327999999994</v>
      </c>
      <c r="AQ56" s="20">
        <v>59111.572</v>
      </c>
      <c r="AR56" s="20">
        <v>57930.523000000001</v>
      </c>
      <c r="AS56" s="20">
        <v>56783.483999999997</v>
      </c>
      <c r="AT56" s="20">
        <v>55741.082000000002</v>
      </c>
      <c r="AU56" s="20">
        <v>54429.247000000003</v>
      </c>
      <c r="AV56" s="20">
        <v>53248.308000000005</v>
      </c>
      <c r="AW56" s="20">
        <v>51294.341</v>
      </c>
      <c r="AX56" s="20">
        <v>51433.47</v>
      </c>
      <c r="AY56" s="20">
        <v>50232.263999999996</v>
      </c>
      <c r="AZ56" s="20">
        <v>49275.341</v>
      </c>
      <c r="BA56" s="20">
        <v>47675.955000000002</v>
      </c>
      <c r="BB56" s="20">
        <v>46005.165000000001</v>
      </c>
      <c r="BC56" s="20">
        <v>41386.551000000007</v>
      </c>
      <c r="BD56" s="20">
        <v>41146.008999999998</v>
      </c>
      <c r="BE56" s="20">
        <v>40318.499000000003</v>
      </c>
      <c r="BF56" s="20">
        <v>40205.802000000003</v>
      </c>
      <c r="BG56" s="20">
        <v>39511.800000000003</v>
      </c>
      <c r="BH56" s="20">
        <v>40148.438999999998</v>
      </c>
      <c r="BI56" s="20">
        <v>40022.803</v>
      </c>
      <c r="BJ56" s="20">
        <v>36139.198000000004</v>
      </c>
      <c r="BK56" s="20">
        <v>32268.776000000002</v>
      </c>
      <c r="BL56" s="20">
        <v>30655.478999999999</v>
      </c>
      <c r="BM56" s="19">
        <v>28564.211000000003</v>
      </c>
      <c r="BN56" s="19">
        <v>26750.78</v>
      </c>
      <c r="BO56" s="19">
        <v>25577.34</v>
      </c>
      <c r="BP56" s="19">
        <v>25634.785000000003</v>
      </c>
      <c r="BQ56" s="19">
        <v>25284.550999999999</v>
      </c>
      <c r="BR56" s="19" t="s">
        <v>121</v>
      </c>
      <c r="BS56" s="19" t="s">
        <v>121</v>
      </c>
      <c r="BT56" s="19" t="s">
        <v>121</v>
      </c>
      <c r="BU56" s="19" t="s">
        <v>121</v>
      </c>
      <c r="BV56" s="19" t="s">
        <v>121</v>
      </c>
      <c r="BW56" s="19" t="s">
        <v>121</v>
      </c>
      <c r="BX56" s="19" t="s">
        <v>121</v>
      </c>
      <c r="BY56" s="19" t="s">
        <v>121</v>
      </c>
      <c r="BZ56" s="19" t="s">
        <v>121</v>
      </c>
      <c r="CA56" s="19" t="s">
        <v>121</v>
      </c>
      <c r="CB56" s="19" t="s">
        <v>121</v>
      </c>
      <c r="CC56" s="19" t="s">
        <v>121</v>
      </c>
      <c r="CD56" s="19" t="s">
        <v>121</v>
      </c>
      <c r="CE56" s="19" t="s">
        <v>121</v>
      </c>
      <c r="CF56" s="19" t="s">
        <v>121</v>
      </c>
      <c r="CG56" s="19" t="s">
        <v>121</v>
      </c>
      <c r="CH56" s="19" t="s">
        <v>121</v>
      </c>
      <c r="CI56" s="19" t="s">
        <v>121</v>
      </c>
      <c r="CJ56" s="19" t="s">
        <v>121</v>
      </c>
      <c r="CK56" s="19" t="s">
        <v>121</v>
      </c>
      <c r="CL56" s="19" t="s">
        <v>121</v>
      </c>
      <c r="CM56" s="19" t="s">
        <v>121</v>
      </c>
      <c r="CN56" s="19" t="s">
        <v>121</v>
      </c>
      <c r="CO56" s="19" t="s">
        <v>121</v>
      </c>
      <c r="CP56" s="19" t="s">
        <v>121</v>
      </c>
      <c r="CQ56" s="19" t="s">
        <v>121</v>
      </c>
      <c r="CR56" s="19" t="s">
        <v>121</v>
      </c>
      <c r="CS56" s="19" t="s">
        <v>121</v>
      </c>
      <c r="CT56" s="19" t="s">
        <v>121</v>
      </c>
      <c r="CU56" s="19" t="s">
        <v>121</v>
      </c>
      <c r="CV56" s="19" t="s">
        <v>121</v>
      </c>
      <c r="CW56" s="19" t="s">
        <v>121</v>
      </c>
      <c r="CX56" s="19" t="s">
        <v>121</v>
      </c>
      <c r="CY56" s="19" t="s">
        <v>121</v>
      </c>
      <c r="CZ56" s="19" t="s">
        <v>121</v>
      </c>
      <c r="DA56" s="19" t="s">
        <v>121</v>
      </c>
      <c r="DB56" s="19" t="s">
        <v>121</v>
      </c>
      <c r="DC56" s="19" t="s">
        <v>121</v>
      </c>
      <c r="DD56" s="19" t="s">
        <v>121</v>
      </c>
      <c r="DE56" s="19" t="s">
        <v>121</v>
      </c>
      <c r="DF56" s="19" t="s">
        <v>121</v>
      </c>
      <c r="DG56" s="19" t="s">
        <v>121</v>
      </c>
      <c r="DH56" s="19" t="s">
        <v>121</v>
      </c>
      <c r="DI56" s="19" t="s">
        <v>121</v>
      </c>
      <c r="DJ56" s="19" t="s">
        <v>121</v>
      </c>
      <c r="DK56" s="19" t="s">
        <v>121</v>
      </c>
      <c r="DL56" s="19" t="s">
        <v>121</v>
      </c>
      <c r="DM56" s="19" t="s">
        <v>121</v>
      </c>
      <c r="DN56" s="19" t="s">
        <v>121</v>
      </c>
      <c r="DO56" s="19" t="s">
        <v>121</v>
      </c>
      <c r="DP56" s="19" t="s">
        <v>121</v>
      </c>
      <c r="DQ56" s="19" t="s">
        <v>121</v>
      </c>
      <c r="DR56" s="19" t="s">
        <v>121</v>
      </c>
      <c r="DS56" s="19" t="s">
        <v>121</v>
      </c>
      <c r="DT56" s="19" t="s">
        <v>121</v>
      </c>
      <c r="DU56" s="19" t="s">
        <v>121</v>
      </c>
      <c r="DV56" s="19" t="s">
        <v>121</v>
      </c>
      <c r="DW56" s="19" t="s">
        <v>121</v>
      </c>
      <c r="DX56" s="19" t="s">
        <v>121</v>
      </c>
      <c r="DY56" s="19" t="s">
        <v>121</v>
      </c>
      <c r="DZ56" s="19" t="s">
        <v>121</v>
      </c>
      <c r="EA56" s="19" t="s">
        <v>121</v>
      </c>
      <c r="EB56" s="19" t="s">
        <v>121</v>
      </c>
      <c r="EC56" s="19" t="s">
        <v>121</v>
      </c>
      <c r="ED56" s="19" t="s">
        <v>121</v>
      </c>
      <c r="EE56" s="19" t="s">
        <v>121</v>
      </c>
      <c r="EF56" s="19" t="s">
        <v>121</v>
      </c>
      <c r="EG56" s="19" t="s">
        <v>121</v>
      </c>
      <c r="EH56" s="19" t="s">
        <v>121</v>
      </c>
      <c r="EI56" s="19" t="s">
        <v>121</v>
      </c>
      <c r="EJ56" s="19" t="s">
        <v>121</v>
      </c>
      <c r="EK56" s="19" t="s">
        <v>121</v>
      </c>
    </row>
    <row r="57" spans="1:141" s="19" customFormat="1" ht="15" customHeight="1" x14ac:dyDescent="0.25">
      <c r="A57" s="72">
        <v>57</v>
      </c>
      <c r="B57" s="5" t="s">
        <v>308</v>
      </c>
      <c r="C57" s="93" t="s">
        <v>121</v>
      </c>
      <c r="D57" s="123" t="s">
        <v>121</v>
      </c>
      <c r="E57" s="94" t="s">
        <v>121</v>
      </c>
      <c r="F57" s="22" t="s">
        <v>121</v>
      </c>
      <c r="G57" s="22" t="s">
        <v>121</v>
      </c>
      <c r="H57" s="22" t="s">
        <v>121</v>
      </c>
      <c r="I57" s="22" t="s">
        <v>121</v>
      </c>
      <c r="J57" s="22" t="s">
        <v>121</v>
      </c>
      <c r="K57" s="22" t="s">
        <v>121</v>
      </c>
      <c r="L57" s="22" t="s">
        <v>121</v>
      </c>
      <c r="M57" s="22" t="s">
        <v>121</v>
      </c>
      <c r="N57" s="22" t="s">
        <v>121</v>
      </c>
      <c r="O57" s="22" t="s">
        <v>121</v>
      </c>
      <c r="P57" s="22" t="s">
        <v>121</v>
      </c>
      <c r="Q57" s="22" t="s">
        <v>121</v>
      </c>
      <c r="R57" s="404"/>
      <c r="S57" s="404"/>
      <c r="T57" s="404"/>
      <c r="U57" s="22" t="s">
        <v>121</v>
      </c>
      <c r="V57" s="22" t="s">
        <v>121</v>
      </c>
      <c r="W57" s="22" t="s">
        <v>121</v>
      </c>
      <c r="X57" s="22" t="s">
        <v>121</v>
      </c>
      <c r="Y57" s="22" t="s">
        <v>121</v>
      </c>
      <c r="Z57" s="22" t="s">
        <v>121</v>
      </c>
      <c r="AA57" s="22" t="s">
        <v>121</v>
      </c>
      <c r="AB57" s="22" t="s">
        <v>121</v>
      </c>
      <c r="AC57" s="22" t="s">
        <v>121</v>
      </c>
      <c r="AD57" s="22">
        <v>361.68200000000002</v>
      </c>
      <c r="AE57" s="22">
        <v>358.976</v>
      </c>
      <c r="AF57" s="22">
        <v>434.58100000000002</v>
      </c>
      <c r="AG57" s="22">
        <v>1086.5450000000001</v>
      </c>
      <c r="AH57" s="22">
        <v>1137.057</v>
      </c>
      <c r="AI57" s="20">
        <v>589.01499999999999</v>
      </c>
      <c r="AJ57" s="20">
        <v>603.38800000000003</v>
      </c>
      <c r="AK57" s="20">
        <v>590.39200000000005</v>
      </c>
      <c r="AL57" s="20">
        <v>583.13099999999997</v>
      </c>
      <c r="AM57" s="20">
        <v>490.69900000000001</v>
      </c>
      <c r="AN57" s="20" t="s">
        <v>121</v>
      </c>
      <c r="AO57" s="20" t="s">
        <v>121</v>
      </c>
      <c r="AP57" s="20" t="s">
        <v>121</v>
      </c>
      <c r="AQ57" s="20" t="s">
        <v>121</v>
      </c>
      <c r="AR57" s="20" t="s">
        <v>121</v>
      </c>
      <c r="AS57" s="20" t="s">
        <v>121</v>
      </c>
      <c r="AT57" s="20" t="s">
        <v>121</v>
      </c>
      <c r="AU57" s="20" t="s">
        <v>121</v>
      </c>
      <c r="AV57" s="20" t="s">
        <v>121</v>
      </c>
      <c r="AW57" s="20" t="s">
        <v>121</v>
      </c>
      <c r="AX57" s="20" t="s">
        <v>121</v>
      </c>
      <c r="AY57" s="20" t="s">
        <v>121</v>
      </c>
      <c r="AZ57" s="20" t="s">
        <v>121</v>
      </c>
      <c r="BA57" s="20" t="s">
        <v>121</v>
      </c>
      <c r="BB57" s="20" t="s">
        <v>121</v>
      </c>
      <c r="BC57" s="20" t="s">
        <v>121</v>
      </c>
      <c r="BD57" s="20" t="s">
        <v>121</v>
      </c>
      <c r="BE57" s="20" t="s">
        <v>121</v>
      </c>
      <c r="BF57" s="20" t="s">
        <v>121</v>
      </c>
      <c r="BG57" s="20" t="s">
        <v>121</v>
      </c>
      <c r="BH57" s="20" t="s">
        <v>121</v>
      </c>
      <c r="BI57" s="20" t="s">
        <v>121</v>
      </c>
      <c r="BJ57" s="20" t="s">
        <v>121</v>
      </c>
      <c r="BK57" s="20" t="s">
        <v>121</v>
      </c>
      <c r="BL57" s="20" t="s">
        <v>121</v>
      </c>
      <c r="BM57" s="19" t="s">
        <v>121</v>
      </c>
      <c r="BN57" s="19" t="s">
        <v>121</v>
      </c>
      <c r="BO57" s="19" t="s">
        <v>121</v>
      </c>
      <c r="BP57" s="19" t="s">
        <v>121</v>
      </c>
      <c r="BQ57" s="19" t="s">
        <v>121</v>
      </c>
      <c r="BR57" s="19" t="s">
        <v>121</v>
      </c>
      <c r="BS57" s="19" t="s">
        <v>121</v>
      </c>
      <c r="BT57" s="19" t="s">
        <v>121</v>
      </c>
      <c r="BU57" s="19" t="s">
        <v>121</v>
      </c>
      <c r="BV57" s="19" t="s">
        <v>121</v>
      </c>
      <c r="BW57" s="19" t="s">
        <v>121</v>
      </c>
      <c r="BX57" s="19" t="s">
        <v>121</v>
      </c>
      <c r="BY57" s="19" t="s">
        <v>121</v>
      </c>
      <c r="BZ57" s="19" t="s">
        <v>121</v>
      </c>
      <c r="CA57" s="19" t="s">
        <v>121</v>
      </c>
      <c r="CB57" s="19" t="s">
        <v>121</v>
      </c>
      <c r="CC57" s="19" t="s">
        <v>121</v>
      </c>
      <c r="CD57" s="19" t="s">
        <v>121</v>
      </c>
      <c r="CE57" s="19" t="s">
        <v>121</v>
      </c>
      <c r="CF57" s="19" t="s">
        <v>121</v>
      </c>
      <c r="CG57" s="19" t="s">
        <v>121</v>
      </c>
      <c r="CH57" s="19" t="s">
        <v>121</v>
      </c>
      <c r="CI57" s="19" t="s">
        <v>121</v>
      </c>
      <c r="CJ57" s="19" t="s">
        <v>121</v>
      </c>
      <c r="CK57" s="19" t="s">
        <v>121</v>
      </c>
      <c r="CL57" s="19" t="s">
        <v>121</v>
      </c>
      <c r="CM57" s="19" t="s">
        <v>121</v>
      </c>
      <c r="CN57" s="19" t="s">
        <v>121</v>
      </c>
      <c r="CO57" s="19" t="s">
        <v>121</v>
      </c>
      <c r="CP57" s="19" t="s">
        <v>121</v>
      </c>
      <c r="CQ57" s="19" t="s">
        <v>121</v>
      </c>
      <c r="CR57" s="19" t="s">
        <v>121</v>
      </c>
      <c r="CS57" s="19" t="s">
        <v>121</v>
      </c>
      <c r="CT57" s="19" t="s">
        <v>121</v>
      </c>
      <c r="CU57" s="19" t="s">
        <v>121</v>
      </c>
      <c r="CV57" s="19" t="s">
        <v>121</v>
      </c>
      <c r="CW57" s="19" t="s">
        <v>121</v>
      </c>
      <c r="CX57" s="19" t="s">
        <v>121</v>
      </c>
      <c r="CY57" s="19" t="s">
        <v>121</v>
      </c>
      <c r="CZ57" s="19" t="s">
        <v>121</v>
      </c>
      <c r="DA57" s="19" t="s">
        <v>121</v>
      </c>
      <c r="DB57" s="19" t="s">
        <v>121</v>
      </c>
      <c r="DC57" s="19" t="s">
        <v>121</v>
      </c>
      <c r="DD57" s="19" t="s">
        <v>121</v>
      </c>
      <c r="DE57" s="19" t="s">
        <v>121</v>
      </c>
      <c r="DF57" s="19" t="s">
        <v>121</v>
      </c>
      <c r="DG57" s="19" t="s">
        <v>121</v>
      </c>
      <c r="DH57" s="19" t="s">
        <v>121</v>
      </c>
      <c r="DI57" s="19" t="s">
        <v>121</v>
      </c>
      <c r="DJ57" s="19" t="s">
        <v>121</v>
      </c>
      <c r="DK57" s="19" t="s">
        <v>121</v>
      </c>
      <c r="DL57" s="19" t="s">
        <v>121</v>
      </c>
      <c r="DM57" s="19" t="s">
        <v>121</v>
      </c>
      <c r="DN57" s="19" t="s">
        <v>121</v>
      </c>
      <c r="DO57" s="19" t="s">
        <v>121</v>
      </c>
      <c r="DP57" s="19" t="s">
        <v>121</v>
      </c>
      <c r="DQ57" s="19" t="s">
        <v>121</v>
      </c>
      <c r="DR57" s="19" t="s">
        <v>121</v>
      </c>
      <c r="DS57" s="19" t="s">
        <v>121</v>
      </c>
      <c r="DT57" s="19" t="s">
        <v>121</v>
      </c>
      <c r="DU57" s="19" t="s">
        <v>121</v>
      </c>
      <c r="DV57" s="19" t="s">
        <v>121</v>
      </c>
      <c r="DW57" s="19" t="s">
        <v>121</v>
      </c>
      <c r="DX57" s="19" t="s">
        <v>121</v>
      </c>
      <c r="DY57" s="19" t="s">
        <v>121</v>
      </c>
      <c r="DZ57" s="19" t="s">
        <v>121</v>
      </c>
      <c r="EA57" s="19" t="s">
        <v>121</v>
      </c>
      <c r="EB57" s="19" t="s">
        <v>121</v>
      </c>
      <c r="EC57" s="19" t="s">
        <v>121</v>
      </c>
      <c r="ED57" s="19" t="s">
        <v>121</v>
      </c>
      <c r="EE57" s="19" t="s">
        <v>121</v>
      </c>
      <c r="EF57" s="19" t="s">
        <v>121</v>
      </c>
      <c r="EG57" s="19" t="s">
        <v>121</v>
      </c>
      <c r="EH57" s="19" t="s">
        <v>121</v>
      </c>
      <c r="EI57" s="19" t="s">
        <v>121</v>
      </c>
      <c r="EJ57" s="19" t="s">
        <v>121</v>
      </c>
      <c r="EK57" s="19" t="s">
        <v>121</v>
      </c>
    </row>
    <row r="58" spans="1:141" s="19" customFormat="1" ht="25.5" customHeight="1" x14ac:dyDescent="0.25">
      <c r="A58" s="72">
        <v>58</v>
      </c>
      <c r="B58" s="19" t="s">
        <v>309</v>
      </c>
      <c r="C58" s="93">
        <v>4.1090420534405592E-2</v>
      </c>
      <c r="D58" s="123">
        <v>0.10409816464398869</v>
      </c>
      <c r="E58" s="94">
        <v>0.10014644195686162</v>
      </c>
      <c r="F58" s="65">
        <v>221619</v>
      </c>
      <c r="G58" s="65">
        <v>212872</v>
      </c>
      <c r="H58" s="65">
        <v>216974</v>
      </c>
      <c r="I58" s="65">
        <v>201445</v>
      </c>
      <c r="J58" s="65">
        <v>200724</v>
      </c>
      <c r="K58" s="65">
        <v>187771</v>
      </c>
      <c r="L58" s="65">
        <v>186909</v>
      </c>
      <c r="M58" s="65">
        <v>173892</v>
      </c>
      <c r="N58" s="65">
        <v>170959</v>
      </c>
      <c r="O58" s="65">
        <v>163021</v>
      </c>
      <c r="P58" s="65">
        <v>159318</v>
      </c>
      <c r="Q58" s="65">
        <v>144780</v>
      </c>
      <c r="R58" s="404"/>
      <c r="S58" s="404"/>
      <c r="T58" s="404"/>
      <c r="U58" s="65">
        <v>103866</v>
      </c>
      <c r="V58" s="65">
        <v>98041.972999999998</v>
      </c>
      <c r="W58" s="65">
        <v>93899.879000000001</v>
      </c>
      <c r="X58" s="65">
        <v>91111.274000000005</v>
      </c>
      <c r="Y58" s="65">
        <v>88693</v>
      </c>
      <c r="Z58" s="65">
        <v>86537.421999999991</v>
      </c>
      <c r="AA58" s="65">
        <v>83683.381999999998</v>
      </c>
      <c r="AB58" s="65">
        <v>81643.989000000001</v>
      </c>
      <c r="AC58" s="65">
        <v>79370.267999999996</v>
      </c>
      <c r="AD58" s="65">
        <v>78821.543999999994</v>
      </c>
      <c r="AE58" s="65">
        <v>76714.116999999998</v>
      </c>
      <c r="AF58" s="65">
        <v>76020.135000000009</v>
      </c>
      <c r="AG58" s="65">
        <v>75653.654999999999</v>
      </c>
      <c r="AH58" s="65">
        <v>74096.567999999999</v>
      </c>
      <c r="AI58" s="65">
        <v>72030.546000000002</v>
      </c>
      <c r="AJ58" s="20">
        <v>70467.225000000006</v>
      </c>
      <c r="AK58" s="65">
        <v>70910.129000000001</v>
      </c>
      <c r="AL58" s="65">
        <v>69137.780999999988</v>
      </c>
      <c r="AM58" s="65">
        <v>64051.658000000003</v>
      </c>
      <c r="AN58" s="65">
        <v>62236.148000000001</v>
      </c>
      <c r="AO58" s="65">
        <v>60868.966</v>
      </c>
      <c r="AP58" s="65">
        <v>60233.327999999994</v>
      </c>
      <c r="AQ58" s="65">
        <v>59111.572</v>
      </c>
      <c r="AR58" s="65">
        <v>57930.523000000001</v>
      </c>
      <c r="AS58" s="65">
        <v>56783.483999999997</v>
      </c>
      <c r="AT58" s="65">
        <v>55741.082000000002</v>
      </c>
      <c r="AU58" s="65">
        <v>54429.247000000003</v>
      </c>
      <c r="AV58" s="65">
        <v>53248.308000000005</v>
      </c>
      <c r="AW58" s="65">
        <v>51294.341</v>
      </c>
      <c r="AX58" s="65">
        <v>51433.47</v>
      </c>
      <c r="AY58" s="65">
        <v>50232.263999999996</v>
      </c>
      <c r="AZ58" s="65">
        <v>49275.341</v>
      </c>
      <c r="BA58" s="65">
        <v>47675.955000000002</v>
      </c>
      <c r="BB58" s="65">
        <v>46005.165000000001</v>
      </c>
      <c r="BC58" s="65">
        <v>41386.551000000007</v>
      </c>
      <c r="BD58" s="65">
        <v>41146.008999999998</v>
      </c>
      <c r="BE58" s="65">
        <v>40318.499000000003</v>
      </c>
      <c r="BF58" s="65">
        <v>40205.802000000003</v>
      </c>
      <c r="BG58" s="65">
        <v>39511.800000000003</v>
      </c>
      <c r="BH58" s="65">
        <v>40148.438999999998</v>
      </c>
      <c r="BI58" s="65">
        <v>40022.803</v>
      </c>
      <c r="BJ58" s="65">
        <v>36139.198000000004</v>
      </c>
      <c r="BK58" s="65">
        <v>32268.776000000002</v>
      </c>
      <c r="BL58" s="65">
        <v>30655.478999999999</v>
      </c>
      <c r="BM58" s="19">
        <v>28564.211000000003</v>
      </c>
      <c r="BN58" s="19">
        <v>26750.78</v>
      </c>
      <c r="BO58" s="19">
        <v>25577.34</v>
      </c>
      <c r="BP58" s="19">
        <v>25634.785000000003</v>
      </c>
      <c r="BQ58" s="19">
        <v>25284.550999999999</v>
      </c>
      <c r="BR58" s="19" t="s">
        <v>121</v>
      </c>
      <c r="BS58" s="19" t="s">
        <v>121</v>
      </c>
      <c r="BT58" s="19" t="s">
        <v>121</v>
      </c>
      <c r="BU58" s="19" t="s">
        <v>121</v>
      </c>
      <c r="BV58" s="19" t="s">
        <v>121</v>
      </c>
      <c r="BW58" s="19" t="s">
        <v>121</v>
      </c>
      <c r="BX58" s="19" t="s">
        <v>121</v>
      </c>
      <c r="BY58" s="19" t="s">
        <v>121</v>
      </c>
      <c r="BZ58" s="19" t="s">
        <v>121</v>
      </c>
      <c r="CA58" s="19" t="s">
        <v>121</v>
      </c>
      <c r="CB58" s="19" t="s">
        <v>121</v>
      </c>
      <c r="CC58" s="19" t="s">
        <v>121</v>
      </c>
      <c r="CD58" s="19" t="s">
        <v>121</v>
      </c>
      <c r="CE58" s="19" t="s">
        <v>121</v>
      </c>
      <c r="CF58" s="19" t="s">
        <v>121</v>
      </c>
      <c r="CG58" s="19" t="s">
        <v>121</v>
      </c>
      <c r="CH58" s="19" t="s">
        <v>121</v>
      </c>
      <c r="CI58" s="19" t="s">
        <v>121</v>
      </c>
      <c r="CJ58" s="19" t="s">
        <v>121</v>
      </c>
      <c r="CK58" s="19" t="s">
        <v>121</v>
      </c>
      <c r="CL58" s="19" t="s">
        <v>121</v>
      </c>
      <c r="CM58" s="19" t="s">
        <v>121</v>
      </c>
      <c r="CN58" s="19" t="s">
        <v>121</v>
      </c>
      <c r="CO58" s="19" t="s">
        <v>121</v>
      </c>
      <c r="CP58" s="19" t="s">
        <v>121</v>
      </c>
      <c r="CQ58" s="19" t="s">
        <v>121</v>
      </c>
      <c r="CR58" s="19" t="s">
        <v>121</v>
      </c>
      <c r="CS58" s="19" t="s">
        <v>121</v>
      </c>
      <c r="CT58" s="19" t="s">
        <v>121</v>
      </c>
      <c r="CU58" s="19" t="s">
        <v>121</v>
      </c>
      <c r="CV58" s="19" t="s">
        <v>121</v>
      </c>
      <c r="CW58" s="19" t="s">
        <v>121</v>
      </c>
      <c r="CX58" s="19" t="s">
        <v>121</v>
      </c>
      <c r="CY58" s="19" t="s">
        <v>121</v>
      </c>
      <c r="CZ58" s="19" t="s">
        <v>121</v>
      </c>
      <c r="DA58" s="19" t="s">
        <v>121</v>
      </c>
      <c r="DB58" s="19" t="s">
        <v>121</v>
      </c>
      <c r="DC58" s="19" t="s">
        <v>121</v>
      </c>
      <c r="DD58" s="19" t="s">
        <v>121</v>
      </c>
      <c r="DE58" s="19" t="s">
        <v>121</v>
      </c>
      <c r="DF58" s="19" t="s">
        <v>121</v>
      </c>
      <c r="DG58" s="19" t="s">
        <v>121</v>
      </c>
      <c r="DH58" s="19" t="s">
        <v>121</v>
      </c>
      <c r="DI58" s="19" t="s">
        <v>121</v>
      </c>
      <c r="DJ58" s="19" t="s">
        <v>121</v>
      </c>
      <c r="DK58" s="19" t="s">
        <v>121</v>
      </c>
      <c r="DL58" s="19" t="s">
        <v>121</v>
      </c>
      <c r="DM58" s="19" t="s">
        <v>121</v>
      </c>
      <c r="DN58" s="19" t="s">
        <v>121</v>
      </c>
      <c r="DO58" s="19" t="s">
        <v>121</v>
      </c>
      <c r="DP58" s="19" t="s">
        <v>121</v>
      </c>
      <c r="DQ58" s="19" t="s">
        <v>121</v>
      </c>
      <c r="DR58" s="19" t="s">
        <v>121</v>
      </c>
      <c r="DS58" s="19" t="s">
        <v>121</v>
      </c>
      <c r="DT58" s="19" t="s">
        <v>121</v>
      </c>
      <c r="DU58" s="19" t="s">
        <v>121</v>
      </c>
      <c r="DV58" s="19" t="s">
        <v>121</v>
      </c>
      <c r="DW58" s="19" t="s">
        <v>121</v>
      </c>
      <c r="DX58" s="19" t="s">
        <v>121</v>
      </c>
      <c r="DY58" s="19" t="s">
        <v>121</v>
      </c>
      <c r="DZ58" s="19" t="s">
        <v>121</v>
      </c>
      <c r="EA58" s="19" t="s">
        <v>121</v>
      </c>
      <c r="EB58" s="19" t="s">
        <v>121</v>
      </c>
      <c r="EC58" s="19" t="s">
        <v>121</v>
      </c>
      <c r="ED58" s="19" t="s">
        <v>121</v>
      </c>
      <c r="EE58" s="19" t="s">
        <v>121</v>
      </c>
      <c r="EF58" s="19" t="s">
        <v>121</v>
      </c>
      <c r="EG58" s="19" t="s">
        <v>121</v>
      </c>
      <c r="EH58" s="19" t="s">
        <v>121</v>
      </c>
      <c r="EI58" s="19" t="s">
        <v>121</v>
      </c>
      <c r="EJ58" s="19" t="s">
        <v>121</v>
      </c>
      <c r="EK58" s="19" t="s">
        <v>121</v>
      </c>
    </row>
    <row r="59" spans="1:141" s="19" customFormat="1" ht="26.1" customHeight="1" x14ac:dyDescent="0.25">
      <c r="A59" s="72">
        <v>59</v>
      </c>
      <c r="B59" s="19" t="s">
        <v>310</v>
      </c>
      <c r="C59" s="93">
        <v>8.0383765180925826E-2</v>
      </c>
      <c r="D59" s="123">
        <v>0.30406917863857075</v>
      </c>
      <c r="E59" s="94">
        <v>0.1898144240710653</v>
      </c>
      <c r="F59" s="65">
        <v>1353333</v>
      </c>
      <c r="G59" s="65">
        <v>1252641</v>
      </c>
      <c r="H59" s="65">
        <v>1143318</v>
      </c>
      <c r="I59" s="65">
        <v>1137432</v>
      </c>
      <c r="J59" s="65">
        <v>1037777</v>
      </c>
      <c r="K59" s="65">
        <v>1074800</v>
      </c>
      <c r="L59" s="65">
        <v>1012528</v>
      </c>
      <c r="M59" s="65">
        <v>1057302</v>
      </c>
      <c r="N59" s="65">
        <v>965981</v>
      </c>
      <c r="O59" s="65">
        <v>861288</v>
      </c>
      <c r="P59" s="65">
        <v>836670</v>
      </c>
      <c r="Q59" s="65">
        <v>839329</v>
      </c>
      <c r="R59" s="404"/>
      <c r="S59" s="404"/>
      <c r="T59" s="404"/>
      <c r="U59" s="65">
        <v>796557</v>
      </c>
      <c r="V59" s="65">
        <v>770884.478</v>
      </c>
      <c r="W59" s="65">
        <v>737761.13599999982</v>
      </c>
      <c r="X59" s="65">
        <v>731005.51699999999</v>
      </c>
      <c r="Y59" s="65">
        <v>730227</v>
      </c>
      <c r="Z59" s="65">
        <v>720766.84899999981</v>
      </c>
      <c r="AA59" s="65">
        <v>671365.85800000001</v>
      </c>
      <c r="AB59" s="65">
        <v>668651.06799999997</v>
      </c>
      <c r="AC59" s="65">
        <v>673651.2790000001</v>
      </c>
      <c r="AD59" s="65">
        <v>655945.679</v>
      </c>
      <c r="AE59" s="65">
        <v>657547.54999999993</v>
      </c>
      <c r="AF59" s="65">
        <v>650846.60100000002</v>
      </c>
      <c r="AG59" s="65">
        <v>673403.48900000006</v>
      </c>
      <c r="AH59" s="65">
        <v>613049.67499999993</v>
      </c>
      <c r="AI59" s="20">
        <v>602133.397</v>
      </c>
      <c r="AJ59" s="20">
        <v>602696.70400000003</v>
      </c>
      <c r="AK59" s="20">
        <v>606859.37099999993</v>
      </c>
      <c r="AL59" s="20">
        <v>572773.25200000009</v>
      </c>
      <c r="AM59" s="20">
        <v>559683.57100000011</v>
      </c>
      <c r="AN59" s="20">
        <v>552980.63899999997</v>
      </c>
      <c r="AO59" s="20">
        <v>580287.5199999999</v>
      </c>
      <c r="AP59" s="20">
        <v>546706.4580000001</v>
      </c>
      <c r="AQ59" s="20">
        <v>574574.98600000003</v>
      </c>
      <c r="AR59" s="20">
        <v>561533.91799999995</v>
      </c>
      <c r="AS59" s="20">
        <v>562534.57600000012</v>
      </c>
      <c r="AT59" s="20">
        <v>527570.96</v>
      </c>
      <c r="AU59" s="20">
        <v>520263.59100000001</v>
      </c>
      <c r="AV59" s="20">
        <v>521222.40100000001</v>
      </c>
      <c r="AW59" s="20">
        <v>521600.15</v>
      </c>
      <c r="AX59" s="20">
        <v>448289.68799999997</v>
      </c>
      <c r="AY59" s="20">
        <v>439698.37300000002</v>
      </c>
      <c r="AZ59" s="20">
        <v>428854.10399999999</v>
      </c>
      <c r="BA59" s="20">
        <v>409422.31900000002</v>
      </c>
      <c r="BB59" s="20">
        <v>403356.91200000001</v>
      </c>
      <c r="BC59" s="20">
        <v>374246.96799999999</v>
      </c>
      <c r="BD59" s="20">
        <v>348855.56899999996</v>
      </c>
      <c r="BE59" s="20">
        <v>351366.23300000001</v>
      </c>
      <c r="BF59" s="20">
        <v>317240.46300000011</v>
      </c>
      <c r="BG59" s="20">
        <v>340587.61999999994</v>
      </c>
      <c r="BH59" s="20">
        <v>340696.03499999997</v>
      </c>
      <c r="BI59" s="20">
        <v>330033.45800000004</v>
      </c>
      <c r="BJ59" s="20">
        <v>305819.03300000005</v>
      </c>
      <c r="BK59" s="20">
        <v>292056.04000000004</v>
      </c>
      <c r="BL59" s="20">
        <v>282434.43599999999</v>
      </c>
      <c r="BM59" s="19">
        <v>272608.69900000002</v>
      </c>
      <c r="BN59" s="19">
        <v>247427.11699999997</v>
      </c>
      <c r="BO59" s="19">
        <v>239460.12500000003</v>
      </c>
      <c r="BP59" s="19">
        <v>232076.37599999999</v>
      </c>
      <c r="BQ59" s="19">
        <v>235606.34000000003</v>
      </c>
      <c r="BR59" s="19" t="s">
        <v>121</v>
      </c>
      <c r="BS59" s="19" t="s">
        <v>121</v>
      </c>
      <c r="BT59" s="19" t="s">
        <v>121</v>
      </c>
      <c r="BU59" s="19" t="s">
        <v>121</v>
      </c>
      <c r="BV59" s="19" t="s">
        <v>121</v>
      </c>
      <c r="BW59" s="19" t="s">
        <v>121</v>
      </c>
      <c r="BX59" s="19" t="s">
        <v>121</v>
      </c>
      <c r="BY59" s="19" t="s">
        <v>121</v>
      </c>
      <c r="BZ59" s="19" t="s">
        <v>121</v>
      </c>
      <c r="CA59" s="19" t="s">
        <v>121</v>
      </c>
      <c r="CB59" s="19" t="s">
        <v>121</v>
      </c>
      <c r="CC59" s="19" t="s">
        <v>121</v>
      </c>
      <c r="CD59" s="19" t="s">
        <v>121</v>
      </c>
      <c r="CE59" s="19" t="s">
        <v>121</v>
      </c>
      <c r="CF59" s="19" t="s">
        <v>121</v>
      </c>
      <c r="CG59" s="19" t="s">
        <v>121</v>
      </c>
      <c r="CH59" s="19" t="s">
        <v>121</v>
      </c>
      <c r="CI59" s="19" t="s">
        <v>121</v>
      </c>
      <c r="CJ59" s="19" t="s">
        <v>121</v>
      </c>
      <c r="CK59" s="19" t="s">
        <v>121</v>
      </c>
      <c r="CL59" s="19" t="s">
        <v>121</v>
      </c>
      <c r="CM59" s="19" t="s">
        <v>121</v>
      </c>
      <c r="CN59" s="19" t="s">
        <v>121</v>
      </c>
      <c r="CO59" s="19" t="s">
        <v>121</v>
      </c>
      <c r="CP59" s="19" t="s">
        <v>121</v>
      </c>
      <c r="CQ59" s="19" t="s">
        <v>121</v>
      </c>
      <c r="CR59" s="19" t="s">
        <v>121</v>
      </c>
      <c r="CS59" s="19" t="s">
        <v>121</v>
      </c>
      <c r="CT59" s="19" t="s">
        <v>121</v>
      </c>
      <c r="CU59" s="19" t="s">
        <v>121</v>
      </c>
      <c r="CV59" s="19" t="s">
        <v>121</v>
      </c>
      <c r="CW59" s="19" t="s">
        <v>121</v>
      </c>
      <c r="CX59" s="19" t="s">
        <v>121</v>
      </c>
      <c r="CY59" s="19" t="s">
        <v>121</v>
      </c>
      <c r="CZ59" s="19" t="s">
        <v>121</v>
      </c>
      <c r="DA59" s="19" t="s">
        <v>121</v>
      </c>
      <c r="DB59" s="19" t="s">
        <v>121</v>
      </c>
      <c r="DC59" s="19" t="s">
        <v>121</v>
      </c>
      <c r="DD59" s="19" t="s">
        <v>121</v>
      </c>
      <c r="DE59" s="19" t="s">
        <v>121</v>
      </c>
      <c r="DF59" s="19" t="s">
        <v>121</v>
      </c>
      <c r="DG59" s="19" t="s">
        <v>121</v>
      </c>
      <c r="DH59" s="19" t="s">
        <v>121</v>
      </c>
      <c r="DI59" s="19" t="s">
        <v>121</v>
      </c>
      <c r="DJ59" s="19" t="s">
        <v>121</v>
      </c>
      <c r="DK59" s="19" t="s">
        <v>121</v>
      </c>
      <c r="DL59" s="19" t="s">
        <v>121</v>
      </c>
      <c r="DM59" s="19" t="s">
        <v>121</v>
      </c>
      <c r="DN59" s="19" t="s">
        <v>121</v>
      </c>
      <c r="DO59" s="19" t="s">
        <v>121</v>
      </c>
      <c r="DP59" s="19" t="s">
        <v>121</v>
      </c>
      <c r="DQ59" s="19" t="s">
        <v>121</v>
      </c>
      <c r="DR59" s="19" t="s">
        <v>121</v>
      </c>
      <c r="DS59" s="19" t="s">
        <v>121</v>
      </c>
      <c r="DT59" s="19" t="s">
        <v>121</v>
      </c>
      <c r="DU59" s="19" t="s">
        <v>121</v>
      </c>
      <c r="DV59" s="19" t="s">
        <v>121</v>
      </c>
      <c r="DW59" s="19" t="s">
        <v>121</v>
      </c>
      <c r="DX59" s="19" t="s">
        <v>121</v>
      </c>
      <c r="DY59" s="19" t="s">
        <v>121</v>
      </c>
      <c r="DZ59" s="19" t="s">
        <v>121</v>
      </c>
      <c r="EA59" s="19" t="s">
        <v>121</v>
      </c>
      <c r="EB59" s="19" t="s">
        <v>121</v>
      </c>
      <c r="EC59" s="19" t="s">
        <v>121</v>
      </c>
      <c r="ED59" s="19" t="s">
        <v>121</v>
      </c>
      <c r="EE59" s="19" t="s">
        <v>121</v>
      </c>
      <c r="EF59" s="19" t="s">
        <v>121</v>
      </c>
      <c r="EG59" s="19" t="s">
        <v>121</v>
      </c>
      <c r="EH59" s="19" t="s">
        <v>121</v>
      </c>
      <c r="EI59" s="19" t="s">
        <v>121</v>
      </c>
      <c r="EJ59" s="19" t="s">
        <v>121</v>
      </c>
      <c r="EK59" s="19" t="s">
        <v>121</v>
      </c>
    </row>
    <row r="60" spans="1:141" x14ac:dyDescent="0.25">
      <c r="A60" s="72">
        <v>60</v>
      </c>
      <c r="B60" s="1" t="s">
        <v>121</v>
      </c>
      <c r="C60" s="1" t="s">
        <v>121</v>
      </c>
      <c r="D60" s="1" t="s">
        <v>121</v>
      </c>
      <c r="E60" s="249" t="s">
        <v>121</v>
      </c>
      <c r="F60" s="249" t="s">
        <v>121</v>
      </c>
      <c r="G60" s="249" t="s">
        <v>121</v>
      </c>
      <c r="H60" s="249" t="s">
        <v>121</v>
      </c>
      <c r="I60" s="249" t="s">
        <v>121</v>
      </c>
      <c r="J60" s="249" t="s">
        <v>121</v>
      </c>
      <c r="K60" s="249" t="s">
        <v>121</v>
      </c>
      <c r="L60" s="249" t="s">
        <v>121</v>
      </c>
      <c r="M60" s="249" t="s">
        <v>121</v>
      </c>
      <c r="N60" s="249" t="s">
        <v>121</v>
      </c>
      <c r="O60" s="249" t="s">
        <v>121</v>
      </c>
      <c r="P60" s="249" t="s">
        <v>121</v>
      </c>
      <c r="Q60" s="249" t="s">
        <v>121</v>
      </c>
      <c r="R60" s="249" t="s">
        <v>121</v>
      </c>
      <c r="S60" s="249" t="s">
        <v>121</v>
      </c>
      <c r="T60" s="249" t="s">
        <v>121</v>
      </c>
      <c r="U60" s="249" t="s">
        <v>121</v>
      </c>
      <c r="V60" s="249" t="s">
        <v>121</v>
      </c>
      <c r="W60" s="249" t="s">
        <v>121</v>
      </c>
      <c r="X60" s="249" t="s">
        <v>121</v>
      </c>
      <c r="Y60" s="1" t="s">
        <v>121</v>
      </c>
      <c r="Z60" s="1" t="s">
        <v>121</v>
      </c>
      <c r="AA60" s="1" t="s">
        <v>121</v>
      </c>
      <c r="AB60" s="1" t="s">
        <v>121</v>
      </c>
      <c r="AC60" s="1" t="s">
        <v>121</v>
      </c>
      <c r="AD60" s="1" t="s">
        <v>121</v>
      </c>
      <c r="AE60" s="1" t="s">
        <v>121</v>
      </c>
      <c r="AF60" s="1" t="s">
        <v>121</v>
      </c>
      <c r="AG60" s="1" t="s">
        <v>121</v>
      </c>
      <c r="AH60" s="1" t="s">
        <v>121</v>
      </c>
      <c r="AI60" s="1" t="s">
        <v>121</v>
      </c>
      <c r="AJ60" s="1" t="s">
        <v>121</v>
      </c>
      <c r="AK60" s="1" t="s">
        <v>121</v>
      </c>
      <c r="AL60" s="1" t="s">
        <v>121</v>
      </c>
      <c r="AM60" s="1" t="s">
        <v>121</v>
      </c>
      <c r="AN60" s="1" t="s">
        <v>121</v>
      </c>
      <c r="AO60" s="1" t="s">
        <v>121</v>
      </c>
      <c r="AP60" s="1" t="s">
        <v>121</v>
      </c>
      <c r="AQ60" s="1" t="s">
        <v>121</v>
      </c>
      <c r="AR60" s="1" t="s">
        <v>121</v>
      </c>
      <c r="AS60" s="1" t="s">
        <v>121</v>
      </c>
      <c r="AT60" s="1" t="s">
        <v>121</v>
      </c>
      <c r="AU60" s="1" t="s">
        <v>121</v>
      </c>
      <c r="AV60" s="1" t="s">
        <v>121</v>
      </c>
      <c r="AW60" s="1" t="s">
        <v>121</v>
      </c>
      <c r="AX60" s="1" t="s">
        <v>121</v>
      </c>
      <c r="AY60" s="1" t="s">
        <v>121</v>
      </c>
      <c r="AZ60" s="1" t="s">
        <v>121</v>
      </c>
      <c r="BA60" s="11" t="s">
        <v>121</v>
      </c>
      <c r="BB60" s="11" t="s">
        <v>121</v>
      </c>
      <c r="BC60" s="11" t="s">
        <v>121</v>
      </c>
      <c r="BD60" s="11" t="s">
        <v>121</v>
      </c>
      <c r="BE60" s="11" t="s">
        <v>121</v>
      </c>
      <c r="BF60" s="11" t="s">
        <v>121</v>
      </c>
      <c r="BG60" s="11" t="s">
        <v>121</v>
      </c>
      <c r="BH60" s="11" t="s">
        <v>121</v>
      </c>
      <c r="BI60" s="11" t="s">
        <v>121</v>
      </c>
      <c r="BJ60" s="11" t="s">
        <v>121</v>
      </c>
      <c r="BK60" s="11" t="s">
        <v>121</v>
      </c>
      <c r="BL60" s="1" t="s">
        <v>121</v>
      </c>
      <c r="BM60" s="1" t="s">
        <v>121</v>
      </c>
      <c r="BN60" s="1" t="s">
        <v>121</v>
      </c>
      <c r="BO60" s="1" t="s">
        <v>121</v>
      </c>
      <c r="BP60" s="1" t="s">
        <v>121</v>
      </c>
      <c r="BQ60" s="1" t="s">
        <v>121</v>
      </c>
      <c r="BR60" s="1" t="s">
        <v>121</v>
      </c>
      <c r="BS60" s="1" t="s">
        <v>121</v>
      </c>
      <c r="BT60" s="1" t="s">
        <v>121</v>
      </c>
      <c r="BU60" s="1" t="s">
        <v>121</v>
      </c>
      <c r="BV60" s="1" t="s">
        <v>121</v>
      </c>
      <c r="BW60" s="1" t="s">
        <v>121</v>
      </c>
      <c r="BX60" s="1" t="s">
        <v>121</v>
      </c>
      <c r="BY60" s="1" t="s">
        <v>121</v>
      </c>
      <c r="BZ60" s="1" t="s">
        <v>121</v>
      </c>
      <c r="CA60" s="1" t="s">
        <v>121</v>
      </c>
      <c r="CB60" s="1" t="s">
        <v>121</v>
      </c>
      <c r="CC60" s="1" t="s">
        <v>121</v>
      </c>
      <c r="CD60" s="1" t="s">
        <v>121</v>
      </c>
      <c r="CE60" s="1" t="s">
        <v>121</v>
      </c>
      <c r="CF60" s="1" t="s">
        <v>121</v>
      </c>
      <c r="CG60" s="1" t="s">
        <v>121</v>
      </c>
      <c r="CH60" s="1" t="s">
        <v>121</v>
      </c>
      <c r="CI60" s="1" t="s">
        <v>121</v>
      </c>
      <c r="CJ60" s="1" t="s">
        <v>121</v>
      </c>
      <c r="CK60" s="1" t="s">
        <v>121</v>
      </c>
      <c r="CL60" s="1" t="s">
        <v>121</v>
      </c>
      <c r="CM60" s="1" t="s">
        <v>121</v>
      </c>
      <c r="CN60" s="1" t="s">
        <v>121</v>
      </c>
      <c r="CO60" s="1" t="s">
        <v>121</v>
      </c>
      <c r="CP60" s="1" t="s">
        <v>121</v>
      </c>
      <c r="CQ60" s="1" t="s">
        <v>121</v>
      </c>
      <c r="CR60" s="1" t="s">
        <v>121</v>
      </c>
      <c r="CS60" s="1" t="s">
        <v>121</v>
      </c>
      <c r="CT60" s="1" t="s">
        <v>121</v>
      </c>
      <c r="CU60" s="1" t="s">
        <v>121</v>
      </c>
      <c r="CV60" s="1" t="s">
        <v>121</v>
      </c>
      <c r="CW60" s="1" t="s">
        <v>121</v>
      </c>
      <c r="CX60" s="1" t="s">
        <v>121</v>
      </c>
      <c r="CY60" s="1" t="s">
        <v>121</v>
      </c>
      <c r="CZ60" s="1" t="s">
        <v>121</v>
      </c>
      <c r="DA60" s="1" t="s">
        <v>121</v>
      </c>
      <c r="DB60" s="1" t="s">
        <v>121</v>
      </c>
      <c r="DC60" s="1" t="s">
        <v>121</v>
      </c>
      <c r="DD60" s="1" t="s">
        <v>121</v>
      </c>
      <c r="DE60" s="1" t="s">
        <v>121</v>
      </c>
      <c r="DF60" s="1" t="s">
        <v>121</v>
      </c>
      <c r="DG60" s="1" t="s">
        <v>121</v>
      </c>
      <c r="DH60" s="1" t="s">
        <v>121</v>
      </c>
      <c r="DI60" s="1" t="s">
        <v>121</v>
      </c>
      <c r="DJ60" s="1" t="s">
        <v>121</v>
      </c>
      <c r="DK60" s="1" t="s">
        <v>121</v>
      </c>
      <c r="DL60" s="1" t="s">
        <v>121</v>
      </c>
      <c r="DM60" s="1" t="s">
        <v>121</v>
      </c>
      <c r="DN60" s="1" t="s">
        <v>121</v>
      </c>
      <c r="DO60" s="1" t="s">
        <v>121</v>
      </c>
      <c r="DP60" s="1" t="s">
        <v>121</v>
      </c>
      <c r="DQ60" s="1" t="s">
        <v>121</v>
      </c>
      <c r="DR60" s="1" t="s">
        <v>121</v>
      </c>
      <c r="DS60" s="1" t="s">
        <v>121</v>
      </c>
      <c r="DT60" s="1" t="s">
        <v>121</v>
      </c>
      <c r="DU60" s="1" t="s">
        <v>121</v>
      </c>
      <c r="DV60" s="1" t="s">
        <v>121</v>
      </c>
      <c r="DW60" s="1" t="s">
        <v>121</v>
      </c>
      <c r="DX60" s="1" t="s">
        <v>121</v>
      </c>
      <c r="DY60" s="1" t="s">
        <v>121</v>
      </c>
      <c r="DZ60" s="1" t="s">
        <v>121</v>
      </c>
      <c r="EA60" s="1" t="s">
        <v>121</v>
      </c>
      <c r="EB60" s="1" t="s">
        <v>121</v>
      </c>
      <c r="EC60" s="1" t="s">
        <v>121</v>
      </c>
      <c r="ED60" s="1" t="s">
        <v>121</v>
      </c>
      <c r="EE60" s="1" t="s">
        <v>121</v>
      </c>
      <c r="EF60" s="1" t="s">
        <v>121</v>
      </c>
      <c r="EG60" s="1" t="s">
        <v>121</v>
      </c>
      <c r="EH60" s="1" t="s">
        <v>121</v>
      </c>
      <c r="EI60" s="1" t="s">
        <v>121</v>
      </c>
      <c r="EJ60" s="1" t="s">
        <v>121</v>
      </c>
      <c r="EK60" s="1" t="s">
        <v>121</v>
      </c>
    </row>
    <row r="61" spans="1:141" x14ac:dyDescent="0.25">
      <c r="A61" s="72">
        <v>61</v>
      </c>
      <c r="B61" s="1" t="s">
        <v>121</v>
      </c>
      <c r="C61" s="1" t="s">
        <v>121</v>
      </c>
      <c r="D61" s="1" t="s">
        <v>121</v>
      </c>
      <c r="E61" s="1" t="s">
        <v>121</v>
      </c>
      <c r="F61" s="1" t="s">
        <v>121</v>
      </c>
      <c r="G61" s="1" t="s">
        <v>121</v>
      </c>
      <c r="H61" s="1" t="s">
        <v>121</v>
      </c>
      <c r="I61" s="1" t="s">
        <v>121</v>
      </c>
      <c r="J61" s="1" t="s">
        <v>121</v>
      </c>
      <c r="K61" s="1" t="s">
        <v>121</v>
      </c>
      <c r="L61" s="1" t="s">
        <v>121</v>
      </c>
      <c r="M61" s="1" t="s">
        <v>121</v>
      </c>
      <c r="N61" s="1" t="s">
        <v>121</v>
      </c>
      <c r="O61" s="1" t="s">
        <v>121</v>
      </c>
      <c r="P61" s="1" t="s">
        <v>121</v>
      </c>
      <c r="Q61" s="1" t="s">
        <v>121</v>
      </c>
      <c r="R61" s="1" t="s">
        <v>121</v>
      </c>
      <c r="S61" s="1" t="s">
        <v>121</v>
      </c>
      <c r="T61" s="1" t="s">
        <v>121</v>
      </c>
      <c r="U61" s="1" t="s">
        <v>121</v>
      </c>
      <c r="V61" s="1" t="s">
        <v>121</v>
      </c>
      <c r="W61" s="1" t="s">
        <v>121</v>
      </c>
      <c r="X61" s="1" t="s">
        <v>121</v>
      </c>
      <c r="Y61" s="1" t="s">
        <v>121</v>
      </c>
      <c r="Z61" s="1" t="s">
        <v>121</v>
      </c>
      <c r="AA61" s="1" t="s">
        <v>121</v>
      </c>
      <c r="AB61" s="1" t="s">
        <v>121</v>
      </c>
      <c r="AC61" s="1" t="s">
        <v>121</v>
      </c>
      <c r="AD61" s="1" t="s">
        <v>121</v>
      </c>
      <c r="AE61" s="1" t="s">
        <v>121</v>
      </c>
      <c r="AF61" s="1" t="s">
        <v>121</v>
      </c>
      <c r="AG61" s="1" t="s">
        <v>121</v>
      </c>
      <c r="AH61" s="1" t="s">
        <v>121</v>
      </c>
      <c r="AI61" s="1" t="s">
        <v>121</v>
      </c>
      <c r="AJ61" s="1" t="s">
        <v>121</v>
      </c>
      <c r="AK61" s="1" t="s">
        <v>121</v>
      </c>
      <c r="AL61" s="1" t="s">
        <v>121</v>
      </c>
      <c r="AM61" s="1" t="s">
        <v>121</v>
      </c>
      <c r="AN61" s="1" t="s">
        <v>121</v>
      </c>
      <c r="AO61" s="1" t="s">
        <v>121</v>
      </c>
      <c r="AP61" s="1" t="s">
        <v>121</v>
      </c>
      <c r="AQ61" s="1" t="s">
        <v>121</v>
      </c>
      <c r="AR61" s="1" t="s">
        <v>121</v>
      </c>
      <c r="AS61" s="1" t="s">
        <v>121</v>
      </c>
      <c r="AT61" s="1" t="s">
        <v>121</v>
      </c>
      <c r="AU61" s="1" t="s">
        <v>121</v>
      </c>
      <c r="AV61" s="1" t="s">
        <v>121</v>
      </c>
      <c r="AW61" s="1" t="s">
        <v>121</v>
      </c>
      <c r="AX61" s="1" t="s">
        <v>121</v>
      </c>
      <c r="AY61" s="1" t="s">
        <v>121</v>
      </c>
      <c r="AZ61" s="1" t="s">
        <v>121</v>
      </c>
      <c r="BA61" s="11" t="s">
        <v>121</v>
      </c>
      <c r="BB61" s="11" t="s">
        <v>121</v>
      </c>
      <c r="BC61" s="11" t="s">
        <v>121</v>
      </c>
      <c r="BD61" s="11" t="s">
        <v>121</v>
      </c>
      <c r="BE61" s="11" t="s">
        <v>121</v>
      </c>
      <c r="BF61" s="11" t="s">
        <v>121</v>
      </c>
      <c r="BG61" s="11" t="s">
        <v>121</v>
      </c>
      <c r="BH61" s="11" t="s">
        <v>121</v>
      </c>
      <c r="BI61" s="11" t="s">
        <v>121</v>
      </c>
      <c r="BJ61" s="11" t="s">
        <v>121</v>
      </c>
      <c r="BK61" s="11" t="s">
        <v>121</v>
      </c>
      <c r="BL61" s="1" t="s">
        <v>121</v>
      </c>
      <c r="BM61" s="1" t="s">
        <v>121</v>
      </c>
      <c r="BN61" s="1" t="s">
        <v>121</v>
      </c>
      <c r="BO61" s="1" t="s">
        <v>121</v>
      </c>
      <c r="BP61" s="1" t="s">
        <v>121</v>
      </c>
      <c r="BQ61" s="1" t="s">
        <v>121</v>
      </c>
      <c r="BR61" s="1" t="s">
        <v>121</v>
      </c>
      <c r="BS61" s="1" t="s">
        <v>121</v>
      </c>
      <c r="BT61" s="1" t="s">
        <v>121</v>
      </c>
      <c r="BU61" s="1" t="s">
        <v>121</v>
      </c>
      <c r="BV61" s="1" t="s">
        <v>121</v>
      </c>
      <c r="BW61" s="1" t="s">
        <v>121</v>
      </c>
      <c r="BX61" s="1" t="s">
        <v>121</v>
      </c>
      <c r="BY61" s="1" t="s">
        <v>121</v>
      </c>
      <c r="BZ61" s="1" t="s">
        <v>121</v>
      </c>
      <c r="CA61" s="1" t="s">
        <v>121</v>
      </c>
      <c r="CB61" s="1" t="s">
        <v>121</v>
      </c>
      <c r="CC61" s="1" t="s">
        <v>121</v>
      </c>
      <c r="CD61" s="1" t="s">
        <v>121</v>
      </c>
      <c r="CE61" s="1" t="s">
        <v>121</v>
      </c>
      <c r="CF61" s="1" t="s">
        <v>121</v>
      </c>
      <c r="CG61" s="1" t="s">
        <v>121</v>
      </c>
      <c r="CH61" s="1" t="s">
        <v>121</v>
      </c>
      <c r="CI61" s="1" t="s">
        <v>121</v>
      </c>
      <c r="CJ61" s="1" t="s">
        <v>121</v>
      </c>
      <c r="CK61" s="1" t="s">
        <v>121</v>
      </c>
      <c r="CL61" s="1" t="s">
        <v>121</v>
      </c>
      <c r="CM61" s="1" t="s">
        <v>121</v>
      </c>
      <c r="CN61" s="1" t="s">
        <v>121</v>
      </c>
      <c r="CO61" s="1" t="s">
        <v>121</v>
      </c>
      <c r="CP61" s="1" t="s">
        <v>121</v>
      </c>
      <c r="CQ61" s="1" t="s">
        <v>121</v>
      </c>
      <c r="CR61" s="1" t="s">
        <v>121</v>
      </c>
      <c r="CS61" s="1" t="s">
        <v>121</v>
      </c>
      <c r="CT61" s="1" t="s">
        <v>121</v>
      </c>
      <c r="CU61" s="1" t="s">
        <v>121</v>
      </c>
      <c r="CV61" s="1" t="s">
        <v>121</v>
      </c>
      <c r="CW61" s="1" t="s">
        <v>121</v>
      </c>
      <c r="CX61" s="1" t="s">
        <v>121</v>
      </c>
      <c r="CY61" s="1" t="s">
        <v>121</v>
      </c>
      <c r="CZ61" s="1" t="s">
        <v>121</v>
      </c>
      <c r="DA61" s="1" t="s">
        <v>121</v>
      </c>
      <c r="DB61" s="1" t="s">
        <v>121</v>
      </c>
      <c r="DC61" s="1" t="s">
        <v>121</v>
      </c>
      <c r="DD61" s="1" t="s">
        <v>121</v>
      </c>
      <c r="DE61" s="1" t="s">
        <v>121</v>
      </c>
      <c r="DF61" s="1" t="s">
        <v>121</v>
      </c>
      <c r="DG61" s="1" t="s">
        <v>121</v>
      </c>
      <c r="DH61" s="1" t="s">
        <v>121</v>
      </c>
      <c r="DI61" s="1" t="s">
        <v>121</v>
      </c>
      <c r="DJ61" s="1" t="s">
        <v>121</v>
      </c>
      <c r="DK61" s="1" t="s">
        <v>121</v>
      </c>
      <c r="DL61" s="1" t="s">
        <v>121</v>
      </c>
      <c r="DM61" s="1" t="s">
        <v>121</v>
      </c>
      <c r="DN61" s="1" t="s">
        <v>121</v>
      </c>
      <c r="DO61" s="1" t="s">
        <v>121</v>
      </c>
      <c r="DP61" s="1" t="s">
        <v>121</v>
      </c>
      <c r="DQ61" s="1" t="s">
        <v>121</v>
      </c>
      <c r="DR61" s="1" t="s">
        <v>121</v>
      </c>
      <c r="DS61" s="1" t="s">
        <v>121</v>
      </c>
      <c r="DT61" s="1" t="s">
        <v>121</v>
      </c>
      <c r="DU61" s="1" t="s">
        <v>121</v>
      </c>
      <c r="DV61" s="1" t="s">
        <v>121</v>
      </c>
      <c r="DW61" s="1" t="s">
        <v>121</v>
      </c>
      <c r="DX61" s="1" t="s">
        <v>121</v>
      </c>
      <c r="DY61" s="1" t="s">
        <v>121</v>
      </c>
      <c r="DZ61" s="1" t="s">
        <v>121</v>
      </c>
      <c r="EA61" s="1" t="s">
        <v>121</v>
      </c>
      <c r="EB61" s="1" t="s">
        <v>121</v>
      </c>
      <c r="EC61" s="1" t="s">
        <v>121</v>
      </c>
      <c r="ED61" s="1" t="s">
        <v>121</v>
      </c>
      <c r="EE61" s="1" t="s">
        <v>121</v>
      </c>
      <c r="EF61" s="1" t="s">
        <v>121</v>
      </c>
      <c r="EG61" s="1" t="s">
        <v>121</v>
      </c>
      <c r="EH61" s="1" t="s">
        <v>121</v>
      </c>
      <c r="EI61" s="1" t="s">
        <v>121</v>
      </c>
      <c r="EJ61" s="1" t="s">
        <v>121</v>
      </c>
      <c r="EK61" s="1" t="s">
        <v>121</v>
      </c>
    </row>
    <row r="62" spans="1:141" x14ac:dyDescent="0.25">
      <c r="A62" s="72">
        <v>62</v>
      </c>
      <c r="B62" s="1" t="s">
        <v>121</v>
      </c>
      <c r="C62" s="1" t="s">
        <v>121</v>
      </c>
      <c r="D62" s="1" t="s">
        <v>121</v>
      </c>
      <c r="E62" s="1" t="s">
        <v>121</v>
      </c>
      <c r="F62" s="1" t="s">
        <v>121</v>
      </c>
      <c r="G62" s="1" t="s">
        <v>121</v>
      </c>
      <c r="H62" s="1" t="s">
        <v>121</v>
      </c>
      <c r="I62" s="1" t="s">
        <v>121</v>
      </c>
      <c r="J62" s="1" t="s">
        <v>121</v>
      </c>
      <c r="K62" s="1" t="s">
        <v>121</v>
      </c>
      <c r="L62" s="1" t="s">
        <v>121</v>
      </c>
      <c r="M62" s="1" t="s">
        <v>121</v>
      </c>
      <c r="N62" s="1" t="s">
        <v>121</v>
      </c>
      <c r="O62" s="1" t="s">
        <v>121</v>
      </c>
      <c r="P62" s="1" t="s">
        <v>121</v>
      </c>
      <c r="Q62" s="1" t="s">
        <v>121</v>
      </c>
      <c r="R62" s="1" t="s">
        <v>121</v>
      </c>
      <c r="S62" s="1" t="s">
        <v>121</v>
      </c>
      <c r="T62" s="1" t="s">
        <v>121</v>
      </c>
      <c r="U62" s="1" t="s">
        <v>121</v>
      </c>
      <c r="V62" s="1" t="s">
        <v>121</v>
      </c>
      <c r="W62" s="1" t="s">
        <v>121</v>
      </c>
      <c r="X62" s="1" t="s">
        <v>121</v>
      </c>
      <c r="Y62" s="1" t="s">
        <v>121</v>
      </c>
      <c r="Z62" s="1" t="s">
        <v>121</v>
      </c>
      <c r="AA62" s="1" t="s">
        <v>121</v>
      </c>
      <c r="AB62" s="1" t="s">
        <v>121</v>
      </c>
      <c r="AC62" s="1" t="s">
        <v>121</v>
      </c>
      <c r="AD62" s="1" t="s">
        <v>121</v>
      </c>
      <c r="AE62" s="1" t="s">
        <v>121</v>
      </c>
      <c r="AF62" s="1" t="s">
        <v>121</v>
      </c>
      <c r="AG62" s="1" t="s">
        <v>121</v>
      </c>
      <c r="AH62" s="1" t="s">
        <v>121</v>
      </c>
      <c r="AI62" s="1" t="s">
        <v>121</v>
      </c>
      <c r="AJ62" s="1" t="s">
        <v>121</v>
      </c>
      <c r="AK62" s="1" t="s">
        <v>121</v>
      </c>
      <c r="AL62" s="1" t="s">
        <v>121</v>
      </c>
      <c r="AM62" s="1" t="s">
        <v>121</v>
      </c>
      <c r="AN62" s="1" t="s">
        <v>121</v>
      </c>
      <c r="AO62" s="1" t="s">
        <v>121</v>
      </c>
      <c r="AP62" s="1" t="s">
        <v>121</v>
      </c>
      <c r="AQ62" s="1" t="s">
        <v>121</v>
      </c>
      <c r="AR62" s="1" t="s">
        <v>121</v>
      </c>
      <c r="AS62" s="1" t="s">
        <v>121</v>
      </c>
      <c r="AT62" s="1" t="s">
        <v>121</v>
      </c>
      <c r="AU62" s="1" t="s">
        <v>121</v>
      </c>
      <c r="AV62" s="1" t="s">
        <v>121</v>
      </c>
      <c r="AW62" s="1" t="s">
        <v>121</v>
      </c>
      <c r="AX62" s="1" t="s">
        <v>121</v>
      </c>
      <c r="AY62" s="1" t="s">
        <v>121</v>
      </c>
      <c r="AZ62" s="1" t="s">
        <v>121</v>
      </c>
      <c r="BA62" s="11" t="s">
        <v>121</v>
      </c>
      <c r="BB62" s="11" t="s">
        <v>121</v>
      </c>
      <c r="BC62" s="11" t="s">
        <v>121</v>
      </c>
      <c r="BD62" s="11" t="s">
        <v>121</v>
      </c>
      <c r="BE62" s="11" t="s">
        <v>121</v>
      </c>
      <c r="BF62" s="11" t="s">
        <v>121</v>
      </c>
      <c r="BG62" s="11" t="s">
        <v>121</v>
      </c>
      <c r="BH62" s="11" t="s">
        <v>121</v>
      </c>
      <c r="BI62" s="11" t="s">
        <v>121</v>
      </c>
      <c r="BJ62" s="11" t="s">
        <v>121</v>
      </c>
      <c r="BK62" s="11" t="s">
        <v>121</v>
      </c>
      <c r="BL62" s="1" t="s">
        <v>121</v>
      </c>
      <c r="BM62" s="1" t="s">
        <v>121</v>
      </c>
      <c r="BN62" s="1" t="s">
        <v>121</v>
      </c>
      <c r="BO62" s="1" t="s">
        <v>121</v>
      </c>
      <c r="BP62" s="1" t="s">
        <v>121</v>
      </c>
      <c r="BQ62" s="1" t="s">
        <v>121</v>
      </c>
      <c r="BR62" s="1" t="s">
        <v>121</v>
      </c>
      <c r="BS62" s="1" t="s">
        <v>121</v>
      </c>
      <c r="BT62" s="1" t="s">
        <v>121</v>
      </c>
      <c r="BU62" s="1" t="s">
        <v>121</v>
      </c>
      <c r="BV62" s="1" t="s">
        <v>121</v>
      </c>
      <c r="BW62" s="1" t="s">
        <v>121</v>
      </c>
      <c r="BX62" s="1" t="s">
        <v>121</v>
      </c>
      <c r="BY62" s="1" t="s">
        <v>121</v>
      </c>
      <c r="BZ62" s="1" t="s">
        <v>121</v>
      </c>
      <c r="CA62" s="1" t="s">
        <v>121</v>
      </c>
      <c r="CB62" s="1" t="s">
        <v>121</v>
      </c>
      <c r="CC62" s="1" t="s">
        <v>121</v>
      </c>
      <c r="CD62" s="1" t="s">
        <v>121</v>
      </c>
      <c r="CE62" s="1" t="s">
        <v>121</v>
      </c>
      <c r="CF62" s="1" t="s">
        <v>121</v>
      </c>
      <c r="CG62" s="1" t="s">
        <v>121</v>
      </c>
      <c r="CH62" s="1" t="s">
        <v>121</v>
      </c>
      <c r="CI62" s="1" t="s">
        <v>121</v>
      </c>
      <c r="CJ62" s="1" t="s">
        <v>121</v>
      </c>
      <c r="CK62" s="1" t="s">
        <v>121</v>
      </c>
      <c r="CL62" s="1" t="s">
        <v>121</v>
      </c>
      <c r="CM62" s="1" t="s">
        <v>121</v>
      </c>
      <c r="CN62" s="1" t="s">
        <v>121</v>
      </c>
      <c r="CO62" s="1" t="s">
        <v>121</v>
      </c>
      <c r="CP62" s="1" t="s">
        <v>121</v>
      </c>
      <c r="CQ62" s="1" t="s">
        <v>121</v>
      </c>
      <c r="CR62" s="1" t="s">
        <v>121</v>
      </c>
      <c r="CS62" s="1" t="s">
        <v>121</v>
      </c>
      <c r="CT62" s="1" t="s">
        <v>121</v>
      </c>
      <c r="CU62" s="1" t="s">
        <v>121</v>
      </c>
      <c r="CV62" s="1" t="s">
        <v>121</v>
      </c>
      <c r="CW62" s="1" t="s">
        <v>121</v>
      </c>
      <c r="CX62" s="1" t="s">
        <v>121</v>
      </c>
      <c r="CY62" s="1" t="s">
        <v>121</v>
      </c>
      <c r="CZ62" s="1" t="s">
        <v>121</v>
      </c>
      <c r="DA62" s="1" t="s">
        <v>121</v>
      </c>
      <c r="DB62" s="1" t="s">
        <v>121</v>
      </c>
      <c r="DC62" s="1" t="s">
        <v>121</v>
      </c>
      <c r="DD62" s="1" t="s">
        <v>121</v>
      </c>
      <c r="DE62" s="1" t="s">
        <v>121</v>
      </c>
      <c r="DF62" s="1" t="s">
        <v>121</v>
      </c>
      <c r="DG62" s="1" t="s">
        <v>121</v>
      </c>
      <c r="DH62" s="1" t="s">
        <v>121</v>
      </c>
      <c r="DI62" s="1" t="s">
        <v>121</v>
      </c>
      <c r="DJ62" s="1" t="s">
        <v>121</v>
      </c>
      <c r="DK62" s="1" t="s">
        <v>121</v>
      </c>
      <c r="DL62" s="1" t="s">
        <v>121</v>
      </c>
      <c r="DM62" s="1" t="s">
        <v>121</v>
      </c>
      <c r="DN62" s="1" t="s">
        <v>121</v>
      </c>
      <c r="DO62" s="1" t="s">
        <v>121</v>
      </c>
      <c r="DP62" s="1" t="s">
        <v>121</v>
      </c>
      <c r="DQ62" s="1" t="s">
        <v>121</v>
      </c>
      <c r="DR62" s="1" t="s">
        <v>121</v>
      </c>
      <c r="DS62" s="1" t="s">
        <v>121</v>
      </c>
      <c r="DT62" s="1" t="s">
        <v>121</v>
      </c>
      <c r="DU62" s="1" t="s">
        <v>121</v>
      </c>
      <c r="DV62" s="1" t="s">
        <v>121</v>
      </c>
      <c r="DW62" s="1" t="s">
        <v>121</v>
      </c>
      <c r="DX62" s="1" t="s">
        <v>121</v>
      </c>
      <c r="DY62" s="1" t="s">
        <v>121</v>
      </c>
      <c r="DZ62" s="1" t="s">
        <v>121</v>
      </c>
      <c r="EA62" s="1" t="s">
        <v>121</v>
      </c>
      <c r="EB62" s="1" t="s">
        <v>121</v>
      </c>
      <c r="EC62" s="1" t="s">
        <v>121</v>
      </c>
      <c r="ED62" s="1" t="s">
        <v>121</v>
      </c>
      <c r="EE62" s="1" t="s">
        <v>121</v>
      </c>
      <c r="EF62" s="1" t="s">
        <v>121</v>
      </c>
      <c r="EG62" s="1" t="s">
        <v>121</v>
      </c>
      <c r="EH62" s="1" t="s">
        <v>121</v>
      </c>
      <c r="EI62" s="1" t="s">
        <v>121</v>
      </c>
      <c r="EJ62" s="1" t="s">
        <v>121</v>
      </c>
      <c r="EK62" s="1" t="s">
        <v>121</v>
      </c>
    </row>
    <row r="63" spans="1:141" x14ac:dyDescent="0.25">
      <c r="A63" s="72">
        <v>63</v>
      </c>
      <c r="B63" s="426" t="s">
        <v>311</v>
      </c>
      <c r="C63" s="440" t="s">
        <v>121</v>
      </c>
      <c r="D63" s="215" t="s">
        <v>121</v>
      </c>
      <c r="E63" s="442" t="s">
        <v>121</v>
      </c>
      <c r="F63" s="416">
        <v>45930</v>
      </c>
      <c r="G63" s="416">
        <v>45838</v>
      </c>
      <c r="H63" s="416">
        <v>45747</v>
      </c>
      <c r="I63" s="416">
        <v>45657</v>
      </c>
      <c r="J63" s="416">
        <v>45565</v>
      </c>
      <c r="K63" s="416">
        <v>45473</v>
      </c>
      <c r="L63" s="416">
        <v>45382</v>
      </c>
      <c r="M63" s="416">
        <v>45291</v>
      </c>
      <c r="N63" s="416">
        <v>45199</v>
      </c>
      <c r="O63" s="416">
        <v>45107</v>
      </c>
      <c r="P63" s="416">
        <v>45016</v>
      </c>
      <c r="Q63" s="416">
        <v>44926</v>
      </c>
      <c r="R63" s="416">
        <v>44834</v>
      </c>
      <c r="S63" s="416">
        <v>44742</v>
      </c>
      <c r="T63" s="416">
        <v>44651</v>
      </c>
      <c r="U63" s="416">
        <v>44561</v>
      </c>
      <c r="V63" s="416">
        <v>44469</v>
      </c>
      <c r="W63" s="416">
        <v>44377</v>
      </c>
      <c r="X63" s="416">
        <v>44286</v>
      </c>
      <c r="Y63" s="416">
        <v>44196</v>
      </c>
      <c r="Z63" s="416">
        <v>44104</v>
      </c>
      <c r="AA63" s="416">
        <v>44012</v>
      </c>
      <c r="AB63" s="416">
        <v>43921</v>
      </c>
      <c r="AC63" s="416">
        <v>43830</v>
      </c>
      <c r="AD63" s="416">
        <v>43738</v>
      </c>
      <c r="AE63" s="416">
        <v>43646</v>
      </c>
      <c r="AF63" s="416">
        <v>43555</v>
      </c>
      <c r="AG63" s="416">
        <v>43465</v>
      </c>
      <c r="AH63" s="416">
        <v>43373</v>
      </c>
      <c r="AI63" s="416">
        <v>43281</v>
      </c>
      <c r="AJ63" s="416">
        <v>43190</v>
      </c>
      <c r="AK63" s="416">
        <v>43100</v>
      </c>
      <c r="AL63" s="416">
        <v>43008</v>
      </c>
      <c r="AM63" s="416">
        <v>42916</v>
      </c>
      <c r="AN63" s="416">
        <v>42825</v>
      </c>
      <c r="AO63" s="416">
        <v>42735</v>
      </c>
      <c r="AP63" s="416">
        <v>42643</v>
      </c>
      <c r="AQ63" s="416">
        <v>42551</v>
      </c>
      <c r="AR63" s="416">
        <v>42460</v>
      </c>
      <c r="AS63" s="416">
        <v>42369</v>
      </c>
      <c r="AT63" s="416">
        <v>42277</v>
      </c>
      <c r="AU63" s="416">
        <v>42185</v>
      </c>
      <c r="AV63" s="416">
        <v>42094</v>
      </c>
      <c r="AW63" s="416">
        <v>42004</v>
      </c>
      <c r="AX63" s="416">
        <v>41912</v>
      </c>
      <c r="AY63" s="416">
        <v>41820</v>
      </c>
      <c r="AZ63" s="416">
        <v>41729</v>
      </c>
      <c r="BA63" s="416">
        <v>41639</v>
      </c>
      <c r="BB63" s="416">
        <v>41547</v>
      </c>
      <c r="BC63" s="416">
        <v>41455</v>
      </c>
      <c r="BD63" s="416">
        <v>41364</v>
      </c>
      <c r="BE63" s="416">
        <v>41274</v>
      </c>
      <c r="BF63" s="416">
        <v>41182</v>
      </c>
      <c r="BG63" s="416">
        <v>41090</v>
      </c>
      <c r="BH63" s="416">
        <v>40999</v>
      </c>
      <c r="BI63" s="416">
        <v>40908</v>
      </c>
      <c r="BJ63" s="416">
        <v>40816</v>
      </c>
      <c r="BK63" s="416">
        <v>40724</v>
      </c>
      <c r="BL63" s="416">
        <v>40633</v>
      </c>
      <c r="BM63" s="1">
        <v>40543</v>
      </c>
      <c r="BN63" s="1">
        <v>40451</v>
      </c>
      <c r="BO63" s="1">
        <v>40359</v>
      </c>
      <c r="BP63" s="1">
        <v>40268</v>
      </c>
      <c r="BQ63" s="1">
        <v>40178</v>
      </c>
      <c r="BR63" s="1" t="s">
        <v>121</v>
      </c>
      <c r="BS63" s="1" t="s">
        <v>121</v>
      </c>
      <c r="BT63" s="1" t="s">
        <v>121</v>
      </c>
      <c r="BU63" s="1" t="s">
        <v>121</v>
      </c>
      <c r="BV63" s="1" t="s">
        <v>121</v>
      </c>
      <c r="BW63" s="1" t="s">
        <v>121</v>
      </c>
      <c r="BX63" s="1" t="s">
        <v>121</v>
      </c>
      <c r="BY63" s="1" t="s">
        <v>121</v>
      </c>
      <c r="BZ63" s="1" t="s">
        <v>121</v>
      </c>
      <c r="CA63" s="1" t="s">
        <v>121</v>
      </c>
      <c r="CB63" s="1" t="s">
        <v>121</v>
      </c>
      <c r="CC63" s="1" t="s">
        <v>121</v>
      </c>
      <c r="CD63" s="1" t="s">
        <v>121</v>
      </c>
      <c r="CE63" s="1" t="s">
        <v>121</v>
      </c>
      <c r="CF63" s="1" t="s">
        <v>121</v>
      </c>
      <c r="CG63" s="1" t="s">
        <v>121</v>
      </c>
      <c r="CH63" s="1" t="s">
        <v>121</v>
      </c>
      <c r="CI63" s="1" t="s">
        <v>121</v>
      </c>
      <c r="CJ63" s="1" t="s">
        <v>121</v>
      </c>
      <c r="CK63" s="1" t="s">
        <v>121</v>
      </c>
      <c r="CL63" s="1" t="s">
        <v>121</v>
      </c>
      <c r="CM63" s="1" t="s">
        <v>121</v>
      </c>
      <c r="CN63" s="1" t="s">
        <v>121</v>
      </c>
      <c r="CO63" s="1" t="s">
        <v>121</v>
      </c>
      <c r="CP63" s="1" t="s">
        <v>121</v>
      </c>
      <c r="CQ63" s="1" t="s">
        <v>121</v>
      </c>
      <c r="CR63" s="1" t="s">
        <v>121</v>
      </c>
      <c r="CS63" s="1" t="s">
        <v>121</v>
      </c>
      <c r="CT63" s="1" t="s">
        <v>121</v>
      </c>
      <c r="CU63" s="1" t="s">
        <v>121</v>
      </c>
      <c r="CV63" s="1" t="s">
        <v>121</v>
      </c>
      <c r="CW63" s="1" t="s">
        <v>121</v>
      </c>
      <c r="CX63" s="1" t="s">
        <v>121</v>
      </c>
      <c r="CY63" s="1" t="s">
        <v>121</v>
      </c>
      <c r="CZ63" s="1" t="s">
        <v>121</v>
      </c>
      <c r="DA63" s="1" t="s">
        <v>121</v>
      </c>
      <c r="DB63" s="1" t="s">
        <v>121</v>
      </c>
      <c r="DC63" s="1" t="s">
        <v>121</v>
      </c>
      <c r="DD63" s="1" t="s">
        <v>121</v>
      </c>
      <c r="DE63" s="1" t="s">
        <v>121</v>
      </c>
      <c r="DF63" s="1" t="s">
        <v>121</v>
      </c>
      <c r="DG63" s="1" t="s">
        <v>121</v>
      </c>
      <c r="DH63" s="1" t="s">
        <v>121</v>
      </c>
      <c r="DI63" s="1" t="s">
        <v>121</v>
      </c>
      <c r="DJ63" s="1" t="s">
        <v>121</v>
      </c>
      <c r="DK63" s="1" t="s">
        <v>121</v>
      </c>
      <c r="DL63" s="1" t="s">
        <v>121</v>
      </c>
      <c r="DM63" s="1" t="s">
        <v>121</v>
      </c>
      <c r="DN63" s="1" t="s">
        <v>121</v>
      </c>
      <c r="DO63" s="1" t="s">
        <v>121</v>
      </c>
      <c r="DP63" s="1" t="s">
        <v>121</v>
      </c>
      <c r="DQ63" s="1" t="s">
        <v>121</v>
      </c>
      <c r="DR63" s="1" t="s">
        <v>121</v>
      </c>
      <c r="DS63" s="1" t="s">
        <v>121</v>
      </c>
      <c r="DT63" s="1" t="s">
        <v>121</v>
      </c>
      <c r="DU63" s="1" t="s">
        <v>121</v>
      </c>
      <c r="DV63" s="1" t="s">
        <v>121</v>
      </c>
      <c r="DW63" s="1" t="s">
        <v>121</v>
      </c>
      <c r="DX63" s="1" t="s">
        <v>121</v>
      </c>
      <c r="DY63" s="1" t="s">
        <v>121</v>
      </c>
      <c r="DZ63" s="1" t="s">
        <v>121</v>
      </c>
      <c r="EA63" s="1" t="s">
        <v>121</v>
      </c>
      <c r="EB63" s="1" t="s">
        <v>121</v>
      </c>
      <c r="EC63" s="1" t="s">
        <v>121</v>
      </c>
      <c r="ED63" s="1" t="s">
        <v>121</v>
      </c>
      <c r="EE63" s="1" t="s">
        <v>121</v>
      </c>
      <c r="EF63" s="1" t="s">
        <v>121</v>
      </c>
      <c r="EG63" s="1" t="s">
        <v>121</v>
      </c>
      <c r="EH63" s="1" t="s">
        <v>121</v>
      </c>
      <c r="EI63" s="1" t="s">
        <v>121</v>
      </c>
      <c r="EJ63" s="1" t="s">
        <v>121</v>
      </c>
      <c r="EK63" s="1" t="s">
        <v>121</v>
      </c>
    </row>
    <row r="64" spans="1:141" x14ac:dyDescent="0.25">
      <c r="A64" s="72">
        <v>64</v>
      </c>
      <c r="B64" s="427"/>
      <c r="C64" s="441"/>
      <c r="D64" s="258"/>
      <c r="E64" s="443"/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T64" s="417"/>
      <c r="U64" s="418"/>
      <c r="V64" s="417"/>
      <c r="W64" s="418"/>
      <c r="X64" s="417"/>
      <c r="Y64" s="417"/>
      <c r="Z64" s="417"/>
      <c r="AA64" s="417"/>
      <c r="AB64" s="417"/>
      <c r="AC64" s="417"/>
      <c r="AD64" s="417"/>
      <c r="AE64" s="417"/>
      <c r="AF64" s="417"/>
      <c r="AG64" s="417"/>
      <c r="AH64" s="417"/>
      <c r="AI64" s="417"/>
      <c r="AJ64" s="417"/>
      <c r="AK64" s="417"/>
      <c r="AL64" s="417"/>
      <c r="AM64" s="417"/>
      <c r="AN64" s="417"/>
      <c r="AO64" s="417"/>
      <c r="AP64" s="417"/>
      <c r="AQ64" s="417"/>
      <c r="AR64" s="417"/>
      <c r="AS64" s="417"/>
      <c r="AT64" s="417"/>
      <c r="AU64" s="417"/>
      <c r="AV64" s="417"/>
      <c r="AW64" s="417"/>
      <c r="AX64" s="417"/>
      <c r="AY64" s="417"/>
      <c r="AZ64" s="417"/>
      <c r="BA64" s="417"/>
      <c r="BB64" s="417"/>
      <c r="BC64" s="417"/>
      <c r="BD64" s="417"/>
      <c r="BE64" s="417"/>
      <c r="BF64" s="417"/>
      <c r="BG64" s="417"/>
      <c r="BH64" s="417"/>
      <c r="BI64" s="417"/>
      <c r="BJ64" s="417"/>
      <c r="BK64" s="417"/>
      <c r="BL64" s="417"/>
    </row>
    <row r="65" spans="1:141" ht="7.5" customHeight="1" x14ac:dyDescent="0.25">
      <c r="A65" s="72">
        <v>65</v>
      </c>
      <c r="B65" s="1" t="s">
        <v>121</v>
      </c>
      <c r="C65" s="87" t="s">
        <v>121</v>
      </c>
      <c r="D65" s="56" t="s">
        <v>121</v>
      </c>
      <c r="E65" s="88" t="s">
        <v>121</v>
      </c>
      <c r="F65" s="56" t="s">
        <v>121</v>
      </c>
      <c r="G65" s="56" t="s">
        <v>121</v>
      </c>
      <c r="H65" s="56" t="s">
        <v>121</v>
      </c>
      <c r="I65" s="56" t="s">
        <v>121</v>
      </c>
      <c r="J65" s="56" t="s">
        <v>121</v>
      </c>
      <c r="K65" s="56" t="s">
        <v>121</v>
      </c>
      <c r="L65" s="56" t="s">
        <v>121</v>
      </c>
      <c r="M65" s="56" t="s">
        <v>121</v>
      </c>
      <c r="N65" s="56" t="s">
        <v>121</v>
      </c>
      <c r="O65" s="56" t="s">
        <v>121</v>
      </c>
      <c r="P65" s="56" t="s">
        <v>121</v>
      </c>
      <c r="Q65" s="56" t="s">
        <v>121</v>
      </c>
      <c r="R65" s="56" t="s">
        <v>121</v>
      </c>
      <c r="S65" s="56" t="s">
        <v>121</v>
      </c>
      <c r="T65" s="56" t="s">
        <v>121</v>
      </c>
      <c r="U65" s="56" t="s">
        <v>121</v>
      </c>
      <c r="V65" s="56" t="s">
        <v>121</v>
      </c>
      <c r="W65" s="56" t="s">
        <v>121</v>
      </c>
      <c r="X65" s="56" t="s">
        <v>121</v>
      </c>
      <c r="Y65" s="56" t="s">
        <v>121</v>
      </c>
      <c r="Z65" s="56" t="s">
        <v>121</v>
      </c>
      <c r="AA65" s="56" t="s">
        <v>121</v>
      </c>
      <c r="AB65" s="56" t="s">
        <v>121</v>
      </c>
      <c r="AC65" s="56" t="s">
        <v>121</v>
      </c>
      <c r="AD65" s="56" t="s">
        <v>121</v>
      </c>
      <c r="AE65" s="56" t="s">
        <v>121</v>
      </c>
      <c r="AF65" s="56" t="s">
        <v>121</v>
      </c>
      <c r="AG65" s="56" t="s">
        <v>121</v>
      </c>
      <c r="AH65" s="56" t="s">
        <v>121</v>
      </c>
      <c r="AI65" s="56" t="s">
        <v>121</v>
      </c>
      <c r="AJ65" s="56" t="s">
        <v>121</v>
      </c>
      <c r="AK65" s="56" t="s">
        <v>121</v>
      </c>
      <c r="AL65" s="56" t="s">
        <v>121</v>
      </c>
      <c r="AM65" s="56" t="s">
        <v>121</v>
      </c>
      <c r="AN65" s="56" t="s">
        <v>121</v>
      </c>
      <c r="AO65" s="56" t="s">
        <v>121</v>
      </c>
      <c r="AP65" s="56" t="s">
        <v>121</v>
      </c>
      <c r="AQ65" s="56" t="s">
        <v>121</v>
      </c>
      <c r="AR65" s="56" t="s">
        <v>121</v>
      </c>
      <c r="AS65" s="56" t="s">
        <v>121</v>
      </c>
      <c r="AT65" s="56" t="s">
        <v>121</v>
      </c>
      <c r="AU65" s="56" t="s">
        <v>121</v>
      </c>
      <c r="AV65" s="56" t="s">
        <v>121</v>
      </c>
      <c r="AW65" s="56" t="s">
        <v>121</v>
      </c>
      <c r="AX65" s="56" t="s">
        <v>121</v>
      </c>
      <c r="AY65" s="56" t="s">
        <v>121</v>
      </c>
      <c r="AZ65" s="1" t="s">
        <v>121</v>
      </c>
      <c r="BA65" s="11" t="s">
        <v>121</v>
      </c>
      <c r="BB65" s="11" t="s">
        <v>121</v>
      </c>
      <c r="BC65" s="11" t="s">
        <v>121</v>
      </c>
      <c r="BD65" s="11" t="s">
        <v>121</v>
      </c>
      <c r="BE65" s="11" t="s">
        <v>121</v>
      </c>
      <c r="BF65" s="11" t="s">
        <v>121</v>
      </c>
      <c r="BG65" s="11" t="s">
        <v>121</v>
      </c>
      <c r="BH65" s="11" t="s">
        <v>121</v>
      </c>
      <c r="BI65" s="11" t="s">
        <v>121</v>
      </c>
      <c r="BJ65" s="11" t="s">
        <v>121</v>
      </c>
      <c r="BK65" s="11" t="s">
        <v>121</v>
      </c>
      <c r="BL65" s="1" t="s">
        <v>121</v>
      </c>
      <c r="BM65" s="1" t="s">
        <v>121</v>
      </c>
      <c r="BN65" s="1" t="s">
        <v>121</v>
      </c>
      <c r="BO65" s="1" t="s">
        <v>121</v>
      </c>
      <c r="BP65" s="1" t="s">
        <v>121</v>
      </c>
      <c r="BQ65" s="1" t="s">
        <v>121</v>
      </c>
      <c r="BR65" s="1" t="s">
        <v>121</v>
      </c>
      <c r="BS65" s="1" t="s">
        <v>121</v>
      </c>
      <c r="BT65" s="1" t="s">
        <v>121</v>
      </c>
      <c r="BU65" s="1" t="s">
        <v>121</v>
      </c>
      <c r="BV65" s="1" t="s">
        <v>121</v>
      </c>
      <c r="BW65" s="1" t="s">
        <v>121</v>
      </c>
      <c r="BX65" s="1" t="s">
        <v>121</v>
      </c>
      <c r="BY65" s="1" t="s">
        <v>121</v>
      </c>
      <c r="BZ65" s="1" t="s">
        <v>121</v>
      </c>
      <c r="CA65" s="1" t="s">
        <v>121</v>
      </c>
      <c r="CB65" s="1" t="s">
        <v>121</v>
      </c>
      <c r="CC65" s="1" t="s">
        <v>121</v>
      </c>
      <c r="CD65" s="1" t="s">
        <v>121</v>
      </c>
      <c r="CE65" s="1" t="s">
        <v>121</v>
      </c>
      <c r="CF65" s="1" t="s">
        <v>121</v>
      </c>
      <c r="CG65" s="1" t="s">
        <v>121</v>
      </c>
      <c r="CH65" s="1" t="s">
        <v>121</v>
      </c>
      <c r="CI65" s="1" t="s">
        <v>121</v>
      </c>
      <c r="CJ65" s="1" t="s">
        <v>121</v>
      </c>
      <c r="CK65" s="1" t="s">
        <v>121</v>
      </c>
      <c r="CL65" s="1" t="s">
        <v>121</v>
      </c>
      <c r="CM65" s="1" t="s">
        <v>121</v>
      </c>
      <c r="CN65" s="1" t="s">
        <v>121</v>
      </c>
      <c r="CO65" s="1" t="s">
        <v>121</v>
      </c>
      <c r="CP65" s="1" t="s">
        <v>121</v>
      </c>
      <c r="CQ65" s="1" t="s">
        <v>121</v>
      </c>
      <c r="CR65" s="1" t="s">
        <v>121</v>
      </c>
      <c r="CS65" s="1" t="s">
        <v>121</v>
      </c>
      <c r="CT65" s="1" t="s">
        <v>121</v>
      </c>
      <c r="CU65" s="1" t="s">
        <v>121</v>
      </c>
      <c r="CV65" s="1" t="s">
        <v>121</v>
      </c>
      <c r="CW65" s="1" t="s">
        <v>121</v>
      </c>
      <c r="CX65" s="1" t="s">
        <v>121</v>
      </c>
      <c r="CY65" s="1" t="s">
        <v>121</v>
      </c>
      <c r="CZ65" s="1" t="s">
        <v>121</v>
      </c>
      <c r="DA65" s="1" t="s">
        <v>121</v>
      </c>
      <c r="DB65" s="1" t="s">
        <v>121</v>
      </c>
      <c r="DC65" s="1" t="s">
        <v>121</v>
      </c>
      <c r="DD65" s="1" t="s">
        <v>121</v>
      </c>
      <c r="DE65" s="1" t="s">
        <v>121</v>
      </c>
      <c r="DF65" s="1" t="s">
        <v>121</v>
      </c>
      <c r="DG65" s="1" t="s">
        <v>121</v>
      </c>
      <c r="DH65" s="1" t="s">
        <v>121</v>
      </c>
      <c r="DI65" s="1" t="s">
        <v>121</v>
      </c>
      <c r="DJ65" s="1" t="s">
        <v>121</v>
      </c>
      <c r="DK65" s="1" t="s">
        <v>121</v>
      </c>
      <c r="DL65" s="1" t="s">
        <v>121</v>
      </c>
      <c r="DM65" s="1" t="s">
        <v>121</v>
      </c>
      <c r="DN65" s="1" t="s">
        <v>121</v>
      </c>
      <c r="DO65" s="1" t="s">
        <v>121</v>
      </c>
      <c r="DP65" s="1" t="s">
        <v>121</v>
      </c>
      <c r="DQ65" s="1" t="s">
        <v>121</v>
      </c>
      <c r="DR65" s="1" t="s">
        <v>121</v>
      </c>
      <c r="DS65" s="1" t="s">
        <v>121</v>
      </c>
      <c r="DT65" s="1" t="s">
        <v>121</v>
      </c>
      <c r="DU65" s="1" t="s">
        <v>121</v>
      </c>
      <c r="DV65" s="1" t="s">
        <v>121</v>
      </c>
      <c r="DW65" s="1" t="s">
        <v>121</v>
      </c>
      <c r="DX65" s="1" t="s">
        <v>121</v>
      </c>
      <c r="DY65" s="1" t="s">
        <v>121</v>
      </c>
      <c r="DZ65" s="1" t="s">
        <v>121</v>
      </c>
      <c r="EA65" s="1" t="s">
        <v>121</v>
      </c>
      <c r="EB65" s="1" t="s">
        <v>121</v>
      </c>
      <c r="EC65" s="1" t="s">
        <v>121</v>
      </c>
      <c r="ED65" s="1" t="s">
        <v>121</v>
      </c>
      <c r="EE65" s="1" t="s">
        <v>121</v>
      </c>
      <c r="EF65" s="1" t="s">
        <v>121</v>
      </c>
      <c r="EG65" s="1" t="s">
        <v>121</v>
      </c>
      <c r="EH65" s="1" t="s">
        <v>121</v>
      </c>
      <c r="EI65" s="1" t="s">
        <v>121</v>
      </c>
      <c r="EJ65" s="1" t="s">
        <v>121</v>
      </c>
      <c r="EK65" s="1" t="s">
        <v>121</v>
      </c>
    </row>
    <row r="66" spans="1:141" x14ac:dyDescent="0.25">
      <c r="A66" s="72">
        <v>66</v>
      </c>
      <c r="B66" s="12" t="s">
        <v>125</v>
      </c>
      <c r="C66" s="91" t="s">
        <v>121</v>
      </c>
      <c r="D66" s="86" t="s">
        <v>121</v>
      </c>
      <c r="E66" s="92" t="s">
        <v>121</v>
      </c>
      <c r="F66" s="13">
        <v>1.0722617227958855</v>
      </c>
      <c r="G66" s="13">
        <v>1.0853877738612037</v>
      </c>
      <c r="H66" s="13">
        <v>1.0013949663134858</v>
      </c>
      <c r="I66" s="13">
        <v>1.0028586757876028</v>
      </c>
      <c r="J66" s="13">
        <v>1.1442614428888773</v>
      </c>
      <c r="K66" s="13">
        <v>1.0496935505805807</v>
      </c>
      <c r="L66" s="13">
        <v>1.0421627274886853</v>
      </c>
      <c r="M66" s="13">
        <v>1.0010121364218596</v>
      </c>
      <c r="N66" s="13">
        <v>1.0183577340937746</v>
      </c>
      <c r="O66" s="13">
        <v>0.92947029810616133</v>
      </c>
      <c r="P66" s="13">
        <v>0.95498928316265774</v>
      </c>
      <c r="Q66" s="13">
        <v>0.79693548811175396</v>
      </c>
      <c r="R66" s="404"/>
      <c r="S66" s="404"/>
      <c r="T66" s="404"/>
      <c r="U66" s="13">
        <v>0.93790753930391202</v>
      </c>
      <c r="V66" s="13">
        <v>0.95967370443227973</v>
      </c>
      <c r="W66" s="13">
        <v>0.94357052999468471</v>
      </c>
      <c r="X66" s="13">
        <v>0.90737677421195395</v>
      </c>
      <c r="Y66" s="13">
        <v>0.87557820118896534</v>
      </c>
      <c r="Z66" s="13">
        <v>0.89963824139712301</v>
      </c>
      <c r="AA66" s="13">
        <v>0.87559138805220771</v>
      </c>
      <c r="AB66" s="13">
        <v>0.912371447155087</v>
      </c>
      <c r="AC66" s="13">
        <v>0.88144650260691992</v>
      </c>
      <c r="AD66" s="13">
        <v>0.85120017380738644</v>
      </c>
      <c r="AE66" s="13">
        <v>0.82389483623612914</v>
      </c>
      <c r="AF66" s="13">
        <v>0.82716602364280123</v>
      </c>
      <c r="AG66" s="13">
        <v>0.81680675203437292</v>
      </c>
      <c r="AH66" s="13">
        <v>0.89064326026302265</v>
      </c>
      <c r="AI66" s="13">
        <v>0.87907311684246392</v>
      </c>
      <c r="AJ66" s="13">
        <v>0.8771479460686723</v>
      </c>
      <c r="AK66" s="13">
        <v>0.88337976124305029</v>
      </c>
      <c r="AL66" s="13">
        <v>0.91006442405274468</v>
      </c>
      <c r="AM66" s="13">
        <v>0.96385646368864686</v>
      </c>
      <c r="AN66" s="13">
        <v>0.9308080273900643</v>
      </c>
      <c r="AO66" s="13">
        <v>0.87950582632141916</v>
      </c>
      <c r="AP66" s="13">
        <v>0.94233520590624031</v>
      </c>
      <c r="AQ66" s="13">
        <v>0.96673907625474609</v>
      </c>
      <c r="AR66" s="13">
        <v>0.997878671053407</v>
      </c>
      <c r="AS66" s="13">
        <v>0.97748562396729122</v>
      </c>
      <c r="AT66" s="13">
        <v>0.97754417271024219</v>
      </c>
      <c r="AU66" s="13">
        <v>0.97338793313101657</v>
      </c>
      <c r="AV66" s="13">
        <v>0.97585899270751697</v>
      </c>
      <c r="AW66" s="13">
        <v>0.97060922852125864</v>
      </c>
      <c r="AX66" s="13">
        <v>0.97387054184095379</v>
      </c>
      <c r="AY66" s="13">
        <v>0.9780338419232828</v>
      </c>
      <c r="AZ66" s="13">
        <v>0.96929266583683538</v>
      </c>
      <c r="BA66" s="13">
        <v>0.95891014901616756</v>
      </c>
      <c r="BB66" s="13">
        <v>0.98139205483165382</v>
      </c>
      <c r="BC66" s="13">
        <v>0.98037652257862429</v>
      </c>
      <c r="BD66" s="13">
        <v>0.97811086495902377</v>
      </c>
      <c r="BE66" s="13">
        <v>0.97517048990491495</v>
      </c>
      <c r="BF66" s="13">
        <v>0.99244072949091144</v>
      </c>
      <c r="BG66" s="13">
        <v>0.97740630311599075</v>
      </c>
      <c r="BH66" s="13">
        <v>0.93105089479971637</v>
      </c>
      <c r="BI66" s="13">
        <v>0.88921316705909204</v>
      </c>
      <c r="BJ66" s="13">
        <v>0.9162598663502689</v>
      </c>
      <c r="BK66" s="13">
        <v>0.93458913179827219</v>
      </c>
      <c r="BL66" s="13">
        <v>0.96283153493523532</v>
      </c>
      <c r="BM66" s="1">
        <v>0.90426725626627713</v>
      </c>
      <c r="BN66" s="1">
        <v>0.98439634891032046</v>
      </c>
      <c r="BO66" s="1">
        <v>0.89953936559691072</v>
      </c>
      <c r="BP66" s="1">
        <v>0.9228649662587074</v>
      </c>
      <c r="BQ66" s="1">
        <v>0.87335522242560815</v>
      </c>
      <c r="BR66" s="1" t="s">
        <v>121</v>
      </c>
      <c r="BS66" s="1" t="s">
        <v>121</v>
      </c>
      <c r="BT66" s="1" t="s">
        <v>121</v>
      </c>
      <c r="BU66" s="1" t="s">
        <v>121</v>
      </c>
      <c r="BV66" s="1" t="s">
        <v>121</v>
      </c>
      <c r="BW66" s="1" t="s">
        <v>121</v>
      </c>
      <c r="BX66" s="1" t="s">
        <v>121</v>
      </c>
      <c r="BY66" s="1" t="s">
        <v>121</v>
      </c>
      <c r="BZ66" s="1" t="s">
        <v>121</v>
      </c>
      <c r="CA66" s="1" t="s">
        <v>121</v>
      </c>
      <c r="CB66" s="1" t="s">
        <v>121</v>
      </c>
      <c r="CC66" s="1" t="s">
        <v>121</v>
      </c>
      <c r="CD66" s="1" t="s">
        <v>121</v>
      </c>
      <c r="CE66" s="1" t="s">
        <v>121</v>
      </c>
      <c r="CF66" s="1" t="s">
        <v>121</v>
      </c>
      <c r="CG66" s="1" t="s">
        <v>121</v>
      </c>
      <c r="CH66" s="1" t="s">
        <v>121</v>
      </c>
      <c r="CI66" s="1" t="s">
        <v>121</v>
      </c>
      <c r="CJ66" s="1" t="s">
        <v>121</v>
      </c>
      <c r="CK66" s="1" t="s">
        <v>121</v>
      </c>
      <c r="CL66" s="1" t="s">
        <v>121</v>
      </c>
      <c r="CM66" s="1" t="s">
        <v>121</v>
      </c>
      <c r="CN66" s="1" t="s">
        <v>121</v>
      </c>
      <c r="CO66" s="1" t="s">
        <v>121</v>
      </c>
      <c r="CP66" s="1" t="s">
        <v>121</v>
      </c>
      <c r="CQ66" s="1" t="s">
        <v>121</v>
      </c>
      <c r="CR66" s="1" t="s">
        <v>121</v>
      </c>
      <c r="CS66" s="1" t="s">
        <v>121</v>
      </c>
      <c r="CT66" s="1" t="s">
        <v>121</v>
      </c>
      <c r="CU66" s="1" t="s">
        <v>121</v>
      </c>
      <c r="CV66" s="1" t="s">
        <v>121</v>
      </c>
      <c r="CW66" s="1" t="s">
        <v>121</v>
      </c>
      <c r="CX66" s="1" t="s">
        <v>121</v>
      </c>
      <c r="CY66" s="1" t="s">
        <v>121</v>
      </c>
      <c r="CZ66" s="1" t="s">
        <v>121</v>
      </c>
      <c r="DA66" s="1" t="s">
        <v>121</v>
      </c>
      <c r="DB66" s="1" t="s">
        <v>121</v>
      </c>
      <c r="DC66" s="1" t="s">
        <v>121</v>
      </c>
      <c r="DD66" s="1" t="s">
        <v>121</v>
      </c>
      <c r="DE66" s="1" t="s">
        <v>121</v>
      </c>
      <c r="DF66" s="1" t="s">
        <v>121</v>
      </c>
      <c r="DG66" s="1" t="s">
        <v>121</v>
      </c>
      <c r="DH66" s="1" t="s">
        <v>121</v>
      </c>
      <c r="DI66" s="1" t="s">
        <v>121</v>
      </c>
      <c r="DJ66" s="1" t="s">
        <v>121</v>
      </c>
      <c r="DK66" s="1" t="s">
        <v>121</v>
      </c>
      <c r="DL66" s="1" t="s">
        <v>121</v>
      </c>
      <c r="DM66" s="1" t="s">
        <v>121</v>
      </c>
      <c r="DN66" s="1" t="s">
        <v>121</v>
      </c>
      <c r="DO66" s="1" t="s">
        <v>121</v>
      </c>
      <c r="DP66" s="1" t="s">
        <v>121</v>
      </c>
      <c r="DQ66" s="1" t="s">
        <v>121</v>
      </c>
      <c r="DR66" s="1" t="s">
        <v>121</v>
      </c>
      <c r="DS66" s="1" t="s">
        <v>121</v>
      </c>
      <c r="DT66" s="1" t="s">
        <v>121</v>
      </c>
      <c r="DU66" s="1" t="s">
        <v>121</v>
      </c>
      <c r="DV66" s="1" t="s">
        <v>121</v>
      </c>
      <c r="DW66" s="1" t="s">
        <v>121</v>
      </c>
      <c r="DX66" s="1" t="s">
        <v>121</v>
      </c>
      <c r="DY66" s="1" t="s">
        <v>121</v>
      </c>
      <c r="DZ66" s="1" t="s">
        <v>121</v>
      </c>
      <c r="EA66" s="1" t="s">
        <v>121</v>
      </c>
      <c r="EB66" s="1" t="s">
        <v>121</v>
      </c>
      <c r="EC66" s="1" t="s">
        <v>121</v>
      </c>
      <c r="ED66" s="1" t="s">
        <v>121</v>
      </c>
      <c r="EE66" s="1" t="s">
        <v>121</v>
      </c>
      <c r="EF66" s="1" t="s">
        <v>121</v>
      </c>
      <c r="EG66" s="1" t="s">
        <v>121</v>
      </c>
      <c r="EH66" s="1" t="s">
        <v>121</v>
      </c>
      <c r="EI66" s="1" t="s">
        <v>121</v>
      </c>
      <c r="EJ66" s="1" t="s">
        <v>121</v>
      </c>
      <c r="EK66" s="1" t="s">
        <v>121</v>
      </c>
    </row>
    <row r="67" spans="1:141" x14ac:dyDescent="0.25">
      <c r="A67" s="72">
        <v>67</v>
      </c>
      <c r="B67" s="1" t="s">
        <v>121</v>
      </c>
      <c r="C67" s="86" t="s">
        <v>121</v>
      </c>
      <c r="D67" s="86" t="s">
        <v>121</v>
      </c>
      <c r="E67" s="86" t="s">
        <v>121</v>
      </c>
      <c r="F67" s="86" t="s">
        <v>121</v>
      </c>
      <c r="G67" s="86" t="s">
        <v>121</v>
      </c>
      <c r="H67" s="86" t="s">
        <v>121</v>
      </c>
      <c r="I67" s="86" t="s">
        <v>121</v>
      </c>
      <c r="J67" s="86" t="s">
        <v>121</v>
      </c>
      <c r="K67" s="86" t="s">
        <v>121</v>
      </c>
      <c r="L67" s="86" t="s">
        <v>121</v>
      </c>
      <c r="M67" s="86" t="s">
        <v>121</v>
      </c>
      <c r="N67" s="86" t="s">
        <v>121</v>
      </c>
      <c r="O67" s="86" t="s">
        <v>121</v>
      </c>
      <c r="P67" s="86" t="s">
        <v>121</v>
      </c>
      <c r="Q67" s="86" t="s">
        <v>121</v>
      </c>
      <c r="R67" s="86" t="s">
        <v>121</v>
      </c>
      <c r="S67" s="86" t="s">
        <v>121</v>
      </c>
      <c r="T67" s="86" t="s">
        <v>121</v>
      </c>
      <c r="U67" s="86" t="s">
        <v>121</v>
      </c>
      <c r="V67" s="86" t="s">
        <v>121</v>
      </c>
      <c r="W67" s="86" t="s">
        <v>121</v>
      </c>
      <c r="X67" s="86" t="s">
        <v>121</v>
      </c>
      <c r="Y67" s="86" t="s">
        <v>121</v>
      </c>
      <c r="Z67" s="86" t="s">
        <v>121</v>
      </c>
      <c r="AA67" s="86" t="s">
        <v>121</v>
      </c>
      <c r="AB67" s="86" t="s">
        <v>121</v>
      </c>
      <c r="AC67" s="86" t="s">
        <v>121</v>
      </c>
      <c r="AD67" s="86" t="s">
        <v>121</v>
      </c>
      <c r="AE67" s="86" t="s">
        <v>121</v>
      </c>
      <c r="AF67" s="86" t="s">
        <v>121</v>
      </c>
      <c r="AG67" s="86" t="s">
        <v>121</v>
      </c>
      <c r="AH67" s="86" t="s">
        <v>121</v>
      </c>
      <c r="AI67" s="86" t="s">
        <v>121</v>
      </c>
      <c r="AJ67" s="86" t="s">
        <v>121</v>
      </c>
      <c r="AK67" s="86" t="s">
        <v>121</v>
      </c>
      <c r="AL67" s="86" t="s">
        <v>121</v>
      </c>
      <c r="AM67" s="86" t="s">
        <v>121</v>
      </c>
      <c r="AN67" s="86" t="s">
        <v>121</v>
      </c>
      <c r="AO67" s="86" t="s">
        <v>121</v>
      </c>
      <c r="AP67" s="86" t="s">
        <v>121</v>
      </c>
      <c r="AQ67" s="86" t="s">
        <v>121</v>
      </c>
      <c r="AR67" s="86" t="s">
        <v>121</v>
      </c>
      <c r="AS67" s="86" t="s">
        <v>121</v>
      </c>
      <c r="AT67" s="86" t="s">
        <v>121</v>
      </c>
      <c r="AU67" s="86" t="s">
        <v>121</v>
      </c>
      <c r="AV67" s="86" t="s">
        <v>121</v>
      </c>
      <c r="AW67" s="86" t="s">
        <v>121</v>
      </c>
      <c r="AX67" s="86" t="s">
        <v>121</v>
      </c>
      <c r="AY67" s="86" t="s">
        <v>121</v>
      </c>
      <c r="AZ67" s="1" t="s">
        <v>121</v>
      </c>
      <c r="BA67" s="11" t="s">
        <v>121</v>
      </c>
      <c r="BB67" s="11" t="s">
        <v>121</v>
      </c>
      <c r="BC67" s="11" t="s">
        <v>121</v>
      </c>
      <c r="BD67" s="11" t="s">
        <v>121</v>
      </c>
      <c r="BE67" s="11" t="s">
        <v>121</v>
      </c>
      <c r="BF67" s="11" t="s">
        <v>121</v>
      </c>
      <c r="BG67" s="11" t="s">
        <v>121</v>
      </c>
      <c r="BH67" s="11" t="s">
        <v>121</v>
      </c>
      <c r="BI67" s="11" t="s">
        <v>121</v>
      </c>
      <c r="BJ67" s="11" t="s">
        <v>121</v>
      </c>
      <c r="BK67" s="11" t="s">
        <v>121</v>
      </c>
      <c r="BL67" s="1" t="s">
        <v>121</v>
      </c>
      <c r="BM67" s="1" t="s">
        <v>121</v>
      </c>
      <c r="BN67" s="1" t="s">
        <v>121</v>
      </c>
      <c r="BO67" s="1" t="s">
        <v>121</v>
      </c>
      <c r="BP67" s="1" t="s">
        <v>121</v>
      </c>
      <c r="BQ67" s="1" t="s">
        <v>121</v>
      </c>
      <c r="BR67" s="1" t="s">
        <v>121</v>
      </c>
      <c r="BS67" s="1" t="s">
        <v>121</v>
      </c>
      <c r="BT67" s="1" t="s">
        <v>121</v>
      </c>
      <c r="BU67" s="1" t="s">
        <v>121</v>
      </c>
      <c r="BV67" s="1" t="s">
        <v>121</v>
      </c>
      <c r="BW67" s="1" t="s">
        <v>121</v>
      </c>
      <c r="BX67" s="1" t="s">
        <v>121</v>
      </c>
      <c r="BY67" s="1" t="s">
        <v>121</v>
      </c>
      <c r="BZ67" s="1" t="s">
        <v>121</v>
      </c>
      <c r="CA67" s="1" t="s">
        <v>121</v>
      </c>
      <c r="CB67" s="1" t="s">
        <v>121</v>
      </c>
      <c r="CC67" s="1" t="s">
        <v>121</v>
      </c>
      <c r="CD67" s="1" t="s">
        <v>121</v>
      </c>
      <c r="CE67" s="1" t="s">
        <v>121</v>
      </c>
      <c r="CF67" s="1" t="s">
        <v>121</v>
      </c>
      <c r="CG67" s="1" t="s">
        <v>121</v>
      </c>
      <c r="CH67" s="1" t="s">
        <v>121</v>
      </c>
      <c r="CI67" s="1" t="s">
        <v>121</v>
      </c>
      <c r="CJ67" s="1" t="s">
        <v>121</v>
      </c>
      <c r="CK67" s="1" t="s">
        <v>121</v>
      </c>
      <c r="CL67" s="1" t="s">
        <v>121</v>
      </c>
      <c r="CM67" s="1" t="s">
        <v>121</v>
      </c>
      <c r="CN67" s="1" t="s">
        <v>121</v>
      </c>
      <c r="CO67" s="1" t="s">
        <v>121</v>
      </c>
      <c r="CP67" s="1" t="s">
        <v>121</v>
      </c>
      <c r="CQ67" s="1" t="s">
        <v>121</v>
      </c>
      <c r="CR67" s="1" t="s">
        <v>121</v>
      </c>
      <c r="CS67" s="1" t="s">
        <v>121</v>
      </c>
      <c r="CT67" s="1" t="s">
        <v>121</v>
      </c>
      <c r="CU67" s="1" t="s">
        <v>121</v>
      </c>
      <c r="CV67" s="1" t="s">
        <v>121</v>
      </c>
      <c r="CW67" s="1" t="s">
        <v>121</v>
      </c>
      <c r="CX67" s="1" t="s">
        <v>121</v>
      </c>
      <c r="CY67" s="1" t="s">
        <v>121</v>
      </c>
      <c r="CZ67" s="1" t="s">
        <v>121</v>
      </c>
      <c r="DA67" s="1" t="s">
        <v>121</v>
      </c>
      <c r="DB67" s="1" t="s">
        <v>121</v>
      </c>
      <c r="DC67" s="1" t="s">
        <v>121</v>
      </c>
      <c r="DD67" s="1" t="s">
        <v>121</v>
      </c>
      <c r="DE67" s="1" t="s">
        <v>121</v>
      </c>
      <c r="DF67" s="1" t="s">
        <v>121</v>
      </c>
      <c r="DG67" s="1" t="s">
        <v>121</v>
      </c>
      <c r="DH67" s="1" t="s">
        <v>121</v>
      </c>
      <c r="DI67" s="1" t="s">
        <v>121</v>
      </c>
      <c r="DJ67" s="1" t="s">
        <v>121</v>
      </c>
      <c r="DK67" s="1" t="s">
        <v>121</v>
      </c>
      <c r="DL67" s="1" t="s">
        <v>121</v>
      </c>
      <c r="DM67" s="1" t="s">
        <v>121</v>
      </c>
      <c r="DN67" s="1" t="s">
        <v>121</v>
      </c>
      <c r="DO67" s="1" t="s">
        <v>121</v>
      </c>
      <c r="DP67" s="1" t="s">
        <v>121</v>
      </c>
      <c r="DQ67" s="1" t="s">
        <v>121</v>
      </c>
      <c r="DR67" s="1" t="s">
        <v>121</v>
      </c>
      <c r="DS67" s="1" t="s">
        <v>121</v>
      </c>
      <c r="DT67" s="1" t="s">
        <v>121</v>
      </c>
      <c r="DU67" s="1" t="s">
        <v>121</v>
      </c>
      <c r="DV67" s="1" t="s">
        <v>121</v>
      </c>
      <c r="DW67" s="1" t="s">
        <v>121</v>
      </c>
      <c r="DX67" s="1" t="s">
        <v>121</v>
      </c>
      <c r="DY67" s="1" t="s">
        <v>121</v>
      </c>
      <c r="DZ67" s="1" t="s">
        <v>121</v>
      </c>
      <c r="EA67" s="1" t="s">
        <v>121</v>
      </c>
      <c r="EB67" s="1" t="s">
        <v>121</v>
      </c>
      <c r="EC67" s="1" t="s">
        <v>121</v>
      </c>
      <c r="ED67" s="1" t="s">
        <v>121</v>
      </c>
      <c r="EE67" s="1" t="s">
        <v>121</v>
      </c>
      <c r="EF67" s="1" t="s">
        <v>121</v>
      </c>
      <c r="EG67" s="1" t="s">
        <v>121</v>
      </c>
      <c r="EH67" s="1" t="s">
        <v>121</v>
      </c>
      <c r="EI67" s="1" t="s">
        <v>121</v>
      </c>
      <c r="EJ67" s="1" t="s">
        <v>121</v>
      </c>
      <c r="EK67" s="1" t="s">
        <v>121</v>
      </c>
    </row>
    <row r="68" spans="1:141" x14ac:dyDescent="0.25">
      <c r="A68" s="72">
        <v>68</v>
      </c>
      <c r="B68" s="1" t="s">
        <v>121</v>
      </c>
      <c r="C68" s="1" t="s">
        <v>121</v>
      </c>
      <c r="D68" s="1" t="s">
        <v>121</v>
      </c>
      <c r="E68" s="1" t="s">
        <v>121</v>
      </c>
      <c r="F68" s="1" t="s">
        <v>121</v>
      </c>
      <c r="G68" s="1" t="s">
        <v>121</v>
      </c>
      <c r="H68" s="1" t="s">
        <v>121</v>
      </c>
      <c r="I68" s="1" t="s">
        <v>121</v>
      </c>
      <c r="J68" s="1" t="s">
        <v>121</v>
      </c>
      <c r="K68" s="1" t="s">
        <v>121</v>
      </c>
      <c r="L68" s="1" t="s">
        <v>121</v>
      </c>
      <c r="M68" s="1" t="s">
        <v>121</v>
      </c>
      <c r="N68" s="1" t="s">
        <v>121</v>
      </c>
      <c r="O68" s="1" t="s">
        <v>121</v>
      </c>
      <c r="P68" s="1" t="s">
        <v>121</v>
      </c>
      <c r="Q68" s="1" t="s">
        <v>121</v>
      </c>
      <c r="R68" s="1" t="s">
        <v>121</v>
      </c>
      <c r="S68" s="1" t="s">
        <v>121</v>
      </c>
      <c r="T68" s="1" t="s">
        <v>121</v>
      </c>
      <c r="U68" s="1" t="s">
        <v>121</v>
      </c>
      <c r="V68" s="1" t="s">
        <v>121</v>
      </c>
      <c r="W68" s="1" t="s">
        <v>121</v>
      </c>
      <c r="X68" s="1" t="s">
        <v>121</v>
      </c>
      <c r="Y68" s="1" t="s">
        <v>121</v>
      </c>
      <c r="Z68" s="1" t="s">
        <v>121</v>
      </c>
      <c r="AA68" s="1" t="s">
        <v>121</v>
      </c>
      <c r="AB68" s="1" t="s">
        <v>121</v>
      </c>
      <c r="AC68" s="1" t="s">
        <v>121</v>
      </c>
      <c r="AD68" s="1" t="s">
        <v>121</v>
      </c>
      <c r="AE68" s="1" t="s">
        <v>121</v>
      </c>
      <c r="AF68" s="1" t="s">
        <v>121</v>
      </c>
      <c r="AG68" s="1" t="s">
        <v>121</v>
      </c>
      <c r="AH68" s="1" t="s">
        <v>121</v>
      </c>
      <c r="AI68" s="1" t="s">
        <v>121</v>
      </c>
      <c r="AJ68" s="1" t="s">
        <v>121</v>
      </c>
      <c r="AK68" s="1" t="s">
        <v>121</v>
      </c>
      <c r="AL68" s="1" t="s">
        <v>121</v>
      </c>
      <c r="AM68" s="1" t="s">
        <v>121</v>
      </c>
      <c r="AN68" s="1" t="s">
        <v>121</v>
      </c>
      <c r="AO68" s="1" t="s">
        <v>121</v>
      </c>
      <c r="AP68" s="1" t="s">
        <v>121</v>
      </c>
      <c r="AQ68" s="1" t="s">
        <v>121</v>
      </c>
      <c r="AR68" s="1" t="s">
        <v>121</v>
      </c>
      <c r="AS68" s="1" t="s">
        <v>121</v>
      </c>
      <c r="AT68" s="1" t="s">
        <v>121</v>
      </c>
      <c r="AU68" s="1" t="s">
        <v>121</v>
      </c>
      <c r="AV68" s="1" t="s">
        <v>121</v>
      </c>
      <c r="AW68" s="1" t="s">
        <v>121</v>
      </c>
      <c r="AX68" s="1" t="s">
        <v>121</v>
      </c>
      <c r="AY68" s="1" t="s">
        <v>121</v>
      </c>
      <c r="AZ68" s="1" t="s">
        <v>121</v>
      </c>
      <c r="BA68" s="11" t="s">
        <v>121</v>
      </c>
      <c r="BB68" s="11" t="s">
        <v>121</v>
      </c>
      <c r="BC68" s="11" t="s">
        <v>121</v>
      </c>
      <c r="BD68" s="11" t="s">
        <v>121</v>
      </c>
      <c r="BE68" s="11" t="s">
        <v>121</v>
      </c>
      <c r="BF68" s="11" t="s">
        <v>121</v>
      </c>
      <c r="BG68" s="11" t="s">
        <v>121</v>
      </c>
      <c r="BH68" s="11" t="s">
        <v>121</v>
      </c>
      <c r="BI68" s="11" t="s">
        <v>121</v>
      </c>
      <c r="BJ68" s="11" t="s">
        <v>121</v>
      </c>
      <c r="BK68" s="11" t="s">
        <v>121</v>
      </c>
      <c r="BL68" s="1" t="s">
        <v>121</v>
      </c>
      <c r="BM68" s="1" t="s">
        <v>121</v>
      </c>
      <c r="BN68" s="1" t="s">
        <v>121</v>
      </c>
      <c r="BO68" s="1" t="s">
        <v>121</v>
      </c>
      <c r="BP68" s="1" t="s">
        <v>121</v>
      </c>
      <c r="BQ68" s="1" t="s">
        <v>121</v>
      </c>
      <c r="BR68" s="1" t="s">
        <v>121</v>
      </c>
      <c r="BS68" s="1" t="s">
        <v>121</v>
      </c>
      <c r="BT68" s="1" t="s">
        <v>121</v>
      </c>
      <c r="BU68" s="1" t="s">
        <v>121</v>
      </c>
      <c r="BV68" s="1" t="s">
        <v>121</v>
      </c>
      <c r="BW68" s="1" t="s">
        <v>121</v>
      </c>
      <c r="BX68" s="1" t="s">
        <v>121</v>
      </c>
      <c r="BY68" s="1" t="s">
        <v>121</v>
      </c>
      <c r="BZ68" s="1" t="s">
        <v>121</v>
      </c>
      <c r="CA68" s="1" t="s">
        <v>121</v>
      </c>
      <c r="CB68" s="1" t="s">
        <v>121</v>
      </c>
      <c r="CC68" s="1" t="s">
        <v>121</v>
      </c>
      <c r="CD68" s="1" t="s">
        <v>121</v>
      </c>
      <c r="CE68" s="1" t="s">
        <v>121</v>
      </c>
      <c r="CF68" s="1" t="s">
        <v>121</v>
      </c>
      <c r="CG68" s="1" t="s">
        <v>121</v>
      </c>
      <c r="CH68" s="1" t="s">
        <v>121</v>
      </c>
      <c r="CI68" s="1" t="s">
        <v>121</v>
      </c>
      <c r="CJ68" s="1" t="s">
        <v>121</v>
      </c>
      <c r="CK68" s="1" t="s">
        <v>121</v>
      </c>
      <c r="CL68" s="1" t="s">
        <v>121</v>
      </c>
      <c r="CM68" s="1" t="s">
        <v>121</v>
      </c>
      <c r="CN68" s="1" t="s">
        <v>121</v>
      </c>
      <c r="CO68" s="1" t="s">
        <v>121</v>
      </c>
      <c r="CP68" s="1" t="s">
        <v>121</v>
      </c>
      <c r="CQ68" s="1" t="s">
        <v>121</v>
      </c>
      <c r="CR68" s="1" t="s">
        <v>121</v>
      </c>
      <c r="CS68" s="1" t="s">
        <v>121</v>
      </c>
      <c r="CT68" s="1" t="s">
        <v>121</v>
      </c>
      <c r="CU68" s="1" t="s">
        <v>121</v>
      </c>
      <c r="CV68" s="1" t="s">
        <v>121</v>
      </c>
      <c r="CW68" s="1" t="s">
        <v>121</v>
      </c>
      <c r="CX68" s="1" t="s">
        <v>121</v>
      </c>
      <c r="CY68" s="1" t="s">
        <v>121</v>
      </c>
      <c r="CZ68" s="1" t="s">
        <v>121</v>
      </c>
      <c r="DA68" s="1" t="s">
        <v>121</v>
      </c>
      <c r="DB68" s="1" t="s">
        <v>121</v>
      </c>
      <c r="DC68" s="1" t="s">
        <v>121</v>
      </c>
      <c r="DD68" s="1" t="s">
        <v>121</v>
      </c>
      <c r="DE68" s="1" t="s">
        <v>121</v>
      </c>
      <c r="DF68" s="1" t="s">
        <v>121</v>
      </c>
      <c r="DG68" s="1" t="s">
        <v>121</v>
      </c>
      <c r="DH68" s="1" t="s">
        <v>121</v>
      </c>
      <c r="DI68" s="1" t="s">
        <v>121</v>
      </c>
      <c r="DJ68" s="1" t="s">
        <v>121</v>
      </c>
      <c r="DK68" s="1" t="s">
        <v>121</v>
      </c>
      <c r="DL68" s="1" t="s">
        <v>121</v>
      </c>
      <c r="DM68" s="1" t="s">
        <v>121</v>
      </c>
      <c r="DN68" s="1" t="s">
        <v>121</v>
      </c>
      <c r="DO68" s="1" t="s">
        <v>121</v>
      </c>
      <c r="DP68" s="1" t="s">
        <v>121</v>
      </c>
      <c r="DQ68" s="1" t="s">
        <v>121</v>
      </c>
      <c r="DR68" s="1" t="s">
        <v>121</v>
      </c>
      <c r="DS68" s="1" t="s">
        <v>121</v>
      </c>
      <c r="DT68" s="1" t="s">
        <v>121</v>
      </c>
      <c r="DU68" s="1" t="s">
        <v>121</v>
      </c>
      <c r="DV68" s="1" t="s">
        <v>121</v>
      </c>
      <c r="DW68" s="1" t="s">
        <v>121</v>
      </c>
      <c r="DX68" s="1" t="s">
        <v>121</v>
      </c>
      <c r="DY68" s="1" t="s">
        <v>121</v>
      </c>
      <c r="DZ68" s="1" t="s">
        <v>121</v>
      </c>
      <c r="EA68" s="1" t="s">
        <v>121</v>
      </c>
      <c r="EB68" s="1" t="s">
        <v>121</v>
      </c>
      <c r="EC68" s="1" t="s">
        <v>121</v>
      </c>
      <c r="ED68" s="1" t="s">
        <v>121</v>
      </c>
      <c r="EE68" s="1" t="s">
        <v>121</v>
      </c>
      <c r="EF68" s="1" t="s">
        <v>121</v>
      </c>
      <c r="EG68" s="1" t="s">
        <v>121</v>
      </c>
      <c r="EH68" s="1" t="s">
        <v>121</v>
      </c>
      <c r="EI68" s="1" t="s">
        <v>121</v>
      </c>
      <c r="EJ68" s="1" t="s">
        <v>121</v>
      </c>
      <c r="EK68" s="1" t="s">
        <v>121</v>
      </c>
    </row>
    <row r="69" spans="1:141" x14ac:dyDescent="0.25">
      <c r="A69" s="72">
        <v>69</v>
      </c>
      <c r="B69" s="1" t="s">
        <v>121</v>
      </c>
      <c r="C69" s="1" t="s">
        <v>121</v>
      </c>
      <c r="D69" s="1" t="s">
        <v>121</v>
      </c>
      <c r="E69" s="1" t="s">
        <v>121</v>
      </c>
      <c r="F69" s="1" t="s">
        <v>121</v>
      </c>
      <c r="G69" s="1" t="s">
        <v>121</v>
      </c>
      <c r="H69" s="1" t="s">
        <v>121</v>
      </c>
      <c r="I69" s="1" t="s">
        <v>121</v>
      </c>
      <c r="J69" s="1" t="s">
        <v>121</v>
      </c>
      <c r="K69" s="1" t="s">
        <v>121</v>
      </c>
      <c r="L69" s="1" t="s">
        <v>121</v>
      </c>
      <c r="M69" s="1" t="s">
        <v>121</v>
      </c>
      <c r="N69" s="1" t="s">
        <v>121</v>
      </c>
      <c r="O69" s="1" t="s">
        <v>121</v>
      </c>
      <c r="P69" s="1" t="s">
        <v>121</v>
      </c>
      <c r="Q69" s="1" t="s">
        <v>121</v>
      </c>
      <c r="R69" s="1" t="s">
        <v>121</v>
      </c>
      <c r="S69" s="1" t="s">
        <v>121</v>
      </c>
      <c r="T69" s="1" t="s">
        <v>121</v>
      </c>
      <c r="U69" s="1" t="s">
        <v>121</v>
      </c>
      <c r="V69" s="1" t="s">
        <v>121</v>
      </c>
      <c r="W69" s="1" t="s">
        <v>121</v>
      </c>
      <c r="X69" s="1" t="s">
        <v>121</v>
      </c>
      <c r="Y69" s="1" t="s">
        <v>121</v>
      </c>
      <c r="Z69" s="1" t="s">
        <v>121</v>
      </c>
      <c r="AA69" s="1" t="s">
        <v>121</v>
      </c>
      <c r="AB69" s="1" t="s">
        <v>121</v>
      </c>
      <c r="AC69" s="1" t="s">
        <v>121</v>
      </c>
      <c r="AD69" s="1" t="s">
        <v>121</v>
      </c>
      <c r="AE69" s="1" t="s">
        <v>121</v>
      </c>
      <c r="AF69" s="1" t="s">
        <v>121</v>
      </c>
      <c r="AG69" s="1" t="s">
        <v>121</v>
      </c>
      <c r="AH69" s="1" t="s">
        <v>121</v>
      </c>
      <c r="AI69" s="1" t="s">
        <v>121</v>
      </c>
      <c r="AJ69" s="1" t="s">
        <v>121</v>
      </c>
      <c r="AK69" s="1" t="s">
        <v>121</v>
      </c>
      <c r="AL69" s="1" t="s">
        <v>121</v>
      </c>
      <c r="AM69" s="1" t="s">
        <v>121</v>
      </c>
      <c r="AN69" s="1" t="s">
        <v>121</v>
      </c>
      <c r="AO69" s="1" t="s">
        <v>121</v>
      </c>
      <c r="AP69" s="1" t="s">
        <v>121</v>
      </c>
      <c r="AQ69" s="1" t="s">
        <v>121</v>
      </c>
      <c r="AR69" s="1" t="s">
        <v>121</v>
      </c>
      <c r="AS69" s="1" t="s">
        <v>121</v>
      </c>
      <c r="AT69" s="1" t="s">
        <v>121</v>
      </c>
      <c r="AU69" s="1" t="s">
        <v>121</v>
      </c>
      <c r="AV69" s="1" t="s">
        <v>121</v>
      </c>
      <c r="AW69" s="1" t="s">
        <v>121</v>
      </c>
      <c r="AX69" s="1" t="s">
        <v>121</v>
      </c>
      <c r="AY69" s="1" t="s">
        <v>121</v>
      </c>
      <c r="AZ69" s="1" t="s">
        <v>121</v>
      </c>
      <c r="BA69" s="11" t="s">
        <v>121</v>
      </c>
      <c r="BB69" s="11" t="s">
        <v>121</v>
      </c>
      <c r="BC69" s="11" t="s">
        <v>121</v>
      </c>
      <c r="BD69" s="11" t="s">
        <v>121</v>
      </c>
      <c r="BE69" s="11" t="s">
        <v>121</v>
      </c>
      <c r="BF69" s="11" t="s">
        <v>121</v>
      </c>
      <c r="BG69" s="11" t="s">
        <v>121</v>
      </c>
      <c r="BH69" s="11" t="s">
        <v>121</v>
      </c>
      <c r="BI69" s="11" t="s">
        <v>121</v>
      </c>
      <c r="BJ69" s="11" t="s">
        <v>121</v>
      </c>
      <c r="BK69" s="11" t="s">
        <v>121</v>
      </c>
      <c r="BL69" s="1" t="s">
        <v>121</v>
      </c>
      <c r="BM69" s="1" t="s">
        <v>121</v>
      </c>
      <c r="BN69" s="1" t="s">
        <v>121</v>
      </c>
      <c r="BO69" s="1" t="s">
        <v>121</v>
      </c>
      <c r="BP69" s="1" t="s">
        <v>121</v>
      </c>
      <c r="BQ69" s="1" t="s">
        <v>121</v>
      </c>
      <c r="BR69" s="1" t="s">
        <v>121</v>
      </c>
      <c r="BS69" s="1" t="s">
        <v>121</v>
      </c>
      <c r="BT69" s="1" t="s">
        <v>121</v>
      </c>
      <c r="BU69" s="1" t="s">
        <v>121</v>
      </c>
      <c r="BV69" s="1" t="s">
        <v>121</v>
      </c>
      <c r="BW69" s="1" t="s">
        <v>121</v>
      </c>
      <c r="BX69" s="1" t="s">
        <v>121</v>
      </c>
      <c r="BY69" s="1" t="s">
        <v>121</v>
      </c>
      <c r="BZ69" s="1" t="s">
        <v>121</v>
      </c>
      <c r="CA69" s="1" t="s">
        <v>121</v>
      </c>
      <c r="CB69" s="1" t="s">
        <v>121</v>
      </c>
      <c r="CC69" s="1" t="s">
        <v>121</v>
      </c>
      <c r="CD69" s="1" t="s">
        <v>121</v>
      </c>
      <c r="CE69" s="1" t="s">
        <v>121</v>
      </c>
      <c r="CF69" s="1" t="s">
        <v>121</v>
      </c>
      <c r="CG69" s="1" t="s">
        <v>121</v>
      </c>
      <c r="CH69" s="1" t="s">
        <v>121</v>
      </c>
      <c r="CI69" s="1" t="s">
        <v>121</v>
      </c>
      <c r="CJ69" s="1" t="s">
        <v>121</v>
      </c>
      <c r="CK69" s="1" t="s">
        <v>121</v>
      </c>
      <c r="CL69" s="1" t="s">
        <v>121</v>
      </c>
      <c r="CM69" s="1" t="s">
        <v>121</v>
      </c>
      <c r="CN69" s="1" t="s">
        <v>121</v>
      </c>
      <c r="CO69" s="1" t="s">
        <v>121</v>
      </c>
      <c r="CP69" s="1" t="s">
        <v>121</v>
      </c>
      <c r="CQ69" s="1" t="s">
        <v>121</v>
      </c>
      <c r="CR69" s="1" t="s">
        <v>121</v>
      </c>
      <c r="CS69" s="1" t="s">
        <v>121</v>
      </c>
      <c r="CT69" s="1" t="s">
        <v>121</v>
      </c>
      <c r="CU69" s="1" t="s">
        <v>121</v>
      </c>
      <c r="CV69" s="1" t="s">
        <v>121</v>
      </c>
      <c r="CW69" s="1" t="s">
        <v>121</v>
      </c>
      <c r="CX69" s="1" t="s">
        <v>121</v>
      </c>
      <c r="CY69" s="1" t="s">
        <v>121</v>
      </c>
      <c r="CZ69" s="1" t="s">
        <v>121</v>
      </c>
      <c r="DA69" s="1" t="s">
        <v>121</v>
      </c>
      <c r="DB69" s="1" t="s">
        <v>121</v>
      </c>
      <c r="DC69" s="1" t="s">
        <v>121</v>
      </c>
      <c r="DD69" s="1" t="s">
        <v>121</v>
      </c>
      <c r="DE69" s="1" t="s">
        <v>121</v>
      </c>
      <c r="DF69" s="1" t="s">
        <v>121</v>
      </c>
      <c r="DG69" s="1" t="s">
        <v>121</v>
      </c>
      <c r="DH69" s="1" t="s">
        <v>121</v>
      </c>
      <c r="DI69" s="1" t="s">
        <v>121</v>
      </c>
      <c r="DJ69" s="1" t="s">
        <v>121</v>
      </c>
      <c r="DK69" s="1" t="s">
        <v>121</v>
      </c>
      <c r="DL69" s="1" t="s">
        <v>121</v>
      </c>
      <c r="DM69" s="1" t="s">
        <v>121</v>
      </c>
      <c r="DN69" s="1" t="s">
        <v>121</v>
      </c>
      <c r="DO69" s="1" t="s">
        <v>121</v>
      </c>
      <c r="DP69" s="1" t="s">
        <v>121</v>
      </c>
      <c r="DQ69" s="1" t="s">
        <v>121</v>
      </c>
      <c r="DR69" s="1" t="s">
        <v>121</v>
      </c>
      <c r="DS69" s="1" t="s">
        <v>121</v>
      </c>
      <c r="DT69" s="1" t="s">
        <v>121</v>
      </c>
      <c r="DU69" s="1" t="s">
        <v>121</v>
      </c>
      <c r="DV69" s="1" t="s">
        <v>121</v>
      </c>
      <c r="DW69" s="1" t="s">
        <v>121</v>
      </c>
      <c r="DX69" s="1" t="s">
        <v>121</v>
      </c>
      <c r="DY69" s="1" t="s">
        <v>121</v>
      </c>
      <c r="DZ69" s="1" t="s">
        <v>121</v>
      </c>
      <c r="EA69" s="1" t="s">
        <v>121</v>
      </c>
      <c r="EB69" s="1" t="s">
        <v>121</v>
      </c>
      <c r="EC69" s="1" t="s">
        <v>121</v>
      </c>
      <c r="ED69" s="1" t="s">
        <v>121</v>
      </c>
      <c r="EE69" s="1" t="s">
        <v>121</v>
      </c>
      <c r="EF69" s="1" t="s">
        <v>121</v>
      </c>
      <c r="EG69" s="1" t="s">
        <v>121</v>
      </c>
      <c r="EH69" s="1" t="s">
        <v>121</v>
      </c>
      <c r="EI69" s="1" t="s">
        <v>121</v>
      </c>
      <c r="EJ69" s="1" t="s">
        <v>121</v>
      </c>
      <c r="EK69" s="1" t="s">
        <v>121</v>
      </c>
    </row>
    <row r="70" spans="1:141" x14ac:dyDescent="0.25">
      <c r="A70" s="72">
        <v>70</v>
      </c>
      <c r="B70" s="431" t="s">
        <v>312</v>
      </c>
      <c r="C70" s="445" t="s">
        <v>121</v>
      </c>
      <c r="D70" s="215" t="s">
        <v>121</v>
      </c>
      <c r="E70" s="447" t="s">
        <v>121</v>
      </c>
      <c r="F70" s="416">
        <v>45930</v>
      </c>
      <c r="G70" s="416">
        <v>45838</v>
      </c>
      <c r="H70" s="416">
        <v>45747</v>
      </c>
      <c r="I70" s="416">
        <v>45657</v>
      </c>
      <c r="J70" s="416">
        <v>45565</v>
      </c>
      <c r="K70" s="416">
        <v>45473</v>
      </c>
      <c r="L70" s="416">
        <v>45382</v>
      </c>
      <c r="M70" s="416">
        <v>45291</v>
      </c>
      <c r="N70" s="416">
        <v>45199</v>
      </c>
      <c r="O70" s="416">
        <v>45107</v>
      </c>
      <c r="P70" s="416">
        <v>45016</v>
      </c>
      <c r="Q70" s="416">
        <v>44926</v>
      </c>
      <c r="R70" s="416">
        <v>44834</v>
      </c>
      <c r="S70" s="416">
        <v>44742</v>
      </c>
      <c r="T70" s="416">
        <v>44651</v>
      </c>
      <c r="U70" s="416">
        <v>44561</v>
      </c>
      <c r="V70" s="416">
        <v>44469</v>
      </c>
      <c r="W70" s="416">
        <v>44377</v>
      </c>
      <c r="X70" s="416">
        <v>44286</v>
      </c>
      <c r="Y70" s="416">
        <v>44196</v>
      </c>
      <c r="Z70" s="416">
        <v>44104</v>
      </c>
      <c r="AA70" s="416">
        <v>44012</v>
      </c>
      <c r="AB70" s="416">
        <v>43921</v>
      </c>
      <c r="AC70" s="416">
        <v>43830</v>
      </c>
      <c r="AD70" s="416">
        <v>43738</v>
      </c>
      <c r="AE70" s="416">
        <v>43646</v>
      </c>
      <c r="AF70" s="416">
        <v>43555</v>
      </c>
      <c r="AG70" s="416">
        <v>43465</v>
      </c>
      <c r="AH70" s="416">
        <v>43373</v>
      </c>
      <c r="AI70" s="416">
        <v>43281</v>
      </c>
      <c r="AJ70" s="416">
        <v>43190</v>
      </c>
      <c r="AK70" s="416">
        <v>43100</v>
      </c>
      <c r="AL70" s="416">
        <v>43008</v>
      </c>
      <c r="AM70" s="416">
        <v>42916</v>
      </c>
      <c r="AN70" s="416">
        <v>42825</v>
      </c>
      <c r="AO70" s="416">
        <v>42735</v>
      </c>
      <c r="AP70" s="416">
        <v>42643</v>
      </c>
      <c r="AQ70" s="416">
        <v>42551</v>
      </c>
      <c r="AR70" s="416">
        <v>42460</v>
      </c>
      <c r="AS70" s="416">
        <v>42369</v>
      </c>
      <c r="AT70" s="416">
        <v>42277</v>
      </c>
      <c r="AU70" s="416">
        <v>42185</v>
      </c>
      <c r="AV70" s="416">
        <v>42094</v>
      </c>
      <c r="AW70" s="416">
        <v>42004</v>
      </c>
      <c r="AX70" s="416">
        <v>41912</v>
      </c>
      <c r="AY70" s="429">
        <v>41820</v>
      </c>
      <c r="AZ70" s="429">
        <v>41729</v>
      </c>
      <c r="BA70" s="416">
        <v>41639</v>
      </c>
      <c r="BB70" s="416">
        <v>41547</v>
      </c>
      <c r="BC70" s="416">
        <v>41455</v>
      </c>
      <c r="BD70" s="416">
        <v>41364</v>
      </c>
      <c r="BE70" s="416">
        <v>41274</v>
      </c>
      <c r="BF70" s="416">
        <v>41182</v>
      </c>
      <c r="BG70" s="416">
        <v>41090</v>
      </c>
      <c r="BH70" s="416">
        <v>40999</v>
      </c>
      <c r="BI70" s="416">
        <v>40908</v>
      </c>
      <c r="BJ70" s="416">
        <v>40816</v>
      </c>
      <c r="BK70" s="416">
        <v>40724</v>
      </c>
      <c r="BL70" s="416">
        <v>40633</v>
      </c>
      <c r="BM70" s="1">
        <v>40543</v>
      </c>
      <c r="BN70" s="1">
        <v>40451</v>
      </c>
      <c r="BO70" s="1">
        <v>40359</v>
      </c>
      <c r="BP70" s="1">
        <v>40268</v>
      </c>
      <c r="BQ70" s="1">
        <v>40178</v>
      </c>
      <c r="BR70" s="1" t="s">
        <v>121</v>
      </c>
      <c r="BS70" s="1" t="s">
        <v>121</v>
      </c>
      <c r="BT70" s="1" t="s">
        <v>121</v>
      </c>
      <c r="BU70" s="1" t="s">
        <v>121</v>
      </c>
      <c r="BV70" s="1" t="s">
        <v>121</v>
      </c>
      <c r="BW70" s="1" t="s">
        <v>121</v>
      </c>
      <c r="BX70" s="1" t="s">
        <v>121</v>
      </c>
      <c r="BY70" s="1" t="s">
        <v>121</v>
      </c>
      <c r="BZ70" s="1" t="s">
        <v>121</v>
      </c>
      <c r="CA70" s="1" t="s">
        <v>121</v>
      </c>
      <c r="CB70" s="1" t="s">
        <v>121</v>
      </c>
      <c r="CC70" s="1" t="s">
        <v>121</v>
      </c>
      <c r="CD70" s="1" t="s">
        <v>121</v>
      </c>
      <c r="CE70" s="1" t="s">
        <v>121</v>
      </c>
      <c r="CF70" s="1" t="s">
        <v>121</v>
      </c>
      <c r="CG70" s="1" t="s">
        <v>121</v>
      </c>
      <c r="CH70" s="1" t="s">
        <v>121</v>
      </c>
      <c r="CI70" s="1" t="s">
        <v>121</v>
      </c>
      <c r="CJ70" s="1" t="s">
        <v>121</v>
      </c>
      <c r="CK70" s="1" t="s">
        <v>121</v>
      </c>
      <c r="CL70" s="1" t="s">
        <v>121</v>
      </c>
      <c r="CM70" s="1" t="s">
        <v>121</v>
      </c>
      <c r="CN70" s="1" t="s">
        <v>121</v>
      </c>
      <c r="CO70" s="1" t="s">
        <v>121</v>
      </c>
      <c r="CP70" s="1" t="s">
        <v>121</v>
      </c>
      <c r="CQ70" s="1" t="s">
        <v>121</v>
      </c>
      <c r="CR70" s="1" t="s">
        <v>121</v>
      </c>
      <c r="CS70" s="1" t="s">
        <v>121</v>
      </c>
      <c r="CT70" s="1" t="s">
        <v>121</v>
      </c>
      <c r="CU70" s="1" t="s">
        <v>121</v>
      </c>
      <c r="CV70" s="1" t="s">
        <v>121</v>
      </c>
      <c r="CW70" s="1" t="s">
        <v>121</v>
      </c>
      <c r="CX70" s="1" t="s">
        <v>121</v>
      </c>
      <c r="CY70" s="1" t="s">
        <v>121</v>
      </c>
      <c r="CZ70" s="1" t="s">
        <v>121</v>
      </c>
      <c r="DA70" s="1" t="s">
        <v>121</v>
      </c>
      <c r="DB70" s="1" t="s">
        <v>121</v>
      </c>
      <c r="DC70" s="1" t="s">
        <v>121</v>
      </c>
      <c r="DD70" s="1" t="s">
        <v>121</v>
      </c>
      <c r="DE70" s="1" t="s">
        <v>121</v>
      </c>
      <c r="DF70" s="1" t="s">
        <v>121</v>
      </c>
      <c r="DG70" s="1" t="s">
        <v>121</v>
      </c>
      <c r="DH70" s="1" t="s">
        <v>121</v>
      </c>
      <c r="DI70" s="1" t="s">
        <v>121</v>
      </c>
      <c r="DJ70" s="1" t="s">
        <v>121</v>
      </c>
      <c r="DK70" s="1" t="s">
        <v>121</v>
      </c>
      <c r="DL70" s="1" t="s">
        <v>121</v>
      </c>
      <c r="DM70" s="1" t="s">
        <v>121</v>
      </c>
      <c r="DN70" s="1" t="s">
        <v>121</v>
      </c>
      <c r="DO70" s="1" t="s">
        <v>121</v>
      </c>
      <c r="DP70" s="1" t="s">
        <v>121</v>
      </c>
      <c r="DQ70" s="1" t="s">
        <v>121</v>
      </c>
      <c r="DR70" s="1" t="s">
        <v>121</v>
      </c>
      <c r="DS70" s="1" t="s">
        <v>121</v>
      </c>
      <c r="DT70" s="1" t="s">
        <v>121</v>
      </c>
      <c r="DU70" s="1" t="s">
        <v>121</v>
      </c>
      <c r="DV70" s="1" t="s">
        <v>121</v>
      </c>
      <c r="DW70" s="1" t="s">
        <v>121</v>
      </c>
      <c r="DX70" s="1" t="s">
        <v>121</v>
      </c>
      <c r="DY70" s="1" t="s">
        <v>121</v>
      </c>
      <c r="DZ70" s="1" t="s">
        <v>121</v>
      </c>
      <c r="EA70" s="1" t="s">
        <v>121</v>
      </c>
      <c r="EB70" s="1" t="s">
        <v>121</v>
      </c>
      <c r="EC70" s="1" t="s">
        <v>121</v>
      </c>
      <c r="ED70" s="1" t="s">
        <v>121</v>
      </c>
      <c r="EE70" s="1" t="s">
        <v>121</v>
      </c>
      <c r="EF70" s="1" t="s">
        <v>121</v>
      </c>
      <c r="EG70" s="1" t="s">
        <v>121</v>
      </c>
      <c r="EH70" s="1" t="s">
        <v>121</v>
      </c>
      <c r="EI70" s="1" t="s">
        <v>121</v>
      </c>
      <c r="EJ70" s="1" t="s">
        <v>121</v>
      </c>
      <c r="EK70" s="1" t="s">
        <v>121</v>
      </c>
    </row>
    <row r="71" spans="1:141" x14ac:dyDescent="0.25">
      <c r="A71" s="72">
        <v>71</v>
      </c>
      <c r="B71" s="432"/>
      <c r="C71" s="446"/>
      <c r="D71" s="258"/>
      <c r="E71" s="448"/>
      <c r="F71" s="417"/>
      <c r="G71" s="417"/>
      <c r="H71" s="417"/>
      <c r="I71" s="417"/>
      <c r="J71" s="417"/>
      <c r="K71" s="417"/>
      <c r="L71" s="417"/>
      <c r="M71" s="417"/>
      <c r="N71" s="417"/>
      <c r="O71" s="417"/>
      <c r="P71" s="417"/>
      <c r="Q71" s="417"/>
      <c r="R71" s="417"/>
      <c r="S71" s="417"/>
      <c r="T71" s="417"/>
      <c r="U71" s="418"/>
      <c r="V71" s="417"/>
      <c r="W71" s="418"/>
      <c r="X71" s="417"/>
      <c r="Y71" s="417"/>
      <c r="Z71" s="417"/>
      <c r="AA71" s="417"/>
      <c r="AB71" s="417"/>
      <c r="AC71" s="417"/>
      <c r="AD71" s="417"/>
      <c r="AE71" s="417"/>
      <c r="AF71" s="417"/>
      <c r="AG71" s="417"/>
      <c r="AH71" s="417"/>
      <c r="AI71" s="417"/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30"/>
      <c r="AZ71" s="430"/>
      <c r="BA71" s="417"/>
      <c r="BB71" s="417"/>
      <c r="BC71" s="417"/>
      <c r="BD71" s="417"/>
      <c r="BE71" s="417"/>
      <c r="BF71" s="417"/>
      <c r="BG71" s="417"/>
      <c r="BH71" s="417"/>
      <c r="BI71" s="417"/>
      <c r="BJ71" s="417"/>
      <c r="BK71" s="417"/>
      <c r="BL71" s="417"/>
    </row>
    <row r="72" spans="1:141" ht="9" customHeight="1" x14ac:dyDescent="0.25">
      <c r="A72" s="72">
        <v>72</v>
      </c>
      <c r="B72" s="1" t="s">
        <v>121</v>
      </c>
      <c r="C72" s="95" t="s">
        <v>121</v>
      </c>
      <c r="D72" s="39" t="s">
        <v>121</v>
      </c>
      <c r="E72" s="96" t="s">
        <v>121</v>
      </c>
      <c r="F72" s="39" t="s">
        <v>121</v>
      </c>
      <c r="G72" s="39" t="s">
        <v>121</v>
      </c>
      <c r="H72" s="39" t="s">
        <v>121</v>
      </c>
      <c r="I72" s="39" t="s">
        <v>121</v>
      </c>
      <c r="J72" s="39" t="s">
        <v>121</v>
      </c>
      <c r="K72" s="39" t="s">
        <v>121</v>
      </c>
      <c r="L72" s="39" t="s">
        <v>121</v>
      </c>
      <c r="M72" s="39" t="s">
        <v>121</v>
      </c>
      <c r="N72" s="39" t="s">
        <v>121</v>
      </c>
      <c r="O72" s="39" t="s">
        <v>121</v>
      </c>
      <c r="P72" s="39" t="s">
        <v>121</v>
      </c>
      <c r="Q72" s="39" t="s">
        <v>121</v>
      </c>
      <c r="R72" s="39" t="s">
        <v>121</v>
      </c>
      <c r="S72" s="39" t="s">
        <v>121</v>
      </c>
      <c r="T72" s="39" t="s">
        <v>121</v>
      </c>
      <c r="U72" s="39" t="s">
        <v>121</v>
      </c>
      <c r="V72" s="39" t="s">
        <v>121</v>
      </c>
      <c r="W72" s="39" t="s">
        <v>121</v>
      </c>
      <c r="X72" s="39" t="s">
        <v>121</v>
      </c>
      <c r="Y72" s="39" t="s">
        <v>121</v>
      </c>
      <c r="Z72" s="39" t="s">
        <v>121</v>
      </c>
      <c r="AA72" s="39" t="s">
        <v>121</v>
      </c>
      <c r="AB72" s="39" t="s">
        <v>121</v>
      </c>
      <c r="AC72" s="39" t="s">
        <v>121</v>
      </c>
      <c r="AD72" s="39" t="s">
        <v>121</v>
      </c>
      <c r="AE72" s="39" t="s">
        <v>121</v>
      </c>
      <c r="AF72" s="39" t="s">
        <v>121</v>
      </c>
      <c r="AG72" s="39" t="s">
        <v>121</v>
      </c>
      <c r="AH72" s="39" t="s">
        <v>121</v>
      </c>
      <c r="AI72" s="39" t="s">
        <v>121</v>
      </c>
      <c r="AJ72" s="39" t="s">
        <v>121</v>
      </c>
      <c r="AK72" s="39" t="s">
        <v>121</v>
      </c>
      <c r="AL72" s="39" t="s">
        <v>121</v>
      </c>
      <c r="AM72" s="39" t="s">
        <v>121</v>
      </c>
      <c r="AN72" s="39" t="s">
        <v>121</v>
      </c>
      <c r="AO72" s="39" t="s">
        <v>121</v>
      </c>
      <c r="AP72" s="39" t="s">
        <v>121</v>
      </c>
      <c r="AQ72" s="39" t="s">
        <v>121</v>
      </c>
      <c r="AR72" s="39" t="s">
        <v>121</v>
      </c>
      <c r="AS72" s="39" t="s">
        <v>121</v>
      </c>
      <c r="AT72" s="39" t="s">
        <v>121</v>
      </c>
      <c r="AU72" s="39" t="s">
        <v>121</v>
      </c>
      <c r="AV72" s="39" t="s">
        <v>121</v>
      </c>
      <c r="AW72" s="39" t="s">
        <v>121</v>
      </c>
      <c r="AX72" s="39" t="s">
        <v>121</v>
      </c>
      <c r="AY72" s="39" t="s">
        <v>121</v>
      </c>
      <c r="AZ72" s="1" t="s">
        <v>121</v>
      </c>
      <c r="BA72" s="11" t="s">
        <v>121</v>
      </c>
      <c r="BB72" s="11" t="s">
        <v>121</v>
      </c>
      <c r="BC72" s="11" t="s">
        <v>121</v>
      </c>
      <c r="BD72" s="11" t="s">
        <v>121</v>
      </c>
      <c r="BE72" s="11" t="s">
        <v>121</v>
      </c>
      <c r="BF72" s="11" t="s">
        <v>121</v>
      </c>
      <c r="BG72" s="11" t="s">
        <v>121</v>
      </c>
      <c r="BH72" s="11" t="s">
        <v>121</v>
      </c>
      <c r="BI72" s="11" t="s">
        <v>121</v>
      </c>
      <c r="BJ72" s="11" t="s">
        <v>121</v>
      </c>
      <c r="BK72" s="11" t="s">
        <v>121</v>
      </c>
      <c r="BL72" s="1" t="s">
        <v>121</v>
      </c>
      <c r="BM72" s="1" t="s">
        <v>121</v>
      </c>
      <c r="BN72" s="1" t="s">
        <v>121</v>
      </c>
      <c r="BO72" s="1" t="s">
        <v>121</v>
      </c>
      <c r="BP72" s="1" t="s">
        <v>121</v>
      </c>
      <c r="BQ72" s="1" t="s">
        <v>121</v>
      </c>
      <c r="BR72" s="1" t="s">
        <v>121</v>
      </c>
      <c r="BS72" s="1" t="s">
        <v>121</v>
      </c>
      <c r="BT72" s="1" t="s">
        <v>121</v>
      </c>
      <c r="BU72" s="1" t="s">
        <v>121</v>
      </c>
      <c r="BV72" s="1" t="s">
        <v>121</v>
      </c>
      <c r="BW72" s="1" t="s">
        <v>121</v>
      </c>
      <c r="BX72" s="1" t="s">
        <v>121</v>
      </c>
      <c r="BY72" s="1" t="s">
        <v>121</v>
      </c>
      <c r="BZ72" s="1" t="s">
        <v>121</v>
      </c>
      <c r="CA72" s="1" t="s">
        <v>121</v>
      </c>
      <c r="CB72" s="1" t="s">
        <v>121</v>
      </c>
      <c r="CC72" s="1" t="s">
        <v>121</v>
      </c>
      <c r="CD72" s="1" t="s">
        <v>121</v>
      </c>
      <c r="CE72" s="1" t="s">
        <v>121</v>
      </c>
      <c r="CF72" s="1" t="s">
        <v>121</v>
      </c>
      <c r="CG72" s="1" t="s">
        <v>121</v>
      </c>
      <c r="CH72" s="1" t="s">
        <v>121</v>
      </c>
      <c r="CI72" s="1" t="s">
        <v>121</v>
      </c>
      <c r="CJ72" s="1" t="s">
        <v>121</v>
      </c>
      <c r="CK72" s="1" t="s">
        <v>121</v>
      </c>
      <c r="CL72" s="1" t="s">
        <v>121</v>
      </c>
      <c r="CM72" s="1" t="s">
        <v>121</v>
      </c>
      <c r="CN72" s="1" t="s">
        <v>121</v>
      </c>
      <c r="CO72" s="1" t="s">
        <v>121</v>
      </c>
      <c r="CP72" s="1" t="s">
        <v>121</v>
      </c>
      <c r="CQ72" s="1" t="s">
        <v>121</v>
      </c>
      <c r="CR72" s="1" t="s">
        <v>121</v>
      </c>
      <c r="CS72" s="1" t="s">
        <v>121</v>
      </c>
      <c r="CT72" s="1" t="s">
        <v>121</v>
      </c>
      <c r="CU72" s="1" t="s">
        <v>121</v>
      </c>
      <c r="CV72" s="1" t="s">
        <v>121</v>
      </c>
      <c r="CW72" s="1" t="s">
        <v>121</v>
      </c>
      <c r="CX72" s="1" t="s">
        <v>121</v>
      </c>
      <c r="CY72" s="1" t="s">
        <v>121</v>
      </c>
      <c r="CZ72" s="1" t="s">
        <v>121</v>
      </c>
      <c r="DA72" s="1" t="s">
        <v>121</v>
      </c>
      <c r="DB72" s="1" t="s">
        <v>121</v>
      </c>
      <c r="DC72" s="1" t="s">
        <v>121</v>
      </c>
      <c r="DD72" s="1" t="s">
        <v>121</v>
      </c>
      <c r="DE72" s="1" t="s">
        <v>121</v>
      </c>
      <c r="DF72" s="1" t="s">
        <v>121</v>
      </c>
      <c r="DG72" s="1" t="s">
        <v>121</v>
      </c>
      <c r="DH72" s="1" t="s">
        <v>121</v>
      </c>
      <c r="DI72" s="1" t="s">
        <v>121</v>
      </c>
      <c r="DJ72" s="1" t="s">
        <v>121</v>
      </c>
      <c r="DK72" s="1" t="s">
        <v>121</v>
      </c>
      <c r="DL72" s="1" t="s">
        <v>121</v>
      </c>
      <c r="DM72" s="1" t="s">
        <v>121</v>
      </c>
      <c r="DN72" s="1" t="s">
        <v>121</v>
      </c>
      <c r="DO72" s="1" t="s">
        <v>121</v>
      </c>
      <c r="DP72" s="1" t="s">
        <v>121</v>
      </c>
      <c r="DQ72" s="1" t="s">
        <v>121</v>
      </c>
      <c r="DR72" s="1" t="s">
        <v>121</v>
      </c>
      <c r="DS72" s="1" t="s">
        <v>121</v>
      </c>
      <c r="DT72" s="1" t="s">
        <v>121</v>
      </c>
      <c r="DU72" s="1" t="s">
        <v>121</v>
      </c>
      <c r="DV72" s="1" t="s">
        <v>121</v>
      </c>
      <c r="DW72" s="1" t="s">
        <v>121</v>
      </c>
      <c r="DX72" s="1" t="s">
        <v>121</v>
      </c>
      <c r="DY72" s="1" t="s">
        <v>121</v>
      </c>
      <c r="DZ72" s="1" t="s">
        <v>121</v>
      </c>
      <c r="EA72" s="1" t="s">
        <v>121</v>
      </c>
      <c r="EB72" s="1" t="s">
        <v>121</v>
      </c>
      <c r="EC72" s="1" t="s">
        <v>121</v>
      </c>
      <c r="ED72" s="1" t="s">
        <v>121</v>
      </c>
      <c r="EE72" s="1" t="s">
        <v>121</v>
      </c>
      <c r="EF72" s="1" t="s">
        <v>121</v>
      </c>
      <c r="EG72" s="1" t="s">
        <v>121</v>
      </c>
      <c r="EH72" s="1" t="s">
        <v>121</v>
      </c>
      <c r="EI72" s="1" t="s">
        <v>121</v>
      </c>
      <c r="EJ72" s="1" t="s">
        <v>121</v>
      </c>
      <c r="EK72" s="1" t="s">
        <v>121</v>
      </c>
    </row>
    <row r="73" spans="1:141" x14ac:dyDescent="0.25">
      <c r="A73" s="72">
        <v>73</v>
      </c>
      <c r="B73" s="5" t="s">
        <v>313</v>
      </c>
      <c r="C73" s="97" t="s">
        <v>121</v>
      </c>
      <c r="D73" s="40" t="s">
        <v>121</v>
      </c>
      <c r="E73" s="98" t="s">
        <v>121</v>
      </c>
      <c r="F73" s="13">
        <v>4.6871686421597641E-2</v>
      </c>
      <c r="G73" s="13">
        <v>3.4713058250528284E-2</v>
      </c>
      <c r="H73" s="13">
        <v>9.1876450821206351E-2</v>
      </c>
      <c r="I73" s="13">
        <v>4.7471848866569605E-2</v>
      </c>
      <c r="J73" s="13">
        <v>3.2047347358825647E-2</v>
      </c>
      <c r="K73" s="13">
        <v>5.7847041310011164E-2</v>
      </c>
      <c r="L73" s="13">
        <v>7.2820702242308355E-2</v>
      </c>
      <c r="M73" s="13">
        <v>5.2837316112142034E-2</v>
      </c>
      <c r="N73" s="13">
        <v>5.5111850026035712E-2</v>
      </c>
      <c r="O73" s="13">
        <v>6.3509534557546377E-2</v>
      </c>
      <c r="P73" s="13">
        <v>3.6099059366297342E-2</v>
      </c>
      <c r="Q73" s="13">
        <v>5.6442706018736397E-2</v>
      </c>
      <c r="R73" s="404"/>
      <c r="S73" s="404"/>
      <c r="T73" s="404"/>
      <c r="U73" s="13">
        <v>4.2748980926663127E-2</v>
      </c>
      <c r="V73" s="13">
        <v>6.6219944047180568E-2</v>
      </c>
      <c r="W73" s="13">
        <v>4.3012272470801437E-2</v>
      </c>
      <c r="X73" s="13">
        <v>7.4315585459902564E-2</v>
      </c>
      <c r="Y73" s="13">
        <v>8.2537347975355613E-2</v>
      </c>
      <c r="Z73" s="13">
        <v>6.2166528693941077E-2</v>
      </c>
      <c r="AA73" s="13">
        <v>9.0278846142932703E-2</v>
      </c>
      <c r="AB73" s="13">
        <v>7.1895951865884114E-2</v>
      </c>
      <c r="AC73" s="13">
        <v>6.317253203047804E-2</v>
      </c>
      <c r="AD73" s="13">
        <v>8.9459924622813172E-2</v>
      </c>
      <c r="AE73" s="13">
        <v>9.1173302980141882E-2</v>
      </c>
      <c r="AF73" s="13">
        <v>6.466334607161911E-2</v>
      </c>
      <c r="AG73" s="13">
        <v>5.522575930698808E-2</v>
      </c>
      <c r="AH73" s="13">
        <v>6.6160039967397416E-2</v>
      </c>
      <c r="AI73" s="13">
        <v>6.7679894858912792E-2</v>
      </c>
      <c r="AJ73" s="13">
        <v>5.51518828282824E-2</v>
      </c>
      <c r="AK73" s="13">
        <v>6.4592411146931109E-2</v>
      </c>
      <c r="AL73" s="13">
        <v>9.6983617524094873E-2</v>
      </c>
      <c r="AM73" s="13">
        <v>0.10771205574658545</v>
      </c>
      <c r="AN73" s="13">
        <v>0.11737108213656645</v>
      </c>
      <c r="AO73" s="13">
        <v>5.8386925157377152E-2</v>
      </c>
      <c r="AP73" s="13">
        <v>8.3282824509821329E-2</v>
      </c>
      <c r="AQ73" s="13">
        <v>0.10609745896595645</v>
      </c>
      <c r="AR73" s="13">
        <v>4.9283801232466243E-2</v>
      </c>
      <c r="AS73" s="13">
        <v>6.4989635410428528E-2</v>
      </c>
      <c r="AT73" s="13">
        <v>8.9664776090025863E-2</v>
      </c>
      <c r="AU73" s="13">
        <v>8.9337043383456743E-2</v>
      </c>
      <c r="AV73" s="13">
        <v>8.2510358183933846E-2</v>
      </c>
      <c r="AW73" s="13">
        <v>0.10974042472955578</v>
      </c>
      <c r="AX73" s="13">
        <v>9.7905051521060202E-2</v>
      </c>
      <c r="AY73" s="13">
        <v>0.14279361911580238</v>
      </c>
      <c r="AZ73" s="13">
        <v>0.10772588292637626</v>
      </c>
      <c r="BA73" s="13">
        <v>9.7846282776782381E-2</v>
      </c>
      <c r="BB73" s="13">
        <v>0.113273965663442</v>
      </c>
      <c r="BC73" s="13">
        <v>0.10125605613456835</v>
      </c>
      <c r="BD73" s="13">
        <v>7.912367309807801E-2</v>
      </c>
      <c r="BE73" s="13">
        <v>0.12504944093475254</v>
      </c>
      <c r="BF73" s="13">
        <v>6.6000578242757124E-2</v>
      </c>
      <c r="BG73" s="13">
        <v>7.8287120359806381E-2</v>
      </c>
      <c r="BH73" s="13">
        <v>7.7757115664700949E-2</v>
      </c>
      <c r="BI73" s="13">
        <v>9.9309043387958568E-2</v>
      </c>
      <c r="BJ73" s="13">
        <v>6.3900077795354226E-2</v>
      </c>
      <c r="BK73" s="13">
        <v>4.7615002244089863E-2</v>
      </c>
      <c r="BL73" s="13">
        <v>4.9887985330514015E-2</v>
      </c>
      <c r="BM73" s="1">
        <v>4.8348361766694763E-2</v>
      </c>
      <c r="BN73" s="1">
        <v>6.71267531278716E-2</v>
      </c>
      <c r="BO73" s="1">
        <v>0.11646814683655578</v>
      </c>
      <c r="BP73" s="1">
        <v>6.4308277547388104E-2</v>
      </c>
      <c r="BQ73" s="1">
        <v>9.0912124860477006E-2</v>
      </c>
      <c r="BR73" s="1" t="s">
        <v>121</v>
      </c>
      <c r="BS73" s="1" t="s">
        <v>121</v>
      </c>
      <c r="BT73" s="1" t="s">
        <v>121</v>
      </c>
      <c r="BU73" s="1" t="s">
        <v>121</v>
      </c>
      <c r="BV73" s="1" t="s">
        <v>121</v>
      </c>
      <c r="BW73" s="1" t="s">
        <v>121</v>
      </c>
      <c r="BX73" s="1" t="s">
        <v>121</v>
      </c>
      <c r="BY73" s="1" t="s">
        <v>121</v>
      </c>
      <c r="BZ73" s="1" t="s">
        <v>121</v>
      </c>
      <c r="CA73" s="1" t="s">
        <v>121</v>
      </c>
      <c r="CB73" s="1" t="s">
        <v>121</v>
      </c>
      <c r="CC73" s="1" t="s">
        <v>121</v>
      </c>
      <c r="CD73" s="1" t="s">
        <v>121</v>
      </c>
      <c r="CE73" s="1" t="s">
        <v>121</v>
      </c>
      <c r="CF73" s="1" t="s">
        <v>121</v>
      </c>
      <c r="CG73" s="1" t="s">
        <v>121</v>
      </c>
      <c r="CH73" s="1" t="s">
        <v>121</v>
      </c>
      <c r="CI73" s="1" t="s">
        <v>121</v>
      </c>
      <c r="CJ73" s="1" t="s">
        <v>121</v>
      </c>
      <c r="CK73" s="1" t="s">
        <v>121</v>
      </c>
      <c r="CL73" s="1" t="s">
        <v>121</v>
      </c>
      <c r="CM73" s="1" t="s">
        <v>121</v>
      </c>
      <c r="CN73" s="1" t="s">
        <v>121</v>
      </c>
      <c r="CO73" s="1" t="s">
        <v>121</v>
      </c>
      <c r="CP73" s="1" t="s">
        <v>121</v>
      </c>
      <c r="CQ73" s="1" t="s">
        <v>121</v>
      </c>
      <c r="CR73" s="1" t="s">
        <v>121</v>
      </c>
      <c r="CS73" s="1" t="s">
        <v>121</v>
      </c>
      <c r="CT73" s="1" t="s">
        <v>121</v>
      </c>
      <c r="CU73" s="1" t="s">
        <v>121</v>
      </c>
      <c r="CV73" s="1" t="s">
        <v>121</v>
      </c>
      <c r="CW73" s="1" t="s">
        <v>121</v>
      </c>
      <c r="CX73" s="1" t="s">
        <v>121</v>
      </c>
      <c r="CY73" s="1" t="s">
        <v>121</v>
      </c>
      <c r="CZ73" s="1" t="s">
        <v>121</v>
      </c>
      <c r="DA73" s="1" t="s">
        <v>121</v>
      </c>
      <c r="DB73" s="1" t="s">
        <v>121</v>
      </c>
      <c r="DC73" s="1" t="s">
        <v>121</v>
      </c>
      <c r="DD73" s="1" t="s">
        <v>121</v>
      </c>
      <c r="DE73" s="1" t="s">
        <v>121</v>
      </c>
      <c r="DF73" s="1" t="s">
        <v>121</v>
      </c>
      <c r="DG73" s="1" t="s">
        <v>121</v>
      </c>
      <c r="DH73" s="1" t="s">
        <v>121</v>
      </c>
      <c r="DI73" s="1" t="s">
        <v>121</v>
      </c>
      <c r="DJ73" s="1" t="s">
        <v>121</v>
      </c>
      <c r="DK73" s="1" t="s">
        <v>121</v>
      </c>
      <c r="DL73" s="1" t="s">
        <v>121</v>
      </c>
      <c r="DM73" s="1" t="s">
        <v>121</v>
      </c>
      <c r="DN73" s="1" t="s">
        <v>121</v>
      </c>
      <c r="DO73" s="1" t="s">
        <v>121</v>
      </c>
      <c r="DP73" s="1" t="s">
        <v>121</v>
      </c>
      <c r="DQ73" s="1" t="s">
        <v>121</v>
      </c>
      <c r="DR73" s="1" t="s">
        <v>121</v>
      </c>
      <c r="DS73" s="1" t="s">
        <v>121</v>
      </c>
      <c r="DT73" s="1" t="s">
        <v>121</v>
      </c>
      <c r="DU73" s="1" t="s">
        <v>121</v>
      </c>
      <c r="DV73" s="1" t="s">
        <v>121</v>
      </c>
      <c r="DW73" s="1" t="s">
        <v>121</v>
      </c>
      <c r="DX73" s="1" t="s">
        <v>121</v>
      </c>
      <c r="DY73" s="1" t="s">
        <v>121</v>
      </c>
      <c r="DZ73" s="1" t="s">
        <v>121</v>
      </c>
      <c r="EA73" s="1" t="s">
        <v>121</v>
      </c>
      <c r="EB73" s="1" t="s">
        <v>121</v>
      </c>
      <c r="EC73" s="1" t="s">
        <v>121</v>
      </c>
      <c r="ED73" s="1" t="s">
        <v>121</v>
      </c>
      <c r="EE73" s="1" t="s">
        <v>121</v>
      </c>
      <c r="EF73" s="1" t="s">
        <v>121</v>
      </c>
      <c r="EG73" s="1" t="s">
        <v>121</v>
      </c>
      <c r="EH73" s="1" t="s">
        <v>121</v>
      </c>
      <c r="EI73" s="1" t="s">
        <v>121</v>
      </c>
      <c r="EJ73" s="1" t="s">
        <v>121</v>
      </c>
      <c r="EK73" s="1" t="s">
        <v>121</v>
      </c>
    </row>
    <row r="74" spans="1:141" x14ac:dyDescent="0.25">
      <c r="A74" s="72">
        <v>74</v>
      </c>
      <c r="B74" s="5" t="s">
        <v>314</v>
      </c>
      <c r="C74" s="97" t="s">
        <v>121</v>
      </c>
      <c r="D74" s="40" t="s">
        <v>121</v>
      </c>
      <c r="E74" s="278" t="s">
        <v>121</v>
      </c>
      <c r="F74" s="13">
        <v>0.10994781033197298</v>
      </c>
      <c r="G74" s="13">
        <v>0.10885481155414839</v>
      </c>
      <c r="H74" s="13">
        <v>0.10483609984273841</v>
      </c>
      <c r="I74" s="13">
        <v>0.11154425055739596</v>
      </c>
      <c r="J74" s="13">
        <v>0.11908338689333064</v>
      </c>
      <c r="K74" s="13">
        <v>0.12492184592482322</v>
      </c>
      <c r="L74" s="13">
        <v>0.14033389693914639</v>
      </c>
      <c r="M74" s="13">
        <v>0.13559512797668027</v>
      </c>
      <c r="N74" s="13">
        <v>0.13505752183531561</v>
      </c>
      <c r="O74" s="13">
        <v>0.15402745655344088</v>
      </c>
      <c r="P74" s="13">
        <v>0.16521926207465309</v>
      </c>
      <c r="Q74" s="13">
        <v>0.12062492776968269</v>
      </c>
      <c r="R74" s="404"/>
      <c r="S74" s="404"/>
      <c r="T74" s="404"/>
      <c r="U74" s="13">
        <v>0.11125004236984924</v>
      </c>
      <c r="V74" s="13">
        <v>0.10790438564259171</v>
      </c>
      <c r="W74" s="13">
        <v>0.10940523031291796</v>
      </c>
      <c r="X74" s="13">
        <v>0.11511519187885132</v>
      </c>
      <c r="Y74" s="13">
        <v>0.11238697007916716</v>
      </c>
      <c r="Z74" s="13">
        <v>0.1189434976358076</v>
      </c>
      <c r="AA74" s="13">
        <v>0.12198864154929963</v>
      </c>
      <c r="AB74" s="13">
        <v>0.12968467134789652</v>
      </c>
      <c r="AC74" s="13">
        <v>0.14653223719330311</v>
      </c>
      <c r="AD74" s="13">
        <v>0.11483479106811829</v>
      </c>
      <c r="AE74" s="13">
        <v>0.18986144348039924</v>
      </c>
      <c r="AF74" s="13">
        <v>0.15050241308704321</v>
      </c>
      <c r="AG74" s="13">
        <v>0.20406768934931965</v>
      </c>
      <c r="AH74" s="13">
        <v>0.19005934877952588</v>
      </c>
      <c r="AI74" s="13">
        <v>0.25282568573421949</v>
      </c>
      <c r="AJ74" s="13">
        <v>0.19144036500322392</v>
      </c>
      <c r="AK74" s="13">
        <v>0.18692085418913304</v>
      </c>
      <c r="AL74" s="13">
        <v>0.17489205309468608</v>
      </c>
      <c r="AM74" s="13">
        <v>0.18919681135324948</v>
      </c>
      <c r="AN74" s="13">
        <v>0.17310799736697471</v>
      </c>
      <c r="AO74" s="13">
        <v>0.18164064772580324</v>
      </c>
      <c r="AP74" s="13">
        <v>0.20988294599585652</v>
      </c>
      <c r="AQ74" s="13">
        <v>0.21994824188186987</v>
      </c>
      <c r="AR74" s="13">
        <v>0.21839303569904747</v>
      </c>
      <c r="AS74" s="13">
        <v>0.19795532532741594</v>
      </c>
      <c r="AT74" s="13">
        <v>0.17496293200065446</v>
      </c>
      <c r="AU74" s="13">
        <v>0.15378695412110818</v>
      </c>
      <c r="AV74" s="13">
        <v>0.13952047122395264</v>
      </c>
      <c r="AW74" s="13">
        <v>9.3181581715419376E-2</v>
      </c>
      <c r="AX74" s="13">
        <v>0.15177608100590528</v>
      </c>
      <c r="AY74" s="13">
        <v>0.15375687551156803</v>
      </c>
      <c r="AZ74" s="13">
        <v>0.16615133056998793</v>
      </c>
      <c r="BA74" s="13">
        <v>0.17743620371609495</v>
      </c>
      <c r="BB74" s="13">
        <v>0.14286160540618181</v>
      </c>
      <c r="BC74" s="13">
        <v>0.15347417590835369</v>
      </c>
      <c r="BD74" s="13">
        <v>0.16676874663852648</v>
      </c>
      <c r="BE74" s="13">
        <v>0.14490658241482182</v>
      </c>
      <c r="BF74" s="13">
        <v>0.1508771533976736</v>
      </c>
      <c r="BG74" s="13">
        <v>0.17967871233839916</v>
      </c>
      <c r="BH74" s="13">
        <v>0.17027515157316112</v>
      </c>
      <c r="BI74" s="13">
        <v>0.15478604293507719</v>
      </c>
      <c r="BJ74" s="13">
        <v>0.16345598738453926</v>
      </c>
      <c r="BK74" s="13">
        <v>0.1719611996382612</v>
      </c>
      <c r="BL74" s="13">
        <v>0.16034667245746195</v>
      </c>
      <c r="BM74" s="1">
        <v>0.13656611889703493</v>
      </c>
      <c r="BN74" s="1">
        <v>0.12308889732567189</v>
      </c>
      <c r="BO74" s="1">
        <v>0.11497179749655607</v>
      </c>
      <c r="BP74" s="1">
        <v>0.13918206823429541</v>
      </c>
      <c r="BQ74" s="1">
        <v>0.1272696439323322</v>
      </c>
      <c r="BR74" s="1" t="s">
        <v>121</v>
      </c>
      <c r="BS74" s="1" t="s">
        <v>121</v>
      </c>
      <c r="BT74" s="1" t="s">
        <v>121</v>
      </c>
      <c r="BU74" s="1" t="s">
        <v>121</v>
      </c>
      <c r="BV74" s="1" t="s">
        <v>121</v>
      </c>
      <c r="BW74" s="1" t="s">
        <v>121</v>
      </c>
      <c r="BX74" s="1" t="s">
        <v>121</v>
      </c>
      <c r="BY74" s="1" t="s">
        <v>121</v>
      </c>
      <c r="BZ74" s="1" t="s">
        <v>121</v>
      </c>
      <c r="CA74" s="1" t="s">
        <v>121</v>
      </c>
      <c r="CB74" s="1" t="s">
        <v>121</v>
      </c>
      <c r="CC74" s="1" t="s">
        <v>121</v>
      </c>
      <c r="CD74" s="1" t="s">
        <v>121</v>
      </c>
      <c r="CE74" s="1" t="s">
        <v>121</v>
      </c>
      <c r="CF74" s="1" t="s">
        <v>121</v>
      </c>
      <c r="CG74" s="1" t="s">
        <v>121</v>
      </c>
      <c r="CH74" s="1" t="s">
        <v>121</v>
      </c>
      <c r="CI74" s="1" t="s">
        <v>121</v>
      </c>
      <c r="CJ74" s="1" t="s">
        <v>121</v>
      </c>
      <c r="CK74" s="1" t="s">
        <v>121</v>
      </c>
      <c r="CL74" s="1" t="s">
        <v>121</v>
      </c>
      <c r="CM74" s="1" t="s">
        <v>121</v>
      </c>
      <c r="CN74" s="1" t="s">
        <v>121</v>
      </c>
      <c r="CO74" s="1" t="s">
        <v>121</v>
      </c>
      <c r="CP74" s="1" t="s">
        <v>121</v>
      </c>
      <c r="CQ74" s="1" t="s">
        <v>121</v>
      </c>
      <c r="CR74" s="1" t="s">
        <v>121</v>
      </c>
      <c r="CS74" s="1" t="s">
        <v>121</v>
      </c>
      <c r="CT74" s="1" t="s">
        <v>121</v>
      </c>
      <c r="CU74" s="1" t="s">
        <v>121</v>
      </c>
      <c r="CV74" s="1" t="s">
        <v>121</v>
      </c>
      <c r="CW74" s="1" t="s">
        <v>121</v>
      </c>
      <c r="CX74" s="1" t="s">
        <v>121</v>
      </c>
      <c r="CY74" s="1" t="s">
        <v>121</v>
      </c>
      <c r="CZ74" s="1" t="s">
        <v>121</v>
      </c>
      <c r="DA74" s="1" t="s">
        <v>121</v>
      </c>
      <c r="DB74" s="1" t="s">
        <v>121</v>
      </c>
      <c r="DC74" s="1" t="s">
        <v>121</v>
      </c>
      <c r="DD74" s="1" t="s">
        <v>121</v>
      </c>
      <c r="DE74" s="1" t="s">
        <v>121</v>
      </c>
      <c r="DF74" s="1" t="s">
        <v>121</v>
      </c>
      <c r="DG74" s="1" t="s">
        <v>121</v>
      </c>
      <c r="DH74" s="1" t="s">
        <v>121</v>
      </c>
      <c r="DI74" s="1" t="s">
        <v>121</v>
      </c>
      <c r="DJ74" s="1" t="s">
        <v>121</v>
      </c>
      <c r="DK74" s="1" t="s">
        <v>121</v>
      </c>
      <c r="DL74" s="1" t="s">
        <v>121</v>
      </c>
      <c r="DM74" s="1" t="s">
        <v>121</v>
      </c>
      <c r="DN74" s="1" t="s">
        <v>121</v>
      </c>
      <c r="DO74" s="1" t="s">
        <v>121</v>
      </c>
      <c r="DP74" s="1" t="s">
        <v>121</v>
      </c>
      <c r="DQ74" s="1" t="s">
        <v>121</v>
      </c>
      <c r="DR74" s="1" t="s">
        <v>121</v>
      </c>
      <c r="DS74" s="1" t="s">
        <v>121</v>
      </c>
      <c r="DT74" s="1" t="s">
        <v>121</v>
      </c>
      <c r="DU74" s="1" t="s">
        <v>121</v>
      </c>
      <c r="DV74" s="1" t="s">
        <v>121</v>
      </c>
      <c r="DW74" s="1" t="s">
        <v>121</v>
      </c>
      <c r="DX74" s="1" t="s">
        <v>121</v>
      </c>
      <c r="DY74" s="1" t="s">
        <v>121</v>
      </c>
      <c r="DZ74" s="1" t="s">
        <v>121</v>
      </c>
      <c r="EA74" s="1" t="s">
        <v>121</v>
      </c>
      <c r="EB74" s="1" t="s">
        <v>121</v>
      </c>
      <c r="EC74" s="1" t="s">
        <v>121</v>
      </c>
      <c r="ED74" s="1" t="s">
        <v>121</v>
      </c>
      <c r="EE74" s="1" t="s">
        <v>121</v>
      </c>
      <c r="EF74" s="1" t="s">
        <v>121</v>
      </c>
      <c r="EG74" s="1" t="s">
        <v>121</v>
      </c>
      <c r="EH74" s="1" t="s">
        <v>121</v>
      </c>
      <c r="EI74" s="1" t="s">
        <v>121</v>
      </c>
      <c r="EJ74" s="1" t="s">
        <v>121</v>
      </c>
      <c r="EK74" s="1" t="s">
        <v>121</v>
      </c>
    </row>
    <row r="75" spans="1:141" x14ac:dyDescent="0.25">
      <c r="A75" s="72">
        <v>75</v>
      </c>
      <c r="B75" s="5" t="s">
        <v>272</v>
      </c>
      <c r="C75" s="97" t="s">
        <v>121</v>
      </c>
      <c r="D75" s="40" t="s">
        <v>121</v>
      </c>
      <c r="E75" s="98" t="s">
        <v>121</v>
      </c>
      <c r="F75" s="13">
        <v>9.8942388902066233E-2</v>
      </c>
      <c r="G75" s="13">
        <v>0.15019546701728587</v>
      </c>
      <c r="H75" s="13">
        <v>8.067046963312044E-2</v>
      </c>
      <c r="I75" s="13">
        <v>0.10393852115994627</v>
      </c>
      <c r="J75" s="13">
        <v>0.10527695256302655</v>
      </c>
      <c r="K75" s="13">
        <v>0.10710457759583178</v>
      </c>
      <c r="L75" s="13">
        <v>3.8004874926915601E-2</v>
      </c>
      <c r="M75" s="13">
        <v>0.11720019445721279</v>
      </c>
      <c r="N75" s="13">
        <v>7.7760328619299962E-2</v>
      </c>
      <c r="O75" s="13">
        <v>3.5053315499577374E-2</v>
      </c>
      <c r="P75" s="13">
        <v>4.3636081131150875E-2</v>
      </c>
      <c r="Q75" s="13">
        <v>0.11688622697416627</v>
      </c>
      <c r="R75" s="404"/>
      <c r="S75" s="404"/>
      <c r="T75" s="404"/>
      <c r="U75" s="13">
        <v>0.16943294704584858</v>
      </c>
      <c r="V75" s="13">
        <v>0.15121672874051564</v>
      </c>
      <c r="W75" s="13">
        <v>0.13358158378242357</v>
      </c>
      <c r="X75" s="13">
        <v>0.12971040264818662</v>
      </c>
      <c r="Y75" s="13">
        <v>0.14279395311321</v>
      </c>
      <c r="Z75" s="13">
        <v>0.14199613944786185</v>
      </c>
      <c r="AA75" s="13">
        <v>0.14937677542726638</v>
      </c>
      <c r="AB75" s="13">
        <v>0.10332151447337552</v>
      </c>
      <c r="AC75" s="13">
        <v>0.14162684013845686</v>
      </c>
      <c r="AD75" s="13">
        <v>0.12263490495529279</v>
      </c>
      <c r="AE75" s="13">
        <v>0.13340428080068123</v>
      </c>
      <c r="AF75" s="13">
        <v>0.13790558614287055</v>
      </c>
      <c r="AG75" s="13">
        <v>0.13085540755194988</v>
      </c>
      <c r="AH75" s="13">
        <v>8.7695107252116225E-2</v>
      </c>
      <c r="AI75" s="13">
        <v>5.6571617136194165E-2</v>
      </c>
      <c r="AJ75" s="13">
        <v>0.11315107507208136</v>
      </c>
      <c r="AK75" s="13">
        <v>0.1117377373414573</v>
      </c>
      <c r="AL75" s="13">
        <v>0.10217784750884282</v>
      </c>
      <c r="AM75" s="13">
        <v>7.5491070649990569E-2</v>
      </c>
      <c r="AN75" s="13">
        <v>8.9596437028241063E-2</v>
      </c>
      <c r="AO75" s="13">
        <v>0.10081114961769296</v>
      </c>
      <c r="AP75" s="13">
        <v>6.2436789433352548E-2</v>
      </c>
      <c r="AQ75" s="13">
        <v>4.1926350062165774E-2</v>
      </c>
      <c r="AR75" s="13">
        <v>4.626969478983458E-2</v>
      </c>
      <c r="AS75" s="13">
        <v>2.7057163504914942E-2</v>
      </c>
      <c r="AT75" s="13">
        <v>5.1219392363825327E-2</v>
      </c>
      <c r="AU75" s="13">
        <v>6.3713493647107808E-2</v>
      </c>
      <c r="AV75" s="13">
        <v>6.3708382326415014E-2</v>
      </c>
      <c r="AW75" s="13">
        <v>5.657803012518306E-2</v>
      </c>
      <c r="AX75" s="13">
        <v>7.1865906940067739E-2</v>
      </c>
      <c r="AY75" s="13">
        <v>4.8264483798760832E-2</v>
      </c>
      <c r="AZ75" s="13">
        <v>4.7912909794609305E-2</v>
      </c>
      <c r="BA75" s="13">
        <v>3.6280093465056069E-2</v>
      </c>
      <c r="BB75" s="13">
        <v>3.6774267549926104E-2</v>
      </c>
      <c r="BC75" s="13">
        <v>2.8105689289111356E-2</v>
      </c>
      <c r="BD75" s="13">
        <v>1.7941324594419758E-2</v>
      </c>
      <c r="BE75" s="13">
        <v>2.584880716184244E-2</v>
      </c>
      <c r="BF75" s="13">
        <v>2.0381700174230293E-3</v>
      </c>
      <c r="BG75" s="13">
        <v>6.1487877921105882E-3</v>
      </c>
      <c r="BH75" s="13">
        <v>4.5024568601157923E-2</v>
      </c>
      <c r="BI75" s="13">
        <v>2.378247359393483E-2</v>
      </c>
      <c r="BJ75" s="13">
        <v>2.2353334038565219E-2</v>
      </c>
      <c r="BK75" s="13">
        <v>1.6188636263095257E-2</v>
      </c>
      <c r="BL75" s="13">
        <v>1.9457142258672736E-2</v>
      </c>
      <c r="BM75" s="1">
        <v>3.0899740290385971E-2</v>
      </c>
      <c r="BN75" s="1">
        <v>2.2174178265189911E-2</v>
      </c>
      <c r="BO75" s="1">
        <v>3.2894299207435897E-2</v>
      </c>
      <c r="BP75" s="1">
        <v>3.0406722655820853E-2</v>
      </c>
      <c r="BQ75" s="1">
        <v>1.5179128880827229E-2</v>
      </c>
      <c r="BR75" s="1" t="s">
        <v>121</v>
      </c>
      <c r="BS75" s="1" t="s">
        <v>121</v>
      </c>
      <c r="BT75" s="1" t="s">
        <v>121</v>
      </c>
      <c r="BU75" s="1" t="s">
        <v>121</v>
      </c>
      <c r="BV75" s="1" t="s">
        <v>121</v>
      </c>
      <c r="BW75" s="1" t="s">
        <v>121</v>
      </c>
      <c r="BX75" s="1" t="s">
        <v>121</v>
      </c>
      <c r="BY75" s="1" t="s">
        <v>121</v>
      </c>
      <c r="BZ75" s="1" t="s">
        <v>121</v>
      </c>
      <c r="CA75" s="1" t="s">
        <v>121</v>
      </c>
      <c r="CB75" s="1" t="s">
        <v>121</v>
      </c>
      <c r="CC75" s="1" t="s">
        <v>121</v>
      </c>
      <c r="CD75" s="1" t="s">
        <v>121</v>
      </c>
      <c r="CE75" s="1" t="s">
        <v>121</v>
      </c>
      <c r="CF75" s="1" t="s">
        <v>121</v>
      </c>
      <c r="CG75" s="1" t="s">
        <v>121</v>
      </c>
      <c r="CH75" s="1" t="s">
        <v>121</v>
      </c>
      <c r="CI75" s="1" t="s">
        <v>121</v>
      </c>
      <c r="CJ75" s="1" t="s">
        <v>121</v>
      </c>
      <c r="CK75" s="1" t="s">
        <v>121</v>
      </c>
      <c r="CL75" s="1" t="s">
        <v>121</v>
      </c>
      <c r="CM75" s="1" t="s">
        <v>121</v>
      </c>
      <c r="CN75" s="1" t="s">
        <v>121</v>
      </c>
      <c r="CO75" s="1" t="s">
        <v>121</v>
      </c>
      <c r="CP75" s="1" t="s">
        <v>121</v>
      </c>
      <c r="CQ75" s="1" t="s">
        <v>121</v>
      </c>
      <c r="CR75" s="1" t="s">
        <v>121</v>
      </c>
      <c r="CS75" s="1" t="s">
        <v>121</v>
      </c>
      <c r="CT75" s="1" t="s">
        <v>121</v>
      </c>
      <c r="CU75" s="1" t="s">
        <v>121</v>
      </c>
      <c r="CV75" s="1" t="s">
        <v>121</v>
      </c>
      <c r="CW75" s="1" t="s">
        <v>121</v>
      </c>
      <c r="CX75" s="1" t="s">
        <v>121</v>
      </c>
      <c r="CY75" s="1" t="s">
        <v>121</v>
      </c>
      <c r="CZ75" s="1" t="s">
        <v>121</v>
      </c>
      <c r="DA75" s="1" t="s">
        <v>121</v>
      </c>
      <c r="DB75" s="1" t="s">
        <v>121</v>
      </c>
      <c r="DC75" s="1" t="s">
        <v>121</v>
      </c>
      <c r="DD75" s="1" t="s">
        <v>121</v>
      </c>
      <c r="DE75" s="1" t="s">
        <v>121</v>
      </c>
      <c r="DF75" s="1" t="s">
        <v>121</v>
      </c>
      <c r="DG75" s="1" t="s">
        <v>121</v>
      </c>
      <c r="DH75" s="1" t="s">
        <v>121</v>
      </c>
      <c r="DI75" s="1" t="s">
        <v>121</v>
      </c>
      <c r="DJ75" s="1" t="s">
        <v>121</v>
      </c>
      <c r="DK75" s="1" t="s">
        <v>121</v>
      </c>
      <c r="DL75" s="1" t="s">
        <v>121</v>
      </c>
      <c r="DM75" s="1" t="s">
        <v>121</v>
      </c>
      <c r="DN75" s="1" t="s">
        <v>121</v>
      </c>
      <c r="DO75" s="1" t="s">
        <v>121</v>
      </c>
      <c r="DP75" s="1" t="s">
        <v>121</v>
      </c>
      <c r="DQ75" s="1" t="s">
        <v>121</v>
      </c>
      <c r="DR75" s="1" t="s">
        <v>121</v>
      </c>
      <c r="DS75" s="1" t="s">
        <v>121</v>
      </c>
      <c r="DT75" s="1" t="s">
        <v>121</v>
      </c>
      <c r="DU75" s="1" t="s">
        <v>121</v>
      </c>
      <c r="DV75" s="1" t="s">
        <v>121</v>
      </c>
      <c r="DW75" s="1" t="s">
        <v>121</v>
      </c>
      <c r="DX75" s="1" t="s">
        <v>121</v>
      </c>
      <c r="DY75" s="1" t="s">
        <v>121</v>
      </c>
      <c r="DZ75" s="1" t="s">
        <v>121</v>
      </c>
      <c r="EA75" s="1" t="s">
        <v>121</v>
      </c>
      <c r="EB75" s="1" t="s">
        <v>121</v>
      </c>
      <c r="EC75" s="1" t="s">
        <v>121</v>
      </c>
      <c r="ED75" s="1" t="s">
        <v>121</v>
      </c>
      <c r="EE75" s="1" t="s">
        <v>121</v>
      </c>
      <c r="EF75" s="1" t="s">
        <v>121</v>
      </c>
      <c r="EG75" s="1" t="s">
        <v>121</v>
      </c>
      <c r="EH75" s="1" t="s">
        <v>121</v>
      </c>
      <c r="EI75" s="1" t="s">
        <v>121</v>
      </c>
      <c r="EJ75" s="1" t="s">
        <v>121</v>
      </c>
      <c r="EK75" s="1" t="s">
        <v>121</v>
      </c>
    </row>
    <row r="76" spans="1:141" x14ac:dyDescent="0.25">
      <c r="A76" s="72">
        <v>76</v>
      </c>
      <c r="B76" s="5" t="s">
        <v>274</v>
      </c>
      <c r="C76" s="97" t="s">
        <v>121</v>
      </c>
      <c r="D76" s="40" t="s">
        <v>121</v>
      </c>
      <c r="E76" s="98" t="s">
        <v>121</v>
      </c>
      <c r="F76" s="13">
        <v>3.1808135913333972E-2</v>
      </c>
      <c r="G76" s="13">
        <v>9.4049292654479616E-3</v>
      </c>
      <c r="H76" s="13">
        <v>3.2758165269854929E-2</v>
      </c>
      <c r="I76" s="13">
        <v>6.4619247568206278E-2</v>
      </c>
      <c r="J76" s="13">
        <v>1.4587912432054284E-2</v>
      </c>
      <c r="K76" s="13">
        <v>2.2309266840342391E-2</v>
      </c>
      <c r="L76" s="13">
        <v>3.8820654836211936E-2</v>
      </c>
      <c r="M76" s="13">
        <v>4.1438491556811584E-2</v>
      </c>
      <c r="N76" s="13">
        <v>3.9430382171077902E-2</v>
      </c>
      <c r="O76" s="13">
        <v>6.5809578213094813E-2</v>
      </c>
      <c r="P76" s="13">
        <v>3.478671399715539E-2</v>
      </c>
      <c r="Q76" s="13">
        <v>4.5645986258070433E-2</v>
      </c>
      <c r="R76" s="404"/>
      <c r="S76" s="404"/>
      <c r="T76" s="404"/>
      <c r="U76" s="13">
        <v>3.4025185893790402E-2</v>
      </c>
      <c r="V76" s="13">
        <v>1.4363674864393884E-2</v>
      </c>
      <c r="W76" s="13">
        <v>3.3694919381061027E-2</v>
      </c>
      <c r="X76" s="13">
        <v>2.776269879902277E-2</v>
      </c>
      <c r="Y76" s="13">
        <v>3.0757558950846791E-2</v>
      </c>
      <c r="Z76" s="13">
        <v>1.9541391255079768E-2</v>
      </c>
      <c r="AA76" s="13">
        <v>8.8217309972292348E-3</v>
      </c>
      <c r="AB76" s="13">
        <v>3.7391467981622968E-2</v>
      </c>
      <c r="AC76" s="13">
        <v>4.1597911075887679E-2</v>
      </c>
      <c r="AD76" s="13">
        <v>7.1545674439910445E-2</v>
      </c>
      <c r="AE76" s="13">
        <v>3.0652467642834347E-2</v>
      </c>
      <c r="AF76" s="13">
        <v>7.336211624465408E-2</v>
      </c>
      <c r="AG76" s="13">
        <v>4.8066498806037514E-2</v>
      </c>
      <c r="AH76" s="13">
        <v>4.7333314384352287E-2</v>
      </c>
      <c r="AI76" s="13">
        <v>3.981667869520282E-2</v>
      </c>
      <c r="AJ76" s="13">
        <v>7.2602398038002211E-2</v>
      </c>
      <c r="AK76" s="13">
        <v>5.7573892189266361E-2</v>
      </c>
      <c r="AL76" s="13">
        <v>3.4058138943960328E-2</v>
      </c>
      <c r="AM76" s="13">
        <v>2.0269471158016181E-2</v>
      </c>
      <c r="AN76" s="13">
        <v>6.3953631476056077E-3</v>
      </c>
      <c r="AO76" s="13">
        <v>5.7509005191081826E-2</v>
      </c>
      <c r="AP76" s="13">
        <v>9.2595028390902966E-3</v>
      </c>
      <c r="AQ76" s="13">
        <v>7.295919770513643E-3</v>
      </c>
      <c r="AR76" s="13">
        <v>5.0548839687365059E-2</v>
      </c>
      <c r="AS76" s="13">
        <v>6.2436311470390402E-2</v>
      </c>
      <c r="AT76" s="13">
        <v>1.5331617191363221E-2</v>
      </c>
      <c r="AU76" s="13">
        <v>4.6938151011224609E-2</v>
      </c>
      <c r="AV76" s="13">
        <v>5.0934157758887266E-2</v>
      </c>
      <c r="AW76" s="13">
        <v>5.6105179417605615E-2</v>
      </c>
      <c r="AX76" s="13">
        <v>3.9441839670423112E-3</v>
      </c>
      <c r="AY76" s="13">
        <v>3.1681854779116955E-3</v>
      </c>
      <c r="AZ76" s="13">
        <v>8.916032199146216E-3</v>
      </c>
      <c r="BA76" s="13">
        <v>2.1047445632781932E-2</v>
      </c>
      <c r="BB76" s="13">
        <v>5.4772707105611718E-3</v>
      </c>
      <c r="BC76" s="13">
        <v>5.3651817427683218E-3</v>
      </c>
      <c r="BD76" s="13">
        <v>9.7415271590518878E-3</v>
      </c>
      <c r="BE76" s="13">
        <v>8.2511030591832651E-3</v>
      </c>
      <c r="BF76" s="13">
        <v>6.2268790724845195E-3</v>
      </c>
      <c r="BG76" s="13">
        <v>1.1351308071620454E-2</v>
      </c>
      <c r="BH76" s="13">
        <v>1.9746493380822586E-2</v>
      </c>
      <c r="BI76" s="13">
        <v>9.0859060719837674E-3</v>
      </c>
      <c r="BJ76" s="13">
        <v>1.0155270486385981E-2</v>
      </c>
      <c r="BK76" s="13">
        <v>1.2321878362796398E-2</v>
      </c>
      <c r="BL76" s="13">
        <v>1.859082792581284E-2</v>
      </c>
      <c r="BM76" s="1">
        <v>4.5478831179925044E-2</v>
      </c>
      <c r="BN76" s="1">
        <v>4.0565076785823769E-3</v>
      </c>
      <c r="BO76" s="1">
        <v>4.3471496559187054E-3</v>
      </c>
      <c r="BP76" s="1">
        <v>5.4130757367565922E-3</v>
      </c>
      <c r="BQ76" s="1">
        <v>2.4903213555288874E-2</v>
      </c>
      <c r="BR76" s="1" t="s">
        <v>121</v>
      </c>
      <c r="BS76" s="1" t="s">
        <v>121</v>
      </c>
      <c r="BT76" s="1" t="s">
        <v>121</v>
      </c>
      <c r="BU76" s="1" t="s">
        <v>121</v>
      </c>
      <c r="BV76" s="1" t="s">
        <v>121</v>
      </c>
      <c r="BW76" s="1" t="s">
        <v>121</v>
      </c>
      <c r="BX76" s="1" t="s">
        <v>121</v>
      </c>
      <c r="BY76" s="1" t="s">
        <v>121</v>
      </c>
      <c r="BZ76" s="1" t="s">
        <v>121</v>
      </c>
      <c r="CA76" s="1" t="s">
        <v>121</v>
      </c>
      <c r="CB76" s="1" t="s">
        <v>121</v>
      </c>
      <c r="CC76" s="1" t="s">
        <v>121</v>
      </c>
      <c r="CD76" s="1" t="s">
        <v>121</v>
      </c>
      <c r="CE76" s="1" t="s">
        <v>121</v>
      </c>
      <c r="CF76" s="1" t="s">
        <v>121</v>
      </c>
      <c r="CG76" s="1" t="s">
        <v>121</v>
      </c>
      <c r="CH76" s="1" t="s">
        <v>121</v>
      </c>
      <c r="CI76" s="1" t="s">
        <v>121</v>
      </c>
      <c r="CJ76" s="1" t="s">
        <v>121</v>
      </c>
      <c r="CK76" s="1" t="s">
        <v>121</v>
      </c>
      <c r="CL76" s="1" t="s">
        <v>121</v>
      </c>
      <c r="CM76" s="1" t="s">
        <v>121</v>
      </c>
      <c r="CN76" s="1" t="s">
        <v>121</v>
      </c>
      <c r="CO76" s="1" t="s">
        <v>121</v>
      </c>
      <c r="CP76" s="1" t="s">
        <v>121</v>
      </c>
      <c r="CQ76" s="1" t="s">
        <v>121</v>
      </c>
      <c r="CR76" s="1" t="s">
        <v>121</v>
      </c>
      <c r="CS76" s="1" t="s">
        <v>121</v>
      </c>
      <c r="CT76" s="1" t="s">
        <v>121</v>
      </c>
      <c r="CU76" s="1" t="s">
        <v>121</v>
      </c>
      <c r="CV76" s="1" t="s">
        <v>121</v>
      </c>
      <c r="CW76" s="1" t="s">
        <v>121</v>
      </c>
      <c r="CX76" s="1" t="s">
        <v>121</v>
      </c>
      <c r="CY76" s="1" t="s">
        <v>121</v>
      </c>
      <c r="CZ76" s="1" t="s">
        <v>121</v>
      </c>
      <c r="DA76" s="1" t="s">
        <v>121</v>
      </c>
      <c r="DB76" s="1" t="s">
        <v>121</v>
      </c>
      <c r="DC76" s="1" t="s">
        <v>121</v>
      </c>
      <c r="DD76" s="1" t="s">
        <v>121</v>
      </c>
      <c r="DE76" s="1" t="s">
        <v>121</v>
      </c>
      <c r="DF76" s="1" t="s">
        <v>121</v>
      </c>
      <c r="DG76" s="1" t="s">
        <v>121</v>
      </c>
      <c r="DH76" s="1" t="s">
        <v>121</v>
      </c>
      <c r="DI76" s="1" t="s">
        <v>121</v>
      </c>
      <c r="DJ76" s="1" t="s">
        <v>121</v>
      </c>
      <c r="DK76" s="1" t="s">
        <v>121</v>
      </c>
      <c r="DL76" s="1" t="s">
        <v>121</v>
      </c>
      <c r="DM76" s="1" t="s">
        <v>121</v>
      </c>
      <c r="DN76" s="1" t="s">
        <v>121</v>
      </c>
      <c r="DO76" s="1" t="s">
        <v>121</v>
      </c>
      <c r="DP76" s="1" t="s">
        <v>121</v>
      </c>
      <c r="DQ76" s="1" t="s">
        <v>121</v>
      </c>
      <c r="DR76" s="1" t="s">
        <v>121</v>
      </c>
      <c r="DS76" s="1" t="s">
        <v>121</v>
      </c>
      <c r="DT76" s="1" t="s">
        <v>121</v>
      </c>
      <c r="DU76" s="1" t="s">
        <v>121</v>
      </c>
      <c r="DV76" s="1" t="s">
        <v>121</v>
      </c>
      <c r="DW76" s="1" t="s">
        <v>121</v>
      </c>
      <c r="DX76" s="1" t="s">
        <v>121</v>
      </c>
      <c r="DY76" s="1" t="s">
        <v>121</v>
      </c>
      <c r="DZ76" s="1" t="s">
        <v>121</v>
      </c>
      <c r="EA76" s="1" t="s">
        <v>121</v>
      </c>
      <c r="EB76" s="1" t="s">
        <v>121</v>
      </c>
      <c r="EC76" s="1" t="s">
        <v>121</v>
      </c>
      <c r="ED76" s="1" t="s">
        <v>121</v>
      </c>
      <c r="EE76" s="1" t="s">
        <v>121</v>
      </c>
      <c r="EF76" s="1" t="s">
        <v>121</v>
      </c>
      <c r="EG76" s="1" t="s">
        <v>121</v>
      </c>
      <c r="EH76" s="1" t="s">
        <v>121</v>
      </c>
      <c r="EI76" s="1" t="s">
        <v>121</v>
      </c>
      <c r="EJ76" s="1" t="s">
        <v>121</v>
      </c>
      <c r="EK76" s="1" t="s">
        <v>121</v>
      </c>
    </row>
    <row r="77" spans="1:141" x14ac:dyDescent="0.25">
      <c r="A77" s="72">
        <v>77</v>
      </c>
      <c r="B77" s="5" t="s">
        <v>315</v>
      </c>
      <c r="C77" s="97" t="s">
        <v>121</v>
      </c>
      <c r="D77" s="40" t="s">
        <v>121</v>
      </c>
      <c r="E77" s="98" t="s">
        <v>121</v>
      </c>
      <c r="F77" s="13">
        <v>0.67852553658264447</v>
      </c>
      <c r="G77" s="13">
        <v>0.65608183030892331</v>
      </c>
      <c r="H77" s="13">
        <v>0.63792313249682064</v>
      </c>
      <c r="I77" s="13">
        <v>0.63103728398708669</v>
      </c>
      <c r="J77" s="13">
        <v>0.68298198938693</v>
      </c>
      <c r="K77" s="13">
        <v>0.63914402679568294</v>
      </c>
      <c r="L77" s="13">
        <v>0.66724772055686365</v>
      </c>
      <c r="M77" s="13">
        <v>0.61643409357023826</v>
      </c>
      <c r="N77" s="13">
        <v>0.64547439338868984</v>
      </c>
      <c r="O77" s="13">
        <v>0.62532973871689845</v>
      </c>
      <c r="P77" s="13">
        <v>0.67099334265600541</v>
      </c>
      <c r="Q77" s="13">
        <v>0.61390587004619168</v>
      </c>
      <c r="R77" s="404"/>
      <c r="S77" s="404"/>
      <c r="T77" s="404"/>
      <c r="U77" s="13">
        <v>0.59480865776083824</v>
      </c>
      <c r="V77" s="13">
        <v>0.61314456898430381</v>
      </c>
      <c r="W77" s="13">
        <v>0.63006029095032179</v>
      </c>
      <c r="X77" s="13">
        <v>0.60252469716858525</v>
      </c>
      <c r="Y77" s="13">
        <v>0.5744309646178517</v>
      </c>
      <c r="Z77" s="13">
        <v>0.59267757055236037</v>
      </c>
      <c r="AA77" s="13">
        <v>0.56373462172692135</v>
      </c>
      <c r="AB77" s="13">
        <v>0.59314189863822975</v>
      </c>
      <c r="AC77" s="13">
        <v>0.54638010120960523</v>
      </c>
      <c r="AD77" s="13">
        <v>0.54112127476946148</v>
      </c>
      <c r="AE77" s="13">
        <v>0.50095729198595595</v>
      </c>
      <c r="AF77" s="13">
        <v>0.51513304745675392</v>
      </c>
      <c r="AG77" s="13">
        <v>0.50309152170133764</v>
      </c>
      <c r="AH77" s="13">
        <v>0.55223647741106785</v>
      </c>
      <c r="AI77" s="13">
        <v>0.52838782167732834</v>
      </c>
      <c r="AJ77" s="13">
        <v>0.51435117521399287</v>
      </c>
      <c r="AK77" s="13">
        <v>0.52436515806888651</v>
      </c>
      <c r="AL77" s="13">
        <v>0.53336361978020586</v>
      </c>
      <c r="AM77" s="13">
        <v>0.55583421440112279</v>
      </c>
      <c r="AN77" s="13">
        <v>0.55244544104192406</v>
      </c>
      <c r="AO77" s="13">
        <v>0.54233643522094022</v>
      </c>
      <c r="AP77" s="13">
        <v>0.57523184955682372</v>
      </c>
      <c r="AQ77" s="13">
        <v>0.5707665300278143</v>
      </c>
      <c r="AR77" s="13">
        <v>0.58655452759311322</v>
      </c>
      <c r="AS77" s="13">
        <v>0.59605598358810918</v>
      </c>
      <c r="AT77" s="13">
        <v>0.60848396204370303</v>
      </c>
      <c r="AU77" s="13">
        <v>0.58799311212996264</v>
      </c>
      <c r="AV77" s="13">
        <v>0.59417839948133766</v>
      </c>
      <c r="AW77" s="13">
        <v>0.60456078281419212</v>
      </c>
      <c r="AX77" s="13">
        <v>0.61792925292539858</v>
      </c>
      <c r="AY77" s="13">
        <v>0.59491319746138782</v>
      </c>
      <c r="AZ77" s="13">
        <v>0.61705083274660688</v>
      </c>
      <c r="BA77" s="13">
        <v>0.61277583404044966</v>
      </c>
      <c r="BB77" s="13">
        <v>0.63835068729403599</v>
      </c>
      <c r="BC77" s="13">
        <v>0.65124569025232559</v>
      </c>
      <c r="BD77" s="13">
        <v>0.66207700986994988</v>
      </c>
      <c r="BE77" s="13">
        <v>0.63289781178261373</v>
      </c>
      <c r="BF77" s="13">
        <v>0.70297439958029551</v>
      </c>
      <c r="BG77" s="13">
        <v>0.65103885748988755</v>
      </c>
      <c r="BH77" s="13">
        <v>0.6134276790159886</v>
      </c>
      <c r="BI77" s="13">
        <v>0.63601753977319475</v>
      </c>
      <c r="BJ77" s="13">
        <v>0.66498787536222437</v>
      </c>
      <c r="BK77" s="13">
        <v>0.67913928094073994</v>
      </c>
      <c r="BL77" s="13">
        <v>0.68184024840370383</v>
      </c>
      <c r="BM77" s="1">
        <v>0.67062547772916081</v>
      </c>
      <c r="BN77" s="1">
        <v>0.7123284308405049</v>
      </c>
      <c r="BO77" s="1">
        <v>0.65824984848730039</v>
      </c>
      <c r="BP77" s="1">
        <v>0.6877324040944176</v>
      </c>
      <c r="BQ77" s="1">
        <v>0.67146108631881463</v>
      </c>
      <c r="BR77" s="1" t="s">
        <v>121</v>
      </c>
      <c r="BS77" s="1" t="s">
        <v>121</v>
      </c>
      <c r="BT77" s="1" t="s">
        <v>121</v>
      </c>
      <c r="BU77" s="1" t="s">
        <v>121</v>
      </c>
      <c r="BV77" s="1" t="s">
        <v>121</v>
      </c>
      <c r="BW77" s="1" t="s">
        <v>121</v>
      </c>
      <c r="BX77" s="1" t="s">
        <v>121</v>
      </c>
      <c r="BY77" s="1" t="s">
        <v>121</v>
      </c>
      <c r="BZ77" s="1" t="s">
        <v>121</v>
      </c>
      <c r="CA77" s="1" t="s">
        <v>121</v>
      </c>
      <c r="CB77" s="1" t="s">
        <v>121</v>
      </c>
      <c r="CC77" s="1" t="s">
        <v>121</v>
      </c>
      <c r="CD77" s="1" t="s">
        <v>121</v>
      </c>
      <c r="CE77" s="1" t="s">
        <v>121</v>
      </c>
      <c r="CF77" s="1" t="s">
        <v>121</v>
      </c>
      <c r="CG77" s="1" t="s">
        <v>121</v>
      </c>
      <c r="CH77" s="1" t="s">
        <v>121</v>
      </c>
      <c r="CI77" s="1" t="s">
        <v>121</v>
      </c>
      <c r="CJ77" s="1" t="s">
        <v>121</v>
      </c>
      <c r="CK77" s="1" t="s">
        <v>121</v>
      </c>
      <c r="CL77" s="1" t="s">
        <v>121</v>
      </c>
      <c r="CM77" s="1" t="s">
        <v>121</v>
      </c>
      <c r="CN77" s="1" t="s">
        <v>121</v>
      </c>
      <c r="CO77" s="1" t="s">
        <v>121</v>
      </c>
      <c r="CP77" s="1" t="s">
        <v>121</v>
      </c>
      <c r="CQ77" s="1" t="s">
        <v>121</v>
      </c>
      <c r="CR77" s="1" t="s">
        <v>121</v>
      </c>
      <c r="CS77" s="1" t="s">
        <v>121</v>
      </c>
      <c r="CT77" s="1" t="s">
        <v>121</v>
      </c>
      <c r="CU77" s="1" t="s">
        <v>121</v>
      </c>
      <c r="CV77" s="1" t="s">
        <v>121</v>
      </c>
      <c r="CW77" s="1" t="s">
        <v>121</v>
      </c>
      <c r="CX77" s="1" t="s">
        <v>121</v>
      </c>
      <c r="CY77" s="1" t="s">
        <v>121</v>
      </c>
      <c r="CZ77" s="1" t="s">
        <v>121</v>
      </c>
      <c r="DA77" s="1" t="s">
        <v>121</v>
      </c>
      <c r="DB77" s="1" t="s">
        <v>121</v>
      </c>
      <c r="DC77" s="1" t="s">
        <v>121</v>
      </c>
      <c r="DD77" s="1" t="s">
        <v>121</v>
      </c>
      <c r="DE77" s="1" t="s">
        <v>121</v>
      </c>
      <c r="DF77" s="1" t="s">
        <v>121</v>
      </c>
      <c r="DG77" s="1" t="s">
        <v>121</v>
      </c>
      <c r="DH77" s="1" t="s">
        <v>121</v>
      </c>
      <c r="DI77" s="1" t="s">
        <v>121</v>
      </c>
      <c r="DJ77" s="1" t="s">
        <v>121</v>
      </c>
      <c r="DK77" s="1" t="s">
        <v>121</v>
      </c>
      <c r="DL77" s="1" t="s">
        <v>121</v>
      </c>
      <c r="DM77" s="1" t="s">
        <v>121</v>
      </c>
      <c r="DN77" s="1" t="s">
        <v>121</v>
      </c>
      <c r="DO77" s="1" t="s">
        <v>121</v>
      </c>
      <c r="DP77" s="1" t="s">
        <v>121</v>
      </c>
      <c r="DQ77" s="1" t="s">
        <v>121</v>
      </c>
      <c r="DR77" s="1" t="s">
        <v>121</v>
      </c>
      <c r="DS77" s="1" t="s">
        <v>121</v>
      </c>
      <c r="DT77" s="1" t="s">
        <v>121</v>
      </c>
      <c r="DU77" s="1" t="s">
        <v>121</v>
      </c>
      <c r="DV77" s="1" t="s">
        <v>121</v>
      </c>
      <c r="DW77" s="1" t="s">
        <v>121</v>
      </c>
      <c r="DX77" s="1" t="s">
        <v>121</v>
      </c>
      <c r="DY77" s="1" t="s">
        <v>121</v>
      </c>
      <c r="DZ77" s="1" t="s">
        <v>121</v>
      </c>
      <c r="EA77" s="1" t="s">
        <v>121</v>
      </c>
      <c r="EB77" s="1" t="s">
        <v>121</v>
      </c>
      <c r="EC77" s="1" t="s">
        <v>121</v>
      </c>
      <c r="ED77" s="1" t="s">
        <v>121</v>
      </c>
      <c r="EE77" s="1" t="s">
        <v>121</v>
      </c>
      <c r="EF77" s="1" t="s">
        <v>121</v>
      </c>
      <c r="EG77" s="1" t="s">
        <v>121</v>
      </c>
      <c r="EH77" s="1" t="s">
        <v>121</v>
      </c>
      <c r="EI77" s="1" t="s">
        <v>121</v>
      </c>
      <c r="EJ77" s="1" t="s">
        <v>121</v>
      </c>
      <c r="EK77" s="1" t="s">
        <v>121</v>
      </c>
    </row>
    <row r="78" spans="1:141" x14ac:dyDescent="0.25">
      <c r="A78" s="72">
        <v>78</v>
      </c>
      <c r="B78" s="43" t="s">
        <v>11</v>
      </c>
      <c r="C78" s="99" t="s">
        <v>121</v>
      </c>
      <c r="D78" s="43" t="s">
        <v>121</v>
      </c>
      <c r="E78" s="100" t="s">
        <v>121</v>
      </c>
      <c r="F78" s="50">
        <v>0.13370471273515092</v>
      </c>
      <c r="G78" s="50">
        <v>0.13615233734166454</v>
      </c>
      <c r="H78" s="50">
        <v>0.14537425283254526</v>
      </c>
      <c r="I78" s="50">
        <v>0.13894896574036952</v>
      </c>
      <c r="J78" s="50">
        <v>0.14885182462128183</v>
      </c>
      <c r="K78" s="50">
        <v>0.14357834015630816</v>
      </c>
      <c r="L78" s="50">
        <v>0.15031485549041607</v>
      </c>
      <c r="M78" s="50">
        <v>0.14546458816875404</v>
      </c>
      <c r="N78" s="50">
        <v>0.15814493245726366</v>
      </c>
      <c r="O78" s="50">
        <v>0.16982704972088314</v>
      </c>
      <c r="P78" s="50">
        <v>0.16877024394325121</v>
      </c>
      <c r="Q78" s="50">
        <v>0.16310171577533958</v>
      </c>
      <c r="R78" s="404"/>
      <c r="S78" s="404"/>
      <c r="T78" s="404"/>
      <c r="U78" s="50">
        <v>0.16450423510181947</v>
      </c>
      <c r="V78" s="50">
        <v>0.16241891174775994</v>
      </c>
      <c r="W78" s="50">
        <v>0.16592713823841215</v>
      </c>
      <c r="X78" s="50">
        <v>0.15503030729929204</v>
      </c>
      <c r="Y78" s="50">
        <v>0.15038885168584565</v>
      </c>
      <c r="Z78" s="50">
        <v>0.14721753802525397</v>
      </c>
      <c r="AA78" s="50">
        <v>0.14953288256132918</v>
      </c>
      <c r="AB78" s="50">
        <v>0.15050066143018559</v>
      </c>
      <c r="AC78" s="50">
        <v>0.14690270928736707</v>
      </c>
      <c r="AD78" s="50">
        <v>0.15028174916904971</v>
      </c>
      <c r="AE78" s="50">
        <v>0.14469562087182897</v>
      </c>
      <c r="AF78" s="50">
        <v>0.13707956661818688</v>
      </c>
      <c r="AG78" s="50">
        <v>0.12774235715312726</v>
      </c>
      <c r="AH78" s="50">
        <v>0.13407994874151102</v>
      </c>
      <c r="AI78" s="50">
        <v>0.13010814777975185</v>
      </c>
      <c r="AJ78" s="50">
        <v>0.12359592396244462</v>
      </c>
      <c r="AK78" s="50">
        <v>0.12025367241136331</v>
      </c>
      <c r="AL78" s="50">
        <v>0.11936598603595407</v>
      </c>
      <c r="AM78" s="50">
        <v>0.11364798306720354</v>
      </c>
      <c r="AN78" s="50">
        <v>0.10621662108499245</v>
      </c>
      <c r="AO78" s="50">
        <v>0.10013802295799848</v>
      </c>
      <c r="AP78" s="50">
        <v>0.10378102027102816</v>
      </c>
      <c r="AQ78" s="50">
        <v>9.6158505584508669E-2</v>
      </c>
      <c r="AR78" s="50">
        <v>9.6371963055667101E-2</v>
      </c>
      <c r="AS78" s="50">
        <v>9.1985718225434013E-2</v>
      </c>
      <c r="AT78" s="50">
        <v>9.7459026175360369E-2</v>
      </c>
      <c r="AU78" s="50">
        <v>9.2399840833759198E-2</v>
      </c>
      <c r="AV78" s="50">
        <v>9.302738122339449E-2</v>
      </c>
      <c r="AW78" s="50">
        <v>9.699645216743133E-2</v>
      </c>
      <c r="AX78" s="50">
        <v>0.10632009451888175</v>
      </c>
      <c r="AY78" s="50">
        <v>9.9390786237910422E-2</v>
      </c>
      <c r="AZ78" s="50">
        <v>9.4112829103298018E-2</v>
      </c>
      <c r="BA78" s="50">
        <v>9.0199496427550652E-2</v>
      </c>
      <c r="BB78" s="50">
        <v>8.44399810359516E-2</v>
      </c>
      <c r="BC78" s="50">
        <v>8.0669086409271867E-2</v>
      </c>
      <c r="BD78" s="50">
        <v>7.3987768273236304E-2</v>
      </c>
      <c r="BE78" s="50">
        <v>6.3019635697320969E-2</v>
      </c>
      <c r="BF78" s="50">
        <v>5.8351194626771172E-2</v>
      </c>
      <c r="BG78" s="50">
        <v>4.9042384453081421E-2</v>
      </c>
      <c r="BH78" s="50">
        <v>4.5580542197974215E-2</v>
      </c>
      <c r="BI78" s="50">
        <v>4.5816654746562095E-2</v>
      </c>
      <c r="BJ78" s="50">
        <v>4.8168254459165727E-2</v>
      </c>
      <c r="BK78" s="50">
        <v>4.5147609342371407E-2</v>
      </c>
      <c r="BL78" s="50">
        <v>4.6773336803731684E-2</v>
      </c>
      <c r="BM78" s="1">
        <v>4.7054397189284128E-2</v>
      </c>
      <c r="BN78" s="1">
        <v>5.2171314755286101E-2</v>
      </c>
      <c r="BO78" s="1">
        <v>5.5290349489293893E-2</v>
      </c>
      <c r="BP78" s="1">
        <v>5.6436257001875968E-2</v>
      </c>
      <c r="BQ78" s="1">
        <v>5.7933381588967423E-2</v>
      </c>
      <c r="BR78" s="1" t="s">
        <v>121</v>
      </c>
      <c r="BS78" s="1" t="s">
        <v>121</v>
      </c>
      <c r="BT78" s="1" t="s">
        <v>121</v>
      </c>
      <c r="BU78" s="1" t="s">
        <v>121</v>
      </c>
      <c r="BV78" s="1" t="s">
        <v>121</v>
      </c>
      <c r="BW78" s="1" t="s">
        <v>121</v>
      </c>
      <c r="BX78" s="1" t="s">
        <v>121</v>
      </c>
      <c r="BY78" s="1" t="s">
        <v>121</v>
      </c>
      <c r="BZ78" s="1" t="s">
        <v>121</v>
      </c>
      <c r="CA78" s="1" t="s">
        <v>121</v>
      </c>
      <c r="CB78" s="1" t="s">
        <v>121</v>
      </c>
      <c r="CC78" s="1" t="s">
        <v>121</v>
      </c>
      <c r="CD78" s="1" t="s">
        <v>121</v>
      </c>
      <c r="CE78" s="1" t="s">
        <v>121</v>
      </c>
      <c r="CF78" s="1" t="s">
        <v>121</v>
      </c>
      <c r="CG78" s="1" t="s">
        <v>121</v>
      </c>
      <c r="CH78" s="1" t="s">
        <v>121</v>
      </c>
      <c r="CI78" s="1" t="s">
        <v>121</v>
      </c>
      <c r="CJ78" s="1" t="s">
        <v>121</v>
      </c>
      <c r="CK78" s="1" t="s">
        <v>121</v>
      </c>
      <c r="CL78" s="1" t="s">
        <v>121</v>
      </c>
      <c r="CM78" s="1" t="s">
        <v>121</v>
      </c>
      <c r="CN78" s="1" t="s">
        <v>121</v>
      </c>
      <c r="CO78" s="1" t="s">
        <v>121</v>
      </c>
      <c r="CP78" s="1" t="s">
        <v>121</v>
      </c>
      <c r="CQ78" s="1" t="s">
        <v>121</v>
      </c>
      <c r="CR78" s="1" t="s">
        <v>121</v>
      </c>
      <c r="CS78" s="1" t="s">
        <v>121</v>
      </c>
      <c r="CT78" s="1" t="s">
        <v>121</v>
      </c>
      <c r="CU78" s="1" t="s">
        <v>121</v>
      </c>
      <c r="CV78" s="1" t="s">
        <v>121</v>
      </c>
      <c r="CW78" s="1" t="s">
        <v>121</v>
      </c>
      <c r="CX78" s="1" t="s">
        <v>121</v>
      </c>
      <c r="CY78" s="1" t="s">
        <v>121</v>
      </c>
      <c r="CZ78" s="1" t="s">
        <v>121</v>
      </c>
      <c r="DA78" s="1" t="s">
        <v>121</v>
      </c>
      <c r="DB78" s="1" t="s">
        <v>121</v>
      </c>
      <c r="DC78" s="1" t="s">
        <v>121</v>
      </c>
      <c r="DD78" s="1" t="s">
        <v>121</v>
      </c>
      <c r="DE78" s="1" t="s">
        <v>121</v>
      </c>
      <c r="DF78" s="1" t="s">
        <v>121</v>
      </c>
      <c r="DG78" s="1" t="s">
        <v>121</v>
      </c>
      <c r="DH78" s="1" t="s">
        <v>121</v>
      </c>
      <c r="DI78" s="1" t="s">
        <v>121</v>
      </c>
      <c r="DJ78" s="1" t="s">
        <v>121</v>
      </c>
      <c r="DK78" s="1" t="s">
        <v>121</v>
      </c>
      <c r="DL78" s="1" t="s">
        <v>121</v>
      </c>
      <c r="DM78" s="1" t="s">
        <v>121</v>
      </c>
      <c r="DN78" s="1" t="s">
        <v>121</v>
      </c>
      <c r="DO78" s="1" t="s">
        <v>121</v>
      </c>
      <c r="DP78" s="1" t="s">
        <v>121</v>
      </c>
      <c r="DQ78" s="1" t="s">
        <v>121</v>
      </c>
      <c r="DR78" s="1" t="s">
        <v>121</v>
      </c>
      <c r="DS78" s="1" t="s">
        <v>121</v>
      </c>
      <c r="DT78" s="1" t="s">
        <v>121</v>
      </c>
      <c r="DU78" s="1" t="s">
        <v>121</v>
      </c>
      <c r="DV78" s="1" t="s">
        <v>121</v>
      </c>
      <c r="DW78" s="1" t="s">
        <v>121</v>
      </c>
      <c r="DX78" s="1" t="s">
        <v>121</v>
      </c>
      <c r="DY78" s="1" t="s">
        <v>121</v>
      </c>
      <c r="DZ78" s="1" t="s">
        <v>121</v>
      </c>
      <c r="EA78" s="1" t="s">
        <v>121</v>
      </c>
      <c r="EB78" s="1" t="s">
        <v>121</v>
      </c>
      <c r="EC78" s="1" t="s">
        <v>121</v>
      </c>
      <c r="ED78" s="1" t="s">
        <v>121</v>
      </c>
      <c r="EE78" s="1" t="s">
        <v>121</v>
      </c>
      <c r="EF78" s="1" t="s">
        <v>121</v>
      </c>
      <c r="EG78" s="1" t="s">
        <v>121</v>
      </c>
      <c r="EH78" s="1" t="s">
        <v>121</v>
      </c>
      <c r="EI78" s="1" t="s">
        <v>121</v>
      </c>
      <c r="EJ78" s="1" t="s">
        <v>121</v>
      </c>
      <c r="EK78" s="1" t="s">
        <v>121</v>
      </c>
    </row>
    <row r="79" spans="1:141" x14ac:dyDescent="0.25">
      <c r="A79" s="72">
        <v>79</v>
      </c>
      <c r="B79" s="43" t="s">
        <v>5</v>
      </c>
      <c r="C79" s="99" t="s">
        <v>121</v>
      </c>
      <c r="D79" s="43" t="s">
        <v>121</v>
      </c>
      <c r="E79" s="100" t="s">
        <v>121</v>
      </c>
      <c r="F79" s="51">
        <v>0.54482082384749353</v>
      </c>
      <c r="G79" s="51">
        <v>0.51992949296725877</v>
      </c>
      <c r="H79" s="51">
        <v>0.49254887966427541</v>
      </c>
      <c r="I79" s="51">
        <v>0.49208831824671717</v>
      </c>
      <c r="J79" s="51">
        <v>0.53413016476564812</v>
      </c>
      <c r="K79" s="51">
        <v>0.49556568663937478</v>
      </c>
      <c r="L79" s="51">
        <v>0.51693286506644753</v>
      </c>
      <c r="M79" s="51">
        <v>0.47096950540148413</v>
      </c>
      <c r="N79" s="51">
        <v>0.48732946093142621</v>
      </c>
      <c r="O79" s="51">
        <v>0.45550268899601526</v>
      </c>
      <c r="P79" s="51">
        <v>0.50222309871275417</v>
      </c>
      <c r="Q79" s="51">
        <v>0.45080415427085208</v>
      </c>
      <c r="R79" s="404"/>
      <c r="S79" s="404"/>
      <c r="T79" s="404"/>
      <c r="U79" s="51">
        <v>0.43030442265901875</v>
      </c>
      <c r="V79" s="51">
        <v>0.45072565723654379</v>
      </c>
      <c r="W79" s="51">
        <v>0.46413315271190969</v>
      </c>
      <c r="X79" s="51">
        <v>0.44749438986929313</v>
      </c>
      <c r="Y79" s="51">
        <v>0.42404211293200605</v>
      </c>
      <c r="Z79" s="51">
        <v>0.44546003252710642</v>
      </c>
      <c r="AA79" s="51">
        <v>0.41420173916559222</v>
      </c>
      <c r="AB79" s="51">
        <v>0.4426412372080441</v>
      </c>
      <c r="AC79" s="51">
        <v>0.39947739192223819</v>
      </c>
      <c r="AD79" s="51">
        <v>0.3908395256004118</v>
      </c>
      <c r="AE79" s="51">
        <v>0.35626167111412699</v>
      </c>
      <c r="AF79" s="51">
        <v>0.37805348083856705</v>
      </c>
      <c r="AG79" s="51">
        <v>0.37534916454821038</v>
      </c>
      <c r="AH79" s="51">
        <v>0.41815652866955677</v>
      </c>
      <c r="AI79" s="51">
        <v>0.39827967389757651</v>
      </c>
      <c r="AJ79" s="51">
        <v>0.39075525125154825</v>
      </c>
      <c r="AK79" s="51">
        <v>0.40411148565752308</v>
      </c>
      <c r="AL79" s="51">
        <v>0.41399763374425175</v>
      </c>
      <c r="AM79" s="51">
        <v>0.44218623133391932</v>
      </c>
      <c r="AN79" s="51">
        <v>0.44622881995693164</v>
      </c>
      <c r="AO79" s="51">
        <v>0.44219841226294171</v>
      </c>
      <c r="AP79" s="51">
        <v>0.47145082928579557</v>
      </c>
      <c r="AQ79" s="51">
        <v>0.47460802444330558</v>
      </c>
      <c r="AR79" s="51">
        <v>0.49018256453744607</v>
      </c>
      <c r="AS79" s="51">
        <v>0.50407026536267519</v>
      </c>
      <c r="AT79" s="51">
        <v>0.51102493586834263</v>
      </c>
      <c r="AU79" s="51">
        <v>0.4955932712962034</v>
      </c>
      <c r="AV79" s="51">
        <v>0.50115101825794317</v>
      </c>
      <c r="AW79" s="51">
        <v>0.50756433064676076</v>
      </c>
      <c r="AX79" s="51">
        <v>0.51160915840651677</v>
      </c>
      <c r="AY79" s="51">
        <v>0.49552241122347745</v>
      </c>
      <c r="AZ79" s="51">
        <v>0.52293800364330889</v>
      </c>
      <c r="BA79" s="51">
        <v>0.52257633761289901</v>
      </c>
      <c r="BB79" s="51">
        <v>0.55391070625808436</v>
      </c>
      <c r="BC79" s="51">
        <v>0.57057660384305375</v>
      </c>
      <c r="BD79" s="51">
        <v>0.58808924159671361</v>
      </c>
      <c r="BE79" s="51">
        <v>0.56987817608529279</v>
      </c>
      <c r="BF79" s="51">
        <v>0.64462320495352432</v>
      </c>
      <c r="BG79" s="51">
        <v>0.60199647303680615</v>
      </c>
      <c r="BH79" s="51">
        <v>0.56784713681801435</v>
      </c>
      <c r="BI79" s="51">
        <v>0.5902008850266327</v>
      </c>
      <c r="BJ79" s="51">
        <v>0.61681962090305864</v>
      </c>
      <c r="BK79" s="51">
        <v>0.63399167159836856</v>
      </c>
      <c r="BL79" s="51">
        <v>0.63506691159997219</v>
      </c>
      <c r="BM79" s="1">
        <v>0.62357108053987675</v>
      </c>
      <c r="BN79" s="1">
        <v>0.66015711608521876</v>
      </c>
      <c r="BO79" s="1">
        <v>0.60295949899800649</v>
      </c>
      <c r="BP79" s="1">
        <v>0.63129614709254167</v>
      </c>
      <c r="BQ79" s="1">
        <v>0.61352770472984719</v>
      </c>
      <c r="BR79" s="1" t="s">
        <v>121</v>
      </c>
      <c r="BS79" s="1" t="s">
        <v>121</v>
      </c>
      <c r="BT79" s="1" t="s">
        <v>121</v>
      </c>
      <c r="BU79" s="1" t="s">
        <v>121</v>
      </c>
      <c r="BV79" s="1" t="s">
        <v>121</v>
      </c>
      <c r="BW79" s="1" t="s">
        <v>121</v>
      </c>
      <c r="BX79" s="1" t="s">
        <v>121</v>
      </c>
      <c r="BY79" s="1" t="s">
        <v>121</v>
      </c>
      <c r="BZ79" s="1" t="s">
        <v>121</v>
      </c>
      <c r="CA79" s="1" t="s">
        <v>121</v>
      </c>
      <c r="CB79" s="1" t="s">
        <v>121</v>
      </c>
      <c r="CC79" s="1" t="s">
        <v>121</v>
      </c>
      <c r="CD79" s="1" t="s">
        <v>121</v>
      </c>
      <c r="CE79" s="1" t="s">
        <v>121</v>
      </c>
      <c r="CF79" s="1" t="s">
        <v>121</v>
      </c>
      <c r="CG79" s="1" t="s">
        <v>121</v>
      </c>
      <c r="CH79" s="1" t="s">
        <v>121</v>
      </c>
      <c r="CI79" s="1" t="s">
        <v>121</v>
      </c>
      <c r="CJ79" s="1" t="s">
        <v>121</v>
      </c>
      <c r="CK79" s="1" t="s">
        <v>121</v>
      </c>
      <c r="CL79" s="1" t="s">
        <v>121</v>
      </c>
      <c r="CM79" s="1" t="s">
        <v>121</v>
      </c>
      <c r="CN79" s="1" t="s">
        <v>121</v>
      </c>
      <c r="CO79" s="1" t="s">
        <v>121</v>
      </c>
      <c r="CP79" s="1" t="s">
        <v>121</v>
      </c>
      <c r="CQ79" s="1" t="s">
        <v>121</v>
      </c>
      <c r="CR79" s="1" t="s">
        <v>121</v>
      </c>
      <c r="CS79" s="1" t="s">
        <v>121</v>
      </c>
      <c r="CT79" s="1" t="s">
        <v>121</v>
      </c>
      <c r="CU79" s="1" t="s">
        <v>121</v>
      </c>
      <c r="CV79" s="1" t="s">
        <v>121</v>
      </c>
      <c r="CW79" s="1" t="s">
        <v>121</v>
      </c>
      <c r="CX79" s="1" t="s">
        <v>121</v>
      </c>
      <c r="CY79" s="1" t="s">
        <v>121</v>
      </c>
      <c r="CZ79" s="1" t="s">
        <v>121</v>
      </c>
      <c r="DA79" s="1" t="s">
        <v>121</v>
      </c>
      <c r="DB79" s="1" t="s">
        <v>121</v>
      </c>
      <c r="DC79" s="1" t="s">
        <v>121</v>
      </c>
      <c r="DD79" s="1" t="s">
        <v>121</v>
      </c>
      <c r="DE79" s="1" t="s">
        <v>121</v>
      </c>
      <c r="DF79" s="1" t="s">
        <v>121</v>
      </c>
      <c r="DG79" s="1" t="s">
        <v>121</v>
      </c>
      <c r="DH79" s="1" t="s">
        <v>121</v>
      </c>
      <c r="DI79" s="1" t="s">
        <v>121</v>
      </c>
      <c r="DJ79" s="1" t="s">
        <v>121</v>
      </c>
      <c r="DK79" s="1" t="s">
        <v>121</v>
      </c>
      <c r="DL79" s="1" t="s">
        <v>121</v>
      </c>
      <c r="DM79" s="1" t="s">
        <v>121</v>
      </c>
      <c r="DN79" s="1" t="s">
        <v>121</v>
      </c>
      <c r="DO79" s="1" t="s">
        <v>121</v>
      </c>
      <c r="DP79" s="1" t="s">
        <v>121</v>
      </c>
      <c r="DQ79" s="1" t="s">
        <v>121</v>
      </c>
      <c r="DR79" s="1" t="s">
        <v>121</v>
      </c>
      <c r="DS79" s="1" t="s">
        <v>121</v>
      </c>
      <c r="DT79" s="1" t="s">
        <v>121</v>
      </c>
      <c r="DU79" s="1" t="s">
        <v>121</v>
      </c>
      <c r="DV79" s="1" t="s">
        <v>121</v>
      </c>
      <c r="DW79" s="1" t="s">
        <v>121</v>
      </c>
      <c r="DX79" s="1" t="s">
        <v>121</v>
      </c>
      <c r="DY79" s="1" t="s">
        <v>121</v>
      </c>
      <c r="DZ79" s="1" t="s">
        <v>121</v>
      </c>
      <c r="EA79" s="1" t="s">
        <v>121</v>
      </c>
      <c r="EB79" s="1" t="s">
        <v>121</v>
      </c>
      <c r="EC79" s="1" t="s">
        <v>121</v>
      </c>
      <c r="ED79" s="1" t="s">
        <v>121</v>
      </c>
      <c r="EE79" s="1" t="s">
        <v>121</v>
      </c>
      <c r="EF79" s="1" t="s">
        <v>121</v>
      </c>
      <c r="EG79" s="1" t="s">
        <v>121</v>
      </c>
      <c r="EH79" s="1" t="s">
        <v>121</v>
      </c>
      <c r="EI79" s="1" t="s">
        <v>121</v>
      </c>
      <c r="EJ79" s="1" t="s">
        <v>121</v>
      </c>
      <c r="EK79" s="1" t="s">
        <v>121</v>
      </c>
    </row>
    <row r="80" spans="1:141" x14ac:dyDescent="0.25">
      <c r="A80" s="72">
        <v>80</v>
      </c>
      <c r="B80" s="5" t="s">
        <v>316</v>
      </c>
      <c r="C80" s="97" t="s">
        <v>121</v>
      </c>
      <c r="D80" s="40" t="s">
        <v>121</v>
      </c>
      <c r="E80" s="98" t="s">
        <v>121</v>
      </c>
      <c r="F80" s="13">
        <v>3.3904441848384689E-2</v>
      </c>
      <c r="G80" s="13">
        <v>4.0749903603666177E-2</v>
      </c>
      <c r="H80" s="13">
        <v>5.1935681936259206E-2</v>
      </c>
      <c r="I80" s="13">
        <v>4.1388847860795192E-2</v>
      </c>
      <c r="J80" s="13">
        <v>4.6022411365832933E-2</v>
      </c>
      <c r="K80" s="13">
        <v>4.8673241533308521E-2</v>
      </c>
      <c r="L80" s="13">
        <v>4.2772150498554116E-2</v>
      </c>
      <c r="M80" s="13">
        <v>3.6494776326915113E-2</v>
      </c>
      <c r="N80" s="13">
        <v>4.7165523959580985E-2</v>
      </c>
      <c r="O80" s="13">
        <v>5.6270376459442141E-2</v>
      </c>
      <c r="P80" s="13">
        <v>4.9265540774737951E-2</v>
      </c>
      <c r="Q80" s="13">
        <v>4.6494282933152553E-2</v>
      </c>
      <c r="R80" s="404"/>
      <c r="S80" s="404"/>
      <c r="T80" s="404"/>
      <c r="U80" s="13">
        <v>4.7734186003010458E-2</v>
      </c>
      <c r="V80" s="13">
        <v>4.7150697721014434E-2</v>
      </c>
      <c r="W80" s="13">
        <v>5.0245703102474074E-2</v>
      </c>
      <c r="X80" s="13">
        <v>5.0571424045451396E-2</v>
      </c>
      <c r="Y80" s="13">
        <v>5.7093205263568723E-2</v>
      </c>
      <c r="Z80" s="13">
        <v>6.467487241494925E-2</v>
      </c>
      <c r="AA80" s="13">
        <v>6.5799384156350713E-2</v>
      </c>
      <c r="AB80" s="13">
        <v>6.4564495692991247E-2</v>
      </c>
      <c r="AC80" s="13">
        <v>6.0690378352269113E-2</v>
      </c>
      <c r="AD80" s="13">
        <v>6.0403430144403768E-2</v>
      </c>
      <c r="AE80" s="13">
        <v>5.3951213109987246E-2</v>
      </c>
      <c r="AF80" s="13">
        <v>5.8433490997059072E-2</v>
      </c>
      <c r="AG80" s="13">
        <v>5.8693123284367169E-2</v>
      </c>
      <c r="AH80" s="13">
        <v>5.6515712205540268E-2</v>
      </c>
      <c r="AI80" s="13">
        <v>5.4718301898142342E-2</v>
      </c>
      <c r="AJ80" s="13">
        <v>5.3303103844417242E-2</v>
      </c>
      <c r="AK80" s="13">
        <v>5.4809947064325709E-2</v>
      </c>
      <c r="AL80" s="13">
        <v>5.8524723148210146E-2</v>
      </c>
      <c r="AM80" s="13">
        <v>5.1496376691035677E-2</v>
      </c>
      <c r="AN80" s="13">
        <v>6.1083679278688088E-2</v>
      </c>
      <c r="AO80" s="13">
        <v>5.9315837087104688E-2</v>
      </c>
      <c r="AP80" s="13">
        <v>5.9906087665055528E-2</v>
      </c>
      <c r="AQ80" s="13">
        <v>5.3965499291679916E-2</v>
      </c>
      <c r="AR80" s="13">
        <v>4.895010099817336E-2</v>
      </c>
      <c r="AS80" s="13">
        <v>5.1505580698740915E-2</v>
      </c>
      <c r="AT80" s="13">
        <v>6.0337320310427996E-2</v>
      </c>
      <c r="AU80" s="13">
        <v>5.8231245707140007E-2</v>
      </c>
      <c r="AV80" s="13">
        <v>6.9148231025473517E-2</v>
      </c>
      <c r="AW80" s="13">
        <v>7.9834001198044152E-2</v>
      </c>
      <c r="AX80" s="13">
        <v>5.6579523640525951E-2</v>
      </c>
      <c r="AY80" s="13">
        <v>5.7103638634569152E-2</v>
      </c>
      <c r="AZ80" s="13">
        <v>5.2243011763273235E-2</v>
      </c>
      <c r="BA80" s="13">
        <v>5.4614140368835148E-2</v>
      </c>
      <c r="BB80" s="13">
        <v>6.3262203375852907E-2</v>
      </c>
      <c r="BC80" s="13">
        <v>6.0553206672872784E-2</v>
      </c>
      <c r="BD80" s="13">
        <v>6.4347718639973892E-2</v>
      </c>
      <c r="BE80" s="13">
        <v>6.3046254646786148E-2</v>
      </c>
      <c r="BF80" s="13">
        <v>7.1882819689366037E-2</v>
      </c>
      <c r="BG80" s="13">
        <v>7.3495213948175805E-2</v>
      </c>
      <c r="BH80" s="13">
        <v>7.3768991764168901E-2</v>
      </c>
      <c r="BI80" s="13">
        <v>7.7018994237850885E-2</v>
      </c>
      <c r="BJ80" s="13">
        <v>7.514745493293086E-2</v>
      </c>
      <c r="BK80" s="13">
        <v>7.277400255101725E-2</v>
      </c>
      <c r="BL80" s="13">
        <v>6.9877123623834608E-2</v>
      </c>
      <c r="BM80" s="1">
        <v>6.8081470136798536E-2</v>
      </c>
      <c r="BN80" s="1">
        <v>7.1225232762179416E-2</v>
      </c>
      <c r="BO80" s="1">
        <v>7.3068758316233245E-2</v>
      </c>
      <c r="BP80" s="1">
        <v>7.2957451731321413E-2</v>
      </c>
      <c r="BQ80" s="1">
        <v>7.0274802452259977E-2</v>
      </c>
      <c r="BR80" s="1" t="s">
        <v>121</v>
      </c>
      <c r="BS80" s="1" t="s">
        <v>121</v>
      </c>
      <c r="BT80" s="1" t="s">
        <v>121</v>
      </c>
      <c r="BU80" s="1" t="s">
        <v>121</v>
      </c>
      <c r="BV80" s="1" t="s">
        <v>121</v>
      </c>
      <c r="BW80" s="1" t="s">
        <v>121</v>
      </c>
      <c r="BX80" s="1" t="s">
        <v>121</v>
      </c>
      <c r="BY80" s="1" t="s">
        <v>121</v>
      </c>
      <c r="BZ80" s="1" t="s">
        <v>121</v>
      </c>
      <c r="CA80" s="1" t="s">
        <v>121</v>
      </c>
      <c r="CB80" s="1" t="s">
        <v>121</v>
      </c>
      <c r="CC80" s="1" t="s">
        <v>121</v>
      </c>
      <c r="CD80" s="1" t="s">
        <v>121</v>
      </c>
      <c r="CE80" s="1" t="s">
        <v>121</v>
      </c>
      <c r="CF80" s="1" t="s">
        <v>121</v>
      </c>
      <c r="CG80" s="1" t="s">
        <v>121</v>
      </c>
      <c r="CH80" s="1" t="s">
        <v>121</v>
      </c>
      <c r="CI80" s="1" t="s">
        <v>121</v>
      </c>
      <c r="CJ80" s="1" t="s">
        <v>121</v>
      </c>
      <c r="CK80" s="1" t="s">
        <v>121</v>
      </c>
      <c r="CL80" s="1" t="s">
        <v>121</v>
      </c>
      <c r="CM80" s="1" t="s">
        <v>121</v>
      </c>
      <c r="CN80" s="1" t="s">
        <v>121</v>
      </c>
      <c r="CO80" s="1" t="s">
        <v>121</v>
      </c>
      <c r="CP80" s="1" t="s">
        <v>121</v>
      </c>
      <c r="CQ80" s="1" t="s">
        <v>121</v>
      </c>
      <c r="CR80" s="1" t="s">
        <v>121</v>
      </c>
      <c r="CS80" s="1" t="s">
        <v>121</v>
      </c>
      <c r="CT80" s="1" t="s">
        <v>121</v>
      </c>
      <c r="CU80" s="1" t="s">
        <v>121</v>
      </c>
      <c r="CV80" s="1" t="s">
        <v>121</v>
      </c>
      <c r="CW80" s="1" t="s">
        <v>121</v>
      </c>
      <c r="CX80" s="1" t="s">
        <v>121</v>
      </c>
      <c r="CY80" s="1" t="s">
        <v>121</v>
      </c>
      <c r="CZ80" s="1" t="s">
        <v>121</v>
      </c>
      <c r="DA80" s="1" t="s">
        <v>121</v>
      </c>
      <c r="DB80" s="1" t="s">
        <v>121</v>
      </c>
      <c r="DC80" s="1" t="s">
        <v>121</v>
      </c>
      <c r="DD80" s="1" t="s">
        <v>121</v>
      </c>
      <c r="DE80" s="1" t="s">
        <v>121</v>
      </c>
      <c r="DF80" s="1" t="s">
        <v>121</v>
      </c>
      <c r="DG80" s="1" t="s">
        <v>121</v>
      </c>
      <c r="DH80" s="1" t="s">
        <v>121</v>
      </c>
      <c r="DI80" s="1" t="s">
        <v>121</v>
      </c>
      <c r="DJ80" s="1" t="s">
        <v>121</v>
      </c>
      <c r="DK80" s="1" t="s">
        <v>121</v>
      </c>
      <c r="DL80" s="1" t="s">
        <v>121</v>
      </c>
      <c r="DM80" s="1" t="s">
        <v>121</v>
      </c>
      <c r="DN80" s="1" t="s">
        <v>121</v>
      </c>
      <c r="DO80" s="1" t="s">
        <v>121</v>
      </c>
      <c r="DP80" s="1" t="s">
        <v>121</v>
      </c>
      <c r="DQ80" s="1" t="s">
        <v>121</v>
      </c>
      <c r="DR80" s="1" t="s">
        <v>121</v>
      </c>
      <c r="DS80" s="1" t="s">
        <v>121</v>
      </c>
      <c r="DT80" s="1" t="s">
        <v>121</v>
      </c>
      <c r="DU80" s="1" t="s">
        <v>121</v>
      </c>
      <c r="DV80" s="1" t="s">
        <v>121</v>
      </c>
      <c r="DW80" s="1" t="s">
        <v>121</v>
      </c>
      <c r="DX80" s="1" t="s">
        <v>121</v>
      </c>
      <c r="DY80" s="1" t="s">
        <v>121</v>
      </c>
      <c r="DZ80" s="1" t="s">
        <v>121</v>
      </c>
      <c r="EA80" s="1" t="s">
        <v>121</v>
      </c>
      <c r="EB80" s="1" t="s">
        <v>121</v>
      </c>
      <c r="EC80" s="1" t="s">
        <v>121</v>
      </c>
      <c r="ED80" s="1" t="s">
        <v>121</v>
      </c>
      <c r="EE80" s="1" t="s">
        <v>121</v>
      </c>
      <c r="EF80" s="1" t="s">
        <v>121</v>
      </c>
      <c r="EG80" s="1" t="s">
        <v>121</v>
      </c>
      <c r="EH80" s="1" t="s">
        <v>121</v>
      </c>
      <c r="EI80" s="1" t="s">
        <v>121</v>
      </c>
      <c r="EJ80" s="1" t="s">
        <v>121</v>
      </c>
      <c r="EK80" s="1" t="s">
        <v>121</v>
      </c>
    </row>
    <row r="81" spans="1:141" ht="26.1" customHeight="1" x14ac:dyDescent="0.25">
      <c r="A81" s="72">
        <v>81</v>
      </c>
      <c r="B81" s="21" t="s">
        <v>317</v>
      </c>
      <c r="C81" s="101" t="s">
        <v>121</v>
      </c>
      <c r="D81" s="260" t="s">
        <v>121</v>
      </c>
      <c r="E81" s="102" t="s">
        <v>121</v>
      </c>
      <c r="F81" s="13">
        <v>1</v>
      </c>
      <c r="G81" s="13">
        <v>0.99999999999999989</v>
      </c>
      <c r="H81" s="13">
        <v>0.99999999999999989</v>
      </c>
      <c r="I81" s="13">
        <v>1</v>
      </c>
      <c r="J81" s="13">
        <v>1</v>
      </c>
      <c r="K81" s="13">
        <v>1</v>
      </c>
      <c r="L81" s="13">
        <v>1</v>
      </c>
      <c r="M81" s="13">
        <v>1</v>
      </c>
      <c r="N81" s="13">
        <v>1</v>
      </c>
      <c r="O81" s="13">
        <v>1</v>
      </c>
      <c r="P81" s="13">
        <v>1</v>
      </c>
      <c r="Q81" s="13">
        <v>1</v>
      </c>
      <c r="R81" s="404"/>
      <c r="S81" s="404"/>
      <c r="T81" s="404"/>
      <c r="U81" s="13">
        <v>1</v>
      </c>
      <c r="V81" s="13">
        <v>1</v>
      </c>
      <c r="W81" s="13">
        <v>0.99999999999999989</v>
      </c>
      <c r="X81" s="13">
        <v>0.99999999999999978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13">
        <v>0.99999999999999989</v>
      </c>
      <c r="AE81" s="13">
        <v>1</v>
      </c>
      <c r="AF81" s="13">
        <v>0.99999999999999989</v>
      </c>
      <c r="AG81" s="13">
        <v>0.99999999999999989</v>
      </c>
      <c r="AH81" s="13">
        <v>0.99999999999999989</v>
      </c>
      <c r="AI81" s="13">
        <v>1</v>
      </c>
      <c r="AJ81" s="13">
        <v>1</v>
      </c>
      <c r="AK81" s="13">
        <v>1</v>
      </c>
      <c r="AL81" s="13">
        <v>1.0000000000000002</v>
      </c>
      <c r="AM81" s="13">
        <v>1.0000000000000002</v>
      </c>
      <c r="AN81" s="13">
        <v>0.99999999999999989</v>
      </c>
      <c r="AO81" s="13">
        <v>1</v>
      </c>
      <c r="AP81" s="13">
        <v>0.99999999999999989</v>
      </c>
      <c r="AQ81" s="13">
        <v>0.99999999999999989</v>
      </c>
      <c r="AR81" s="13">
        <v>0.99999999999999989</v>
      </c>
      <c r="AS81" s="13">
        <v>0.99999999999999989</v>
      </c>
      <c r="AT81" s="13">
        <v>1</v>
      </c>
      <c r="AU81" s="13">
        <v>1</v>
      </c>
      <c r="AV81" s="13">
        <v>0.99999999999999989</v>
      </c>
      <c r="AW81" s="13">
        <v>1</v>
      </c>
      <c r="AX81" s="13">
        <v>1</v>
      </c>
      <c r="AY81" s="13">
        <v>0.99999999999999978</v>
      </c>
      <c r="AZ81" s="13">
        <v>0.99999999999999989</v>
      </c>
      <c r="BA81" s="13">
        <v>1.0000000000000002</v>
      </c>
      <c r="BB81" s="13">
        <v>0.99999999999999989</v>
      </c>
      <c r="BC81" s="13">
        <v>1</v>
      </c>
      <c r="BD81" s="13">
        <v>1</v>
      </c>
      <c r="BE81" s="13">
        <v>0.99999999999999989</v>
      </c>
      <c r="BF81" s="13">
        <v>0.99999999999999989</v>
      </c>
      <c r="BG81" s="13">
        <v>0.99999999999999989</v>
      </c>
      <c r="BH81" s="13">
        <v>1</v>
      </c>
      <c r="BI81" s="13">
        <v>1</v>
      </c>
      <c r="BJ81" s="13">
        <v>0.99999999999999989</v>
      </c>
      <c r="BK81" s="13">
        <v>1</v>
      </c>
      <c r="BL81" s="13">
        <v>0.99999999999999989</v>
      </c>
      <c r="BM81" s="1">
        <v>1</v>
      </c>
      <c r="BN81" s="1">
        <v>1.0000000000000002</v>
      </c>
      <c r="BO81" s="1">
        <v>1</v>
      </c>
      <c r="BP81" s="1">
        <v>1</v>
      </c>
      <c r="BQ81" s="1">
        <v>0.99999999999999978</v>
      </c>
      <c r="BR81" s="1" t="s">
        <v>121</v>
      </c>
      <c r="BS81" s="1" t="s">
        <v>121</v>
      </c>
      <c r="BT81" s="1" t="s">
        <v>121</v>
      </c>
      <c r="BU81" s="1" t="s">
        <v>121</v>
      </c>
      <c r="BV81" s="1" t="s">
        <v>121</v>
      </c>
      <c r="BW81" s="1" t="s">
        <v>121</v>
      </c>
      <c r="BX81" s="1" t="s">
        <v>121</v>
      </c>
      <c r="BY81" s="1" t="s">
        <v>121</v>
      </c>
      <c r="BZ81" s="1" t="s">
        <v>121</v>
      </c>
      <c r="CA81" s="1" t="s">
        <v>121</v>
      </c>
      <c r="CB81" s="1" t="s">
        <v>121</v>
      </c>
      <c r="CC81" s="1" t="s">
        <v>121</v>
      </c>
      <c r="CD81" s="1" t="s">
        <v>121</v>
      </c>
      <c r="CE81" s="1" t="s">
        <v>121</v>
      </c>
      <c r="CF81" s="1" t="s">
        <v>121</v>
      </c>
      <c r="CG81" s="1" t="s">
        <v>121</v>
      </c>
      <c r="CH81" s="1" t="s">
        <v>121</v>
      </c>
      <c r="CI81" s="1" t="s">
        <v>121</v>
      </c>
      <c r="CJ81" s="1" t="s">
        <v>121</v>
      </c>
      <c r="CK81" s="1" t="s">
        <v>121</v>
      </c>
      <c r="CL81" s="1" t="s">
        <v>121</v>
      </c>
      <c r="CM81" s="1" t="s">
        <v>121</v>
      </c>
      <c r="CN81" s="1" t="s">
        <v>121</v>
      </c>
      <c r="CO81" s="1" t="s">
        <v>121</v>
      </c>
      <c r="CP81" s="1" t="s">
        <v>121</v>
      </c>
      <c r="CQ81" s="1" t="s">
        <v>121</v>
      </c>
      <c r="CR81" s="1" t="s">
        <v>121</v>
      </c>
      <c r="CS81" s="1" t="s">
        <v>121</v>
      </c>
      <c r="CT81" s="1" t="s">
        <v>121</v>
      </c>
      <c r="CU81" s="1" t="s">
        <v>121</v>
      </c>
      <c r="CV81" s="1" t="s">
        <v>121</v>
      </c>
      <c r="CW81" s="1" t="s">
        <v>121</v>
      </c>
      <c r="CX81" s="1" t="s">
        <v>121</v>
      </c>
      <c r="CY81" s="1" t="s">
        <v>121</v>
      </c>
      <c r="CZ81" s="1" t="s">
        <v>121</v>
      </c>
      <c r="DA81" s="1" t="s">
        <v>121</v>
      </c>
      <c r="DB81" s="1" t="s">
        <v>121</v>
      </c>
      <c r="DC81" s="1" t="s">
        <v>121</v>
      </c>
      <c r="DD81" s="1" t="s">
        <v>121</v>
      </c>
      <c r="DE81" s="1" t="s">
        <v>121</v>
      </c>
      <c r="DF81" s="1" t="s">
        <v>121</v>
      </c>
      <c r="DG81" s="1" t="s">
        <v>121</v>
      </c>
      <c r="DH81" s="1" t="s">
        <v>121</v>
      </c>
      <c r="DI81" s="1" t="s">
        <v>121</v>
      </c>
      <c r="DJ81" s="1" t="s">
        <v>121</v>
      </c>
      <c r="DK81" s="1" t="s">
        <v>121</v>
      </c>
      <c r="DL81" s="1" t="s">
        <v>121</v>
      </c>
      <c r="DM81" s="1" t="s">
        <v>121</v>
      </c>
      <c r="DN81" s="1" t="s">
        <v>121</v>
      </c>
      <c r="DO81" s="1" t="s">
        <v>121</v>
      </c>
      <c r="DP81" s="1" t="s">
        <v>121</v>
      </c>
      <c r="DQ81" s="1" t="s">
        <v>121</v>
      </c>
      <c r="DR81" s="1" t="s">
        <v>121</v>
      </c>
      <c r="DS81" s="1" t="s">
        <v>121</v>
      </c>
      <c r="DT81" s="1" t="s">
        <v>121</v>
      </c>
      <c r="DU81" s="1" t="s">
        <v>121</v>
      </c>
      <c r="DV81" s="1" t="s">
        <v>121</v>
      </c>
      <c r="DW81" s="1" t="s">
        <v>121</v>
      </c>
      <c r="DX81" s="1" t="s">
        <v>121</v>
      </c>
      <c r="DY81" s="1" t="s">
        <v>121</v>
      </c>
      <c r="DZ81" s="1" t="s">
        <v>121</v>
      </c>
      <c r="EA81" s="1" t="s">
        <v>121</v>
      </c>
      <c r="EB81" s="1" t="s">
        <v>121</v>
      </c>
      <c r="EC81" s="1" t="s">
        <v>121</v>
      </c>
      <c r="ED81" s="1" t="s">
        <v>121</v>
      </c>
      <c r="EE81" s="1" t="s">
        <v>121</v>
      </c>
      <c r="EF81" s="1" t="s">
        <v>121</v>
      </c>
      <c r="EG81" s="1" t="s">
        <v>121</v>
      </c>
      <c r="EH81" s="1" t="s">
        <v>121</v>
      </c>
      <c r="EI81" s="1" t="s">
        <v>121</v>
      </c>
      <c r="EJ81" s="1" t="s">
        <v>121</v>
      </c>
      <c r="EK81" s="1" t="s">
        <v>121</v>
      </c>
    </row>
    <row r="82" spans="1:141" x14ac:dyDescent="0.25">
      <c r="A82" s="72">
        <v>82</v>
      </c>
      <c r="B82" s="1" t="s">
        <v>121</v>
      </c>
      <c r="C82" s="1" t="s">
        <v>121</v>
      </c>
      <c r="D82" s="1" t="s">
        <v>121</v>
      </c>
      <c r="E82" s="1" t="s">
        <v>121</v>
      </c>
      <c r="F82" s="1" t="s">
        <v>121</v>
      </c>
      <c r="G82" s="1" t="s">
        <v>121</v>
      </c>
      <c r="H82" s="1" t="s">
        <v>121</v>
      </c>
      <c r="I82" s="1" t="s">
        <v>121</v>
      </c>
      <c r="J82" s="1" t="s">
        <v>121</v>
      </c>
      <c r="K82" s="1" t="s">
        <v>121</v>
      </c>
      <c r="L82" s="1" t="s">
        <v>121</v>
      </c>
      <c r="M82" s="1" t="s">
        <v>121</v>
      </c>
      <c r="N82" s="1" t="s">
        <v>121</v>
      </c>
      <c r="O82" s="1" t="s">
        <v>121</v>
      </c>
      <c r="P82" s="1" t="s">
        <v>121</v>
      </c>
      <c r="Q82" s="1" t="s">
        <v>121</v>
      </c>
      <c r="R82" s="1" t="s">
        <v>121</v>
      </c>
      <c r="S82" s="1" t="s">
        <v>121</v>
      </c>
      <c r="T82" s="1" t="s">
        <v>121</v>
      </c>
      <c r="U82" s="1" t="s">
        <v>121</v>
      </c>
      <c r="V82" s="1" t="s">
        <v>121</v>
      </c>
      <c r="W82" s="1" t="s">
        <v>121</v>
      </c>
      <c r="X82" s="1" t="s">
        <v>121</v>
      </c>
      <c r="Y82" s="1" t="s">
        <v>121</v>
      </c>
      <c r="Z82" s="1" t="s">
        <v>121</v>
      </c>
      <c r="AA82" s="1" t="s">
        <v>121</v>
      </c>
      <c r="AB82" s="1" t="s">
        <v>121</v>
      </c>
      <c r="AC82" s="1" t="s">
        <v>121</v>
      </c>
      <c r="AD82" s="1" t="s">
        <v>121</v>
      </c>
      <c r="AE82" s="1" t="s">
        <v>121</v>
      </c>
      <c r="AF82" s="1" t="s">
        <v>121</v>
      </c>
      <c r="AG82" s="1" t="s">
        <v>121</v>
      </c>
      <c r="AH82" s="1" t="s">
        <v>121</v>
      </c>
      <c r="AI82" s="1" t="s">
        <v>121</v>
      </c>
      <c r="AJ82" s="1" t="s">
        <v>121</v>
      </c>
      <c r="AK82" s="1" t="s">
        <v>121</v>
      </c>
      <c r="AL82" s="1" t="s">
        <v>121</v>
      </c>
      <c r="AM82" s="1" t="s">
        <v>121</v>
      </c>
      <c r="AN82" s="1" t="s">
        <v>121</v>
      </c>
      <c r="AO82" s="1" t="s">
        <v>121</v>
      </c>
      <c r="AP82" s="1" t="s">
        <v>121</v>
      </c>
      <c r="AQ82" s="1" t="s">
        <v>121</v>
      </c>
      <c r="AR82" s="1" t="s">
        <v>121</v>
      </c>
      <c r="AS82" s="1" t="s">
        <v>121</v>
      </c>
      <c r="AT82" s="1" t="s">
        <v>121</v>
      </c>
      <c r="AU82" s="1" t="s">
        <v>121</v>
      </c>
      <c r="AV82" s="1" t="s">
        <v>121</v>
      </c>
      <c r="AW82" s="1" t="s">
        <v>121</v>
      </c>
      <c r="AX82" s="1" t="s">
        <v>121</v>
      </c>
      <c r="AY82" s="1" t="s">
        <v>121</v>
      </c>
      <c r="AZ82" s="1" t="s">
        <v>121</v>
      </c>
      <c r="BA82" s="11" t="s">
        <v>121</v>
      </c>
      <c r="BB82" s="11" t="s">
        <v>121</v>
      </c>
      <c r="BC82" s="11" t="s">
        <v>121</v>
      </c>
      <c r="BD82" s="11" t="s">
        <v>121</v>
      </c>
      <c r="BE82" s="11" t="s">
        <v>121</v>
      </c>
      <c r="BF82" s="11" t="s">
        <v>121</v>
      </c>
      <c r="BG82" s="11" t="s">
        <v>121</v>
      </c>
      <c r="BH82" s="11" t="s">
        <v>121</v>
      </c>
      <c r="BI82" s="11" t="s">
        <v>121</v>
      </c>
      <c r="BJ82" s="11" t="s">
        <v>121</v>
      </c>
      <c r="BK82" s="11" t="s">
        <v>121</v>
      </c>
      <c r="BL82" s="1" t="s">
        <v>121</v>
      </c>
      <c r="BM82" s="1" t="s">
        <v>121</v>
      </c>
      <c r="BN82" s="1" t="s">
        <v>121</v>
      </c>
      <c r="BO82" s="1" t="s">
        <v>121</v>
      </c>
      <c r="BP82" s="1" t="s">
        <v>121</v>
      </c>
      <c r="BQ82" s="1" t="s">
        <v>121</v>
      </c>
      <c r="BR82" s="1" t="s">
        <v>121</v>
      </c>
      <c r="BS82" s="1" t="s">
        <v>121</v>
      </c>
      <c r="BT82" s="1" t="s">
        <v>121</v>
      </c>
      <c r="BU82" s="1" t="s">
        <v>121</v>
      </c>
      <c r="BV82" s="1" t="s">
        <v>121</v>
      </c>
      <c r="BW82" s="1" t="s">
        <v>121</v>
      </c>
      <c r="BX82" s="1" t="s">
        <v>121</v>
      </c>
      <c r="BY82" s="1" t="s">
        <v>121</v>
      </c>
      <c r="BZ82" s="1" t="s">
        <v>121</v>
      </c>
      <c r="CA82" s="1" t="s">
        <v>121</v>
      </c>
      <c r="CB82" s="1" t="s">
        <v>121</v>
      </c>
      <c r="CC82" s="1" t="s">
        <v>121</v>
      </c>
      <c r="CD82" s="1" t="s">
        <v>121</v>
      </c>
      <c r="CE82" s="1" t="s">
        <v>121</v>
      </c>
      <c r="CF82" s="1" t="s">
        <v>121</v>
      </c>
      <c r="CG82" s="1" t="s">
        <v>121</v>
      </c>
      <c r="CH82" s="1" t="s">
        <v>121</v>
      </c>
      <c r="CI82" s="1" t="s">
        <v>121</v>
      </c>
      <c r="CJ82" s="1" t="s">
        <v>121</v>
      </c>
      <c r="CK82" s="1" t="s">
        <v>121</v>
      </c>
      <c r="CL82" s="1" t="s">
        <v>121</v>
      </c>
      <c r="CM82" s="1" t="s">
        <v>121</v>
      </c>
      <c r="CN82" s="1" t="s">
        <v>121</v>
      </c>
      <c r="CO82" s="1" t="s">
        <v>121</v>
      </c>
      <c r="CP82" s="1" t="s">
        <v>121</v>
      </c>
      <c r="CQ82" s="1" t="s">
        <v>121</v>
      </c>
      <c r="CR82" s="1" t="s">
        <v>121</v>
      </c>
      <c r="CS82" s="1" t="s">
        <v>121</v>
      </c>
      <c r="CT82" s="1" t="s">
        <v>121</v>
      </c>
      <c r="CU82" s="1" t="s">
        <v>121</v>
      </c>
      <c r="CV82" s="1" t="s">
        <v>121</v>
      </c>
      <c r="CW82" s="1" t="s">
        <v>121</v>
      </c>
      <c r="CX82" s="1" t="s">
        <v>121</v>
      </c>
      <c r="CY82" s="1" t="s">
        <v>121</v>
      </c>
      <c r="CZ82" s="1" t="s">
        <v>121</v>
      </c>
      <c r="DA82" s="1" t="s">
        <v>121</v>
      </c>
      <c r="DB82" s="1" t="s">
        <v>121</v>
      </c>
      <c r="DC82" s="1" t="s">
        <v>121</v>
      </c>
      <c r="DD82" s="1" t="s">
        <v>121</v>
      </c>
      <c r="DE82" s="1" t="s">
        <v>121</v>
      </c>
      <c r="DF82" s="1" t="s">
        <v>121</v>
      </c>
      <c r="DG82" s="1" t="s">
        <v>121</v>
      </c>
      <c r="DH82" s="1" t="s">
        <v>121</v>
      </c>
      <c r="DI82" s="1" t="s">
        <v>121</v>
      </c>
      <c r="DJ82" s="1" t="s">
        <v>121</v>
      </c>
      <c r="DK82" s="1" t="s">
        <v>121</v>
      </c>
      <c r="DL82" s="1" t="s">
        <v>121</v>
      </c>
      <c r="DM82" s="1" t="s">
        <v>121</v>
      </c>
      <c r="DN82" s="1" t="s">
        <v>121</v>
      </c>
      <c r="DO82" s="1" t="s">
        <v>121</v>
      </c>
      <c r="DP82" s="1" t="s">
        <v>121</v>
      </c>
      <c r="DQ82" s="1" t="s">
        <v>121</v>
      </c>
      <c r="DR82" s="1" t="s">
        <v>121</v>
      </c>
      <c r="DS82" s="1" t="s">
        <v>121</v>
      </c>
      <c r="DT82" s="1" t="s">
        <v>121</v>
      </c>
      <c r="DU82" s="1" t="s">
        <v>121</v>
      </c>
      <c r="DV82" s="1" t="s">
        <v>121</v>
      </c>
      <c r="DW82" s="1" t="s">
        <v>121</v>
      </c>
      <c r="DX82" s="1" t="s">
        <v>121</v>
      </c>
      <c r="DY82" s="1" t="s">
        <v>121</v>
      </c>
      <c r="DZ82" s="1" t="s">
        <v>121</v>
      </c>
      <c r="EA82" s="1" t="s">
        <v>121</v>
      </c>
      <c r="EB82" s="1" t="s">
        <v>121</v>
      </c>
      <c r="EC82" s="1" t="s">
        <v>121</v>
      </c>
      <c r="ED82" s="1" t="s">
        <v>121</v>
      </c>
      <c r="EE82" s="1" t="s">
        <v>121</v>
      </c>
      <c r="EF82" s="1" t="s">
        <v>121</v>
      </c>
      <c r="EG82" s="1" t="s">
        <v>121</v>
      </c>
      <c r="EH82" s="1" t="s">
        <v>121</v>
      </c>
      <c r="EI82" s="1" t="s">
        <v>121</v>
      </c>
      <c r="EJ82" s="1" t="s">
        <v>121</v>
      </c>
      <c r="EK82" s="1" t="s">
        <v>121</v>
      </c>
    </row>
    <row r="83" spans="1:141" x14ac:dyDescent="0.25">
      <c r="A83" s="72">
        <v>83</v>
      </c>
      <c r="B83" s="1" t="s">
        <v>121</v>
      </c>
      <c r="C83" s="1" t="s">
        <v>121</v>
      </c>
      <c r="D83" s="1" t="s">
        <v>121</v>
      </c>
      <c r="E83" s="1" t="s">
        <v>121</v>
      </c>
      <c r="F83" s="1" t="s">
        <v>121</v>
      </c>
      <c r="G83" s="1" t="s">
        <v>121</v>
      </c>
      <c r="H83" s="1" t="s">
        <v>121</v>
      </c>
      <c r="I83" s="1" t="s">
        <v>121</v>
      </c>
      <c r="J83" s="1" t="s">
        <v>121</v>
      </c>
      <c r="K83" s="1" t="s">
        <v>121</v>
      </c>
      <c r="L83" s="1" t="s">
        <v>121</v>
      </c>
      <c r="M83" s="1" t="s">
        <v>121</v>
      </c>
      <c r="N83" s="1" t="s">
        <v>121</v>
      </c>
      <c r="O83" s="1" t="s">
        <v>121</v>
      </c>
      <c r="P83" s="1" t="s">
        <v>121</v>
      </c>
      <c r="Q83" s="1" t="s">
        <v>121</v>
      </c>
      <c r="R83" s="1" t="s">
        <v>121</v>
      </c>
      <c r="S83" s="1" t="s">
        <v>121</v>
      </c>
      <c r="T83" s="1" t="s">
        <v>121</v>
      </c>
      <c r="U83" s="1" t="s">
        <v>121</v>
      </c>
      <c r="V83" s="1" t="s">
        <v>121</v>
      </c>
      <c r="W83" s="1" t="s">
        <v>121</v>
      </c>
      <c r="X83" s="1" t="s">
        <v>121</v>
      </c>
      <c r="Y83" s="1" t="s">
        <v>121</v>
      </c>
      <c r="Z83" s="1" t="s">
        <v>121</v>
      </c>
      <c r="AA83" s="1" t="s">
        <v>121</v>
      </c>
      <c r="AB83" s="1" t="s">
        <v>121</v>
      </c>
      <c r="AC83" s="1" t="s">
        <v>121</v>
      </c>
      <c r="AD83" s="1" t="s">
        <v>121</v>
      </c>
      <c r="AE83" s="1" t="s">
        <v>121</v>
      </c>
      <c r="AF83" s="1" t="s">
        <v>121</v>
      </c>
      <c r="AG83" s="1" t="s">
        <v>121</v>
      </c>
      <c r="AH83" s="1" t="s">
        <v>121</v>
      </c>
      <c r="AI83" s="1" t="s">
        <v>121</v>
      </c>
      <c r="AJ83" s="1" t="s">
        <v>121</v>
      </c>
      <c r="AK83" s="1" t="s">
        <v>121</v>
      </c>
      <c r="AL83" s="1" t="s">
        <v>121</v>
      </c>
      <c r="AM83" s="1" t="s">
        <v>121</v>
      </c>
      <c r="AN83" s="1" t="s">
        <v>121</v>
      </c>
      <c r="AO83" s="1" t="s">
        <v>121</v>
      </c>
      <c r="AP83" s="1" t="s">
        <v>121</v>
      </c>
      <c r="AQ83" s="1" t="s">
        <v>121</v>
      </c>
      <c r="AR83" s="1" t="s">
        <v>121</v>
      </c>
      <c r="AS83" s="1" t="s">
        <v>121</v>
      </c>
      <c r="AT83" s="1" t="s">
        <v>121</v>
      </c>
      <c r="AU83" s="1" t="s">
        <v>121</v>
      </c>
      <c r="AV83" s="1" t="s">
        <v>121</v>
      </c>
      <c r="AW83" s="1" t="s">
        <v>121</v>
      </c>
      <c r="AX83" s="1" t="s">
        <v>121</v>
      </c>
      <c r="AY83" s="1" t="s">
        <v>121</v>
      </c>
      <c r="AZ83" s="1" t="s">
        <v>121</v>
      </c>
      <c r="BA83" s="11" t="s">
        <v>121</v>
      </c>
      <c r="BB83" s="11" t="s">
        <v>121</v>
      </c>
      <c r="BC83" s="11" t="s">
        <v>121</v>
      </c>
      <c r="BD83" s="11" t="s">
        <v>121</v>
      </c>
      <c r="BE83" s="11" t="s">
        <v>121</v>
      </c>
      <c r="BF83" s="11" t="s">
        <v>121</v>
      </c>
      <c r="BG83" s="11" t="s">
        <v>121</v>
      </c>
      <c r="BH83" s="11" t="s">
        <v>121</v>
      </c>
      <c r="BI83" s="11" t="s">
        <v>121</v>
      </c>
      <c r="BJ83" s="11" t="s">
        <v>121</v>
      </c>
      <c r="BK83" s="11" t="s">
        <v>121</v>
      </c>
      <c r="BL83" s="1" t="s">
        <v>121</v>
      </c>
      <c r="BM83" s="1" t="s">
        <v>121</v>
      </c>
      <c r="BN83" s="1" t="s">
        <v>121</v>
      </c>
      <c r="BO83" s="1" t="s">
        <v>121</v>
      </c>
      <c r="BP83" s="1" t="s">
        <v>121</v>
      </c>
      <c r="BQ83" s="1" t="s">
        <v>121</v>
      </c>
      <c r="BR83" s="1" t="s">
        <v>121</v>
      </c>
      <c r="BS83" s="1" t="s">
        <v>121</v>
      </c>
      <c r="BT83" s="1" t="s">
        <v>121</v>
      </c>
      <c r="BU83" s="1" t="s">
        <v>121</v>
      </c>
      <c r="BV83" s="1" t="s">
        <v>121</v>
      </c>
      <c r="BW83" s="1" t="s">
        <v>121</v>
      </c>
      <c r="BX83" s="1" t="s">
        <v>121</v>
      </c>
      <c r="BY83" s="1" t="s">
        <v>121</v>
      </c>
      <c r="BZ83" s="1" t="s">
        <v>121</v>
      </c>
      <c r="CA83" s="1" t="s">
        <v>121</v>
      </c>
      <c r="CB83" s="1" t="s">
        <v>121</v>
      </c>
      <c r="CC83" s="1" t="s">
        <v>121</v>
      </c>
      <c r="CD83" s="1" t="s">
        <v>121</v>
      </c>
      <c r="CE83" s="1" t="s">
        <v>121</v>
      </c>
      <c r="CF83" s="1" t="s">
        <v>121</v>
      </c>
      <c r="CG83" s="1" t="s">
        <v>121</v>
      </c>
      <c r="CH83" s="1" t="s">
        <v>121</v>
      </c>
      <c r="CI83" s="1" t="s">
        <v>121</v>
      </c>
      <c r="CJ83" s="1" t="s">
        <v>121</v>
      </c>
      <c r="CK83" s="1" t="s">
        <v>121</v>
      </c>
      <c r="CL83" s="1" t="s">
        <v>121</v>
      </c>
      <c r="CM83" s="1" t="s">
        <v>121</v>
      </c>
      <c r="CN83" s="1" t="s">
        <v>121</v>
      </c>
      <c r="CO83" s="1" t="s">
        <v>121</v>
      </c>
      <c r="CP83" s="1" t="s">
        <v>121</v>
      </c>
      <c r="CQ83" s="1" t="s">
        <v>121</v>
      </c>
      <c r="CR83" s="1" t="s">
        <v>121</v>
      </c>
      <c r="CS83" s="1" t="s">
        <v>121</v>
      </c>
      <c r="CT83" s="1" t="s">
        <v>121</v>
      </c>
      <c r="CU83" s="1" t="s">
        <v>121</v>
      </c>
      <c r="CV83" s="1" t="s">
        <v>121</v>
      </c>
      <c r="CW83" s="1" t="s">
        <v>121</v>
      </c>
      <c r="CX83" s="1" t="s">
        <v>121</v>
      </c>
      <c r="CY83" s="1" t="s">
        <v>121</v>
      </c>
      <c r="CZ83" s="1" t="s">
        <v>121</v>
      </c>
      <c r="DA83" s="1" t="s">
        <v>121</v>
      </c>
      <c r="DB83" s="1" t="s">
        <v>121</v>
      </c>
      <c r="DC83" s="1" t="s">
        <v>121</v>
      </c>
      <c r="DD83" s="1" t="s">
        <v>121</v>
      </c>
      <c r="DE83" s="1" t="s">
        <v>121</v>
      </c>
      <c r="DF83" s="1" t="s">
        <v>121</v>
      </c>
      <c r="DG83" s="1" t="s">
        <v>121</v>
      </c>
      <c r="DH83" s="1" t="s">
        <v>121</v>
      </c>
      <c r="DI83" s="1" t="s">
        <v>121</v>
      </c>
      <c r="DJ83" s="1" t="s">
        <v>121</v>
      </c>
      <c r="DK83" s="1" t="s">
        <v>121</v>
      </c>
      <c r="DL83" s="1" t="s">
        <v>121</v>
      </c>
      <c r="DM83" s="1" t="s">
        <v>121</v>
      </c>
      <c r="DN83" s="1" t="s">
        <v>121</v>
      </c>
      <c r="DO83" s="1" t="s">
        <v>121</v>
      </c>
      <c r="DP83" s="1" t="s">
        <v>121</v>
      </c>
      <c r="DQ83" s="1" t="s">
        <v>121</v>
      </c>
      <c r="DR83" s="1" t="s">
        <v>121</v>
      </c>
      <c r="DS83" s="1" t="s">
        <v>121</v>
      </c>
      <c r="DT83" s="1" t="s">
        <v>121</v>
      </c>
      <c r="DU83" s="1" t="s">
        <v>121</v>
      </c>
      <c r="DV83" s="1" t="s">
        <v>121</v>
      </c>
      <c r="DW83" s="1" t="s">
        <v>121</v>
      </c>
      <c r="DX83" s="1" t="s">
        <v>121</v>
      </c>
      <c r="DY83" s="1" t="s">
        <v>121</v>
      </c>
      <c r="DZ83" s="1" t="s">
        <v>121</v>
      </c>
      <c r="EA83" s="1" t="s">
        <v>121</v>
      </c>
      <c r="EB83" s="1" t="s">
        <v>121</v>
      </c>
      <c r="EC83" s="1" t="s">
        <v>121</v>
      </c>
      <c r="ED83" s="1" t="s">
        <v>121</v>
      </c>
      <c r="EE83" s="1" t="s">
        <v>121</v>
      </c>
      <c r="EF83" s="1" t="s">
        <v>121</v>
      </c>
      <c r="EG83" s="1" t="s">
        <v>121</v>
      </c>
      <c r="EH83" s="1" t="s">
        <v>121</v>
      </c>
      <c r="EI83" s="1" t="s">
        <v>121</v>
      </c>
      <c r="EJ83" s="1" t="s">
        <v>121</v>
      </c>
      <c r="EK83" s="1" t="s">
        <v>121</v>
      </c>
    </row>
    <row r="84" spans="1:141" x14ac:dyDescent="0.25">
      <c r="A84" s="72">
        <v>84</v>
      </c>
      <c r="B84" s="1" t="s">
        <v>121</v>
      </c>
      <c r="C84" s="1" t="s">
        <v>121</v>
      </c>
      <c r="D84" s="1" t="s">
        <v>121</v>
      </c>
      <c r="E84" s="1" t="s">
        <v>121</v>
      </c>
      <c r="F84" s="1" t="s">
        <v>121</v>
      </c>
      <c r="G84" s="1" t="s">
        <v>121</v>
      </c>
      <c r="H84" s="1" t="s">
        <v>121</v>
      </c>
      <c r="I84" s="1" t="s">
        <v>121</v>
      </c>
      <c r="J84" s="1" t="s">
        <v>121</v>
      </c>
      <c r="K84" s="1" t="s">
        <v>121</v>
      </c>
      <c r="L84" s="1" t="s">
        <v>121</v>
      </c>
      <c r="M84" s="1" t="s">
        <v>121</v>
      </c>
      <c r="N84" s="1" t="s">
        <v>121</v>
      </c>
      <c r="O84" s="1" t="s">
        <v>121</v>
      </c>
      <c r="P84" s="1" t="s">
        <v>121</v>
      </c>
      <c r="Q84" s="1" t="s">
        <v>121</v>
      </c>
      <c r="R84" s="1" t="s">
        <v>121</v>
      </c>
      <c r="S84" s="1" t="s">
        <v>121</v>
      </c>
      <c r="T84" s="1" t="s">
        <v>121</v>
      </c>
      <c r="U84" s="1" t="s">
        <v>121</v>
      </c>
      <c r="V84" s="1" t="s">
        <v>121</v>
      </c>
      <c r="W84" s="1" t="s">
        <v>121</v>
      </c>
      <c r="X84" s="1" t="s">
        <v>121</v>
      </c>
      <c r="Y84" s="1" t="s">
        <v>121</v>
      </c>
      <c r="Z84" s="1" t="s">
        <v>121</v>
      </c>
      <c r="AA84" s="1" t="s">
        <v>121</v>
      </c>
      <c r="AB84" s="1" t="s">
        <v>121</v>
      </c>
      <c r="AC84" s="1" t="s">
        <v>121</v>
      </c>
      <c r="AD84" s="1" t="s">
        <v>121</v>
      </c>
      <c r="AE84" s="1" t="s">
        <v>121</v>
      </c>
      <c r="AF84" s="1" t="s">
        <v>121</v>
      </c>
      <c r="AG84" s="1" t="s">
        <v>121</v>
      </c>
      <c r="AH84" s="1" t="s">
        <v>121</v>
      </c>
      <c r="AI84" s="1" t="s">
        <v>121</v>
      </c>
      <c r="AJ84" s="1" t="s">
        <v>121</v>
      </c>
      <c r="AK84" s="1" t="s">
        <v>121</v>
      </c>
      <c r="AL84" s="1" t="s">
        <v>121</v>
      </c>
      <c r="AM84" s="1" t="s">
        <v>121</v>
      </c>
      <c r="AN84" s="1" t="s">
        <v>121</v>
      </c>
      <c r="AO84" s="1" t="s">
        <v>121</v>
      </c>
      <c r="AP84" s="1" t="s">
        <v>121</v>
      </c>
      <c r="AQ84" s="1" t="s">
        <v>121</v>
      </c>
      <c r="AR84" s="1" t="s">
        <v>121</v>
      </c>
      <c r="AS84" s="1" t="s">
        <v>121</v>
      </c>
      <c r="AT84" s="1" t="s">
        <v>121</v>
      </c>
      <c r="AU84" s="1" t="s">
        <v>121</v>
      </c>
      <c r="AV84" s="1" t="s">
        <v>121</v>
      </c>
      <c r="AW84" s="1" t="s">
        <v>121</v>
      </c>
      <c r="AX84" s="1" t="s">
        <v>121</v>
      </c>
      <c r="AY84" s="1" t="s">
        <v>121</v>
      </c>
      <c r="AZ84" s="1" t="s">
        <v>121</v>
      </c>
      <c r="BA84" s="11" t="s">
        <v>121</v>
      </c>
      <c r="BB84" s="11" t="s">
        <v>121</v>
      </c>
      <c r="BC84" s="11" t="s">
        <v>121</v>
      </c>
      <c r="BD84" s="11" t="s">
        <v>121</v>
      </c>
      <c r="BE84" s="11" t="s">
        <v>121</v>
      </c>
      <c r="BF84" s="11" t="s">
        <v>121</v>
      </c>
      <c r="BG84" s="11" t="s">
        <v>121</v>
      </c>
      <c r="BH84" s="11" t="s">
        <v>121</v>
      </c>
      <c r="BI84" s="11" t="s">
        <v>121</v>
      </c>
      <c r="BJ84" s="11" t="s">
        <v>121</v>
      </c>
      <c r="BK84" s="11" t="s">
        <v>121</v>
      </c>
      <c r="BL84" s="1" t="s">
        <v>121</v>
      </c>
      <c r="BM84" s="1" t="s">
        <v>121</v>
      </c>
      <c r="BN84" s="1" t="s">
        <v>121</v>
      </c>
      <c r="BO84" s="1" t="s">
        <v>121</v>
      </c>
      <c r="BP84" s="1" t="s">
        <v>121</v>
      </c>
      <c r="BQ84" s="1" t="s">
        <v>121</v>
      </c>
      <c r="BR84" s="1" t="s">
        <v>121</v>
      </c>
      <c r="BS84" s="1" t="s">
        <v>121</v>
      </c>
      <c r="BT84" s="1" t="s">
        <v>121</v>
      </c>
      <c r="BU84" s="1" t="s">
        <v>121</v>
      </c>
      <c r="BV84" s="1" t="s">
        <v>121</v>
      </c>
      <c r="BW84" s="1" t="s">
        <v>121</v>
      </c>
      <c r="BX84" s="1" t="s">
        <v>121</v>
      </c>
      <c r="BY84" s="1" t="s">
        <v>121</v>
      </c>
      <c r="BZ84" s="1" t="s">
        <v>121</v>
      </c>
      <c r="CA84" s="1" t="s">
        <v>121</v>
      </c>
      <c r="CB84" s="1" t="s">
        <v>121</v>
      </c>
      <c r="CC84" s="1" t="s">
        <v>121</v>
      </c>
      <c r="CD84" s="1" t="s">
        <v>121</v>
      </c>
      <c r="CE84" s="1" t="s">
        <v>121</v>
      </c>
      <c r="CF84" s="1" t="s">
        <v>121</v>
      </c>
      <c r="CG84" s="1" t="s">
        <v>121</v>
      </c>
      <c r="CH84" s="1" t="s">
        <v>121</v>
      </c>
      <c r="CI84" s="1" t="s">
        <v>121</v>
      </c>
      <c r="CJ84" s="1" t="s">
        <v>121</v>
      </c>
      <c r="CK84" s="1" t="s">
        <v>121</v>
      </c>
      <c r="CL84" s="1" t="s">
        <v>121</v>
      </c>
      <c r="CM84" s="1" t="s">
        <v>121</v>
      </c>
      <c r="CN84" s="1" t="s">
        <v>121</v>
      </c>
      <c r="CO84" s="1" t="s">
        <v>121</v>
      </c>
      <c r="CP84" s="1" t="s">
        <v>121</v>
      </c>
      <c r="CQ84" s="1" t="s">
        <v>121</v>
      </c>
      <c r="CR84" s="1" t="s">
        <v>121</v>
      </c>
      <c r="CS84" s="1" t="s">
        <v>121</v>
      </c>
      <c r="CT84" s="1" t="s">
        <v>121</v>
      </c>
      <c r="CU84" s="1" t="s">
        <v>121</v>
      </c>
      <c r="CV84" s="1" t="s">
        <v>121</v>
      </c>
      <c r="CW84" s="1" t="s">
        <v>121</v>
      </c>
      <c r="CX84" s="1" t="s">
        <v>121</v>
      </c>
      <c r="CY84" s="1" t="s">
        <v>121</v>
      </c>
      <c r="CZ84" s="1" t="s">
        <v>121</v>
      </c>
      <c r="DA84" s="1" t="s">
        <v>121</v>
      </c>
      <c r="DB84" s="1" t="s">
        <v>121</v>
      </c>
      <c r="DC84" s="1" t="s">
        <v>121</v>
      </c>
      <c r="DD84" s="1" t="s">
        <v>121</v>
      </c>
      <c r="DE84" s="1" t="s">
        <v>121</v>
      </c>
      <c r="DF84" s="1" t="s">
        <v>121</v>
      </c>
      <c r="DG84" s="1" t="s">
        <v>121</v>
      </c>
      <c r="DH84" s="1" t="s">
        <v>121</v>
      </c>
      <c r="DI84" s="1" t="s">
        <v>121</v>
      </c>
      <c r="DJ84" s="1" t="s">
        <v>121</v>
      </c>
      <c r="DK84" s="1" t="s">
        <v>121</v>
      </c>
      <c r="DL84" s="1" t="s">
        <v>121</v>
      </c>
      <c r="DM84" s="1" t="s">
        <v>121</v>
      </c>
      <c r="DN84" s="1" t="s">
        <v>121</v>
      </c>
      <c r="DO84" s="1" t="s">
        <v>121</v>
      </c>
      <c r="DP84" s="1" t="s">
        <v>121</v>
      </c>
      <c r="DQ84" s="1" t="s">
        <v>121</v>
      </c>
      <c r="DR84" s="1" t="s">
        <v>121</v>
      </c>
      <c r="DS84" s="1" t="s">
        <v>121</v>
      </c>
      <c r="DT84" s="1" t="s">
        <v>121</v>
      </c>
      <c r="DU84" s="1" t="s">
        <v>121</v>
      </c>
      <c r="DV84" s="1" t="s">
        <v>121</v>
      </c>
      <c r="DW84" s="1" t="s">
        <v>121</v>
      </c>
      <c r="DX84" s="1" t="s">
        <v>121</v>
      </c>
      <c r="DY84" s="1" t="s">
        <v>121</v>
      </c>
      <c r="DZ84" s="1" t="s">
        <v>121</v>
      </c>
      <c r="EA84" s="1" t="s">
        <v>121</v>
      </c>
      <c r="EB84" s="1" t="s">
        <v>121</v>
      </c>
      <c r="EC84" s="1" t="s">
        <v>121</v>
      </c>
      <c r="ED84" s="1" t="s">
        <v>121</v>
      </c>
      <c r="EE84" s="1" t="s">
        <v>121</v>
      </c>
      <c r="EF84" s="1" t="s">
        <v>121</v>
      </c>
      <c r="EG84" s="1" t="s">
        <v>121</v>
      </c>
      <c r="EH84" s="1" t="s">
        <v>121</v>
      </c>
      <c r="EI84" s="1" t="s">
        <v>121</v>
      </c>
      <c r="EJ84" s="1" t="s">
        <v>121</v>
      </c>
      <c r="EK84" s="1" t="s">
        <v>121</v>
      </c>
    </row>
    <row r="85" spans="1:141" x14ac:dyDescent="0.25">
      <c r="A85" s="72">
        <v>85</v>
      </c>
      <c r="B85" s="431" t="s">
        <v>318</v>
      </c>
      <c r="C85" s="445" t="s">
        <v>121</v>
      </c>
      <c r="D85" s="215" t="s">
        <v>121</v>
      </c>
      <c r="E85" s="447" t="s">
        <v>121</v>
      </c>
      <c r="F85" s="416">
        <v>45930</v>
      </c>
      <c r="G85" s="416">
        <v>45838</v>
      </c>
      <c r="H85" s="416">
        <v>45747</v>
      </c>
      <c r="I85" s="416">
        <v>45657</v>
      </c>
      <c r="J85" s="416">
        <v>45565</v>
      </c>
      <c r="K85" s="416">
        <v>45473</v>
      </c>
      <c r="L85" s="416">
        <v>45382</v>
      </c>
      <c r="M85" s="416">
        <v>45291</v>
      </c>
      <c r="N85" s="416">
        <v>45199</v>
      </c>
      <c r="O85" s="416">
        <v>45107</v>
      </c>
      <c r="P85" s="416">
        <v>45016</v>
      </c>
      <c r="Q85" s="416">
        <v>44926</v>
      </c>
      <c r="R85" s="416">
        <v>44834</v>
      </c>
      <c r="S85" s="416">
        <v>44742</v>
      </c>
      <c r="T85" s="416">
        <v>44651</v>
      </c>
      <c r="U85" s="416">
        <v>44561</v>
      </c>
      <c r="V85" s="416">
        <v>44469</v>
      </c>
      <c r="W85" s="416">
        <v>44377</v>
      </c>
      <c r="X85" s="416">
        <v>44286</v>
      </c>
      <c r="Y85" s="416">
        <v>44196</v>
      </c>
      <c r="Z85" s="416">
        <v>44104</v>
      </c>
      <c r="AA85" s="416">
        <v>44012</v>
      </c>
      <c r="AB85" s="416">
        <v>43921</v>
      </c>
      <c r="AC85" s="416">
        <v>43830</v>
      </c>
      <c r="AD85" s="416">
        <v>43738</v>
      </c>
      <c r="AE85" s="416">
        <v>43646</v>
      </c>
      <c r="AF85" s="416">
        <v>43555</v>
      </c>
      <c r="AG85" s="416">
        <v>43465</v>
      </c>
      <c r="AH85" s="416">
        <v>43373</v>
      </c>
      <c r="AI85" s="416">
        <v>43281</v>
      </c>
      <c r="AJ85" s="416">
        <v>43190</v>
      </c>
      <c r="AK85" s="416">
        <v>43100</v>
      </c>
      <c r="AL85" s="416">
        <v>43008</v>
      </c>
      <c r="AM85" s="416">
        <v>42916</v>
      </c>
      <c r="AN85" s="416">
        <v>42825</v>
      </c>
      <c r="AO85" s="416">
        <v>42735</v>
      </c>
      <c r="AP85" s="416">
        <v>42643</v>
      </c>
      <c r="AQ85" s="416">
        <v>42551</v>
      </c>
      <c r="AR85" s="416">
        <v>42460</v>
      </c>
      <c r="AS85" s="416">
        <v>42369</v>
      </c>
      <c r="AT85" s="416">
        <v>42277</v>
      </c>
      <c r="AU85" s="416">
        <v>42185</v>
      </c>
      <c r="AV85" s="416">
        <v>42094</v>
      </c>
      <c r="AW85" s="416">
        <v>42004</v>
      </c>
      <c r="AX85" s="416">
        <v>41912</v>
      </c>
      <c r="AY85" s="429">
        <v>41820</v>
      </c>
      <c r="AZ85" s="429">
        <v>41729</v>
      </c>
      <c r="BA85" s="416">
        <v>41639</v>
      </c>
      <c r="BB85" s="416">
        <v>41547</v>
      </c>
      <c r="BC85" s="416">
        <v>41455</v>
      </c>
      <c r="BD85" s="416">
        <v>41364</v>
      </c>
      <c r="BE85" s="416">
        <v>41274</v>
      </c>
      <c r="BF85" s="416">
        <v>41182</v>
      </c>
      <c r="BG85" s="416">
        <v>41090</v>
      </c>
      <c r="BH85" s="416">
        <v>40999</v>
      </c>
      <c r="BI85" s="416">
        <v>40908</v>
      </c>
      <c r="BJ85" s="416">
        <v>40816</v>
      </c>
      <c r="BK85" s="416">
        <v>40724</v>
      </c>
      <c r="BL85" s="416">
        <v>40633</v>
      </c>
      <c r="BM85" s="1">
        <v>40543</v>
      </c>
      <c r="BN85" s="1">
        <v>40451</v>
      </c>
      <c r="BO85" s="1">
        <v>40359</v>
      </c>
      <c r="BP85" s="1">
        <v>40268</v>
      </c>
      <c r="BQ85" s="1">
        <v>40178</v>
      </c>
      <c r="BR85" s="1" t="s">
        <v>121</v>
      </c>
      <c r="BS85" s="1" t="s">
        <v>121</v>
      </c>
      <c r="BT85" s="1" t="s">
        <v>121</v>
      </c>
      <c r="BU85" s="1" t="s">
        <v>121</v>
      </c>
      <c r="BV85" s="1" t="s">
        <v>121</v>
      </c>
      <c r="BW85" s="1" t="s">
        <v>121</v>
      </c>
      <c r="BX85" s="1" t="s">
        <v>121</v>
      </c>
      <c r="BY85" s="1" t="s">
        <v>121</v>
      </c>
      <c r="BZ85" s="1" t="s">
        <v>121</v>
      </c>
      <c r="CA85" s="1" t="s">
        <v>121</v>
      </c>
      <c r="CB85" s="1" t="s">
        <v>121</v>
      </c>
      <c r="CC85" s="1" t="s">
        <v>121</v>
      </c>
      <c r="CD85" s="1" t="s">
        <v>121</v>
      </c>
      <c r="CE85" s="1" t="s">
        <v>121</v>
      </c>
      <c r="CF85" s="1" t="s">
        <v>121</v>
      </c>
      <c r="CG85" s="1" t="s">
        <v>121</v>
      </c>
      <c r="CH85" s="1" t="s">
        <v>121</v>
      </c>
      <c r="CI85" s="1" t="s">
        <v>121</v>
      </c>
      <c r="CJ85" s="1" t="s">
        <v>121</v>
      </c>
      <c r="CK85" s="1" t="s">
        <v>121</v>
      </c>
      <c r="CL85" s="1" t="s">
        <v>121</v>
      </c>
      <c r="CM85" s="1" t="s">
        <v>121</v>
      </c>
      <c r="CN85" s="1" t="s">
        <v>121</v>
      </c>
      <c r="CO85" s="1" t="s">
        <v>121</v>
      </c>
      <c r="CP85" s="1" t="s">
        <v>121</v>
      </c>
      <c r="CQ85" s="1" t="s">
        <v>121</v>
      </c>
      <c r="CR85" s="1" t="s">
        <v>121</v>
      </c>
      <c r="CS85" s="1" t="s">
        <v>121</v>
      </c>
      <c r="CT85" s="1" t="s">
        <v>121</v>
      </c>
      <c r="CU85" s="1" t="s">
        <v>121</v>
      </c>
      <c r="CV85" s="1" t="s">
        <v>121</v>
      </c>
      <c r="CW85" s="1" t="s">
        <v>121</v>
      </c>
      <c r="CX85" s="1" t="s">
        <v>121</v>
      </c>
      <c r="CY85" s="1" t="s">
        <v>121</v>
      </c>
      <c r="CZ85" s="1" t="s">
        <v>121</v>
      </c>
      <c r="DA85" s="1" t="s">
        <v>121</v>
      </c>
      <c r="DB85" s="1" t="s">
        <v>121</v>
      </c>
      <c r="DC85" s="1" t="s">
        <v>121</v>
      </c>
      <c r="DD85" s="1" t="s">
        <v>121</v>
      </c>
      <c r="DE85" s="1" t="s">
        <v>121</v>
      </c>
      <c r="DF85" s="1" t="s">
        <v>121</v>
      </c>
      <c r="DG85" s="1" t="s">
        <v>121</v>
      </c>
      <c r="DH85" s="1" t="s">
        <v>121</v>
      </c>
      <c r="DI85" s="1" t="s">
        <v>121</v>
      </c>
      <c r="DJ85" s="1" t="s">
        <v>121</v>
      </c>
      <c r="DK85" s="1" t="s">
        <v>121</v>
      </c>
      <c r="DL85" s="1" t="s">
        <v>121</v>
      </c>
      <c r="DM85" s="1" t="s">
        <v>121</v>
      </c>
      <c r="DN85" s="1" t="s">
        <v>121</v>
      </c>
      <c r="DO85" s="1" t="s">
        <v>121</v>
      </c>
      <c r="DP85" s="1" t="s">
        <v>121</v>
      </c>
      <c r="DQ85" s="1" t="s">
        <v>121</v>
      </c>
      <c r="DR85" s="1" t="s">
        <v>121</v>
      </c>
      <c r="DS85" s="1" t="s">
        <v>121</v>
      </c>
      <c r="DT85" s="1" t="s">
        <v>121</v>
      </c>
      <c r="DU85" s="1" t="s">
        <v>121</v>
      </c>
      <c r="DV85" s="1" t="s">
        <v>121</v>
      </c>
      <c r="DW85" s="1" t="s">
        <v>121</v>
      </c>
      <c r="DX85" s="1" t="s">
        <v>121</v>
      </c>
      <c r="DY85" s="1" t="s">
        <v>121</v>
      </c>
      <c r="DZ85" s="1" t="s">
        <v>121</v>
      </c>
      <c r="EA85" s="1" t="s">
        <v>121</v>
      </c>
      <c r="EB85" s="1" t="s">
        <v>121</v>
      </c>
      <c r="EC85" s="1" t="s">
        <v>121</v>
      </c>
      <c r="ED85" s="1" t="s">
        <v>121</v>
      </c>
      <c r="EE85" s="1" t="s">
        <v>121</v>
      </c>
      <c r="EF85" s="1" t="s">
        <v>121</v>
      </c>
      <c r="EG85" s="1" t="s">
        <v>121</v>
      </c>
      <c r="EH85" s="1" t="s">
        <v>121</v>
      </c>
      <c r="EI85" s="1" t="s">
        <v>121</v>
      </c>
      <c r="EJ85" s="1" t="s">
        <v>121</v>
      </c>
      <c r="EK85" s="1" t="s">
        <v>121</v>
      </c>
    </row>
    <row r="86" spans="1:141" x14ac:dyDescent="0.25">
      <c r="A86" s="72">
        <v>86</v>
      </c>
      <c r="B86" s="432"/>
      <c r="C86" s="446"/>
      <c r="D86" s="258"/>
      <c r="E86" s="448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8"/>
      <c r="V86" s="417"/>
      <c r="W86" s="418"/>
      <c r="X86" s="417"/>
      <c r="Y86" s="417"/>
      <c r="Z86" s="417"/>
      <c r="AA86" s="417"/>
      <c r="AB86" s="417"/>
      <c r="AC86" s="417"/>
      <c r="AD86" s="417"/>
      <c r="AE86" s="417"/>
      <c r="AF86" s="417"/>
      <c r="AG86" s="417"/>
      <c r="AH86" s="417"/>
      <c r="AI86" s="417"/>
      <c r="AJ86" s="417"/>
      <c r="AK86" s="417"/>
      <c r="AL86" s="417"/>
      <c r="AM86" s="417"/>
      <c r="AN86" s="417"/>
      <c r="AO86" s="417"/>
      <c r="AP86" s="417"/>
      <c r="AQ86" s="417"/>
      <c r="AR86" s="417"/>
      <c r="AS86" s="417"/>
      <c r="AT86" s="417"/>
      <c r="AU86" s="417"/>
      <c r="AV86" s="417"/>
      <c r="AW86" s="417"/>
      <c r="AX86" s="417"/>
      <c r="AY86" s="430"/>
      <c r="AZ86" s="430"/>
      <c r="BA86" s="417"/>
      <c r="BB86" s="417"/>
      <c r="BC86" s="417"/>
      <c r="BD86" s="417"/>
      <c r="BE86" s="417"/>
      <c r="BF86" s="417"/>
      <c r="BG86" s="417"/>
      <c r="BH86" s="417"/>
      <c r="BI86" s="417"/>
      <c r="BJ86" s="417"/>
      <c r="BK86" s="417"/>
      <c r="BL86" s="417"/>
    </row>
    <row r="87" spans="1:141" ht="9.75" customHeight="1" x14ac:dyDescent="0.25">
      <c r="A87" s="72">
        <v>87</v>
      </c>
      <c r="B87" s="1" t="s">
        <v>121</v>
      </c>
      <c r="C87" s="95" t="s">
        <v>121</v>
      </c>
      <c r="D87" s="39" t="s">
        <v>121</v>
      </c>
      <c r="E87" s="96" t="s">
        <v>121</v>
      </c>
      <c r="F87" s="39" t="s">
        <v>121</v>
      </c>
      <c r="G87" s="39" t="s">
        <v>121</v>
      </c>
      <c r="H87" s="39" t="s">
        <v>121</v>
      </c>
      <c r="I87" s="39" t="s">
        <v>121</v>
      </c>
      <c r="J87" s="39" t="s">
        <v>121</v>
      </c>
      <c r="K87" s="39" t="s">
        <v>121</v>
      </c>
      <c r="L87" s="39" t="s">
        <v>121</v>
      </c>
      <c r="M87" s="39" t="s">
        <v>121</v>
      </c>
      <c r="N87" s="39" t="s">
        <v>121</v>
      </c>
      <c r="O87" s="39" t="s">
        <v>121</v>
      </c>
      <c r="P87" s="39" t="s">
        <v>121</v>
      </c>
      <c r="Q87" s="39" t="s">
        <v>121</v>
      </c>
      <c r="R87" s="39" t="s">
        <v>121</v>
      </c>
      <c r="S87" s="39" t="s">
        <v>121</v>
      </c>
      <c r="T87" s="39" t="s">
        <v>121</v>
      </c>
      <c r="U87" s="39" t="s">
        <v>121</v>
      </c>
      <c r="V87" s="39" t="s">
        <v>121</v>
      </c>
      <c r="W87" s="39" t="s">
        <v>121</v>
      </c>
      <c r="X87" s="39" t="s">
        <v>121</v>
      </c>
      <c r="Y87" s="39" t="s">
        <v>121</v>
      </c>
      <c r="Z87" s="39" t="s">
        <v>121</v>
      </c>
      <c r="AA87" s="39" t="s">
        <v>121</v>
      </c>
      <c r="AB87" s="39" t="s">
        <v>121</v>
      </c>
      <c r="AC87" s="39" t="s">
        <v>121</v>
      </c>
      <c r="AD87" s="39" t="s">
        <v>121</v>
      </c>
      <c r="AE87" s="39" t="s">
        <v>121</v>
      </c>
      <c r="AF87" s="39" t="s">
        <v>121</v>
      </c>
      <c r="AG87" s="39" t="s">
        <v>121</v>
      </c>
      <c r="AH87" s="39" t="s">
        <v>121</v>
      </c>
      <c r="AI87" s="39" t="s">
        <v>121</v>
      </c>
      <c r="AJ87" s="39" t="s">
        <v>121</v>
      </c>
      <c r="AK87" s="39" t="s">
        <v>121</v>
      </c>
      <c r="AL87" s="39" t="s">
        <v>121</v>
      </c>
      <c r="AM87" s="39" t="s">
        <v>121</v>
      </c>
      <c r="AN87" s="39" t="s">
        <v>121</v>
      </c>
      <c r="AO87" s="39" t="s">
        <v>121</v>
      </c>
      <c r="AP87" s="39" t="s">
        <v>121</v>
      </c>
      <c r="AQ87" s="39" t="s">
        <v>121</v>
      </c>
      <c r="AR87" s="39" t="s">
        <v>121</v>
      </c>
      <c r="AS87" s="39" t="s">
        <v>121</v>
      </c>
      <c r="AT87" s="39" t="s">
        <v>121</v>
      </c>
      <c r="AU87" s="39" t="s">
        <v>121</v>
      </c>
      <c r="AV87" s="39" t="s">
        <v>121</v>
      </c>
      <c r="AW87" s="39" t="s">
        <v>121</v>
      </c>
      <c r="AX87" s="39" t="s">
        <v>121</v>
      </c>
      <c r="AY87" s="39" t="s">
        <v>121</v>
      </c>
      <c r="AZ87" s="1" t="s">
        <v>121</v>
      </c>
      <c r="BA87" s="1" t="s">
        <v>121</v>
      </c>
      <c r="BB87" s="1" t="s">
        <v>121</v>
      </c>
      <c r="BC87" s="1" t="s">
        <v>121</v>
      </c>
      <c r="BD87" s="1" t="s">
        <v>121</v>
      </c>
      <c r="BE87" s="1" t="s">
        <v>121</v>
      </c>
      <c r="BF87" s="1" t="s">
        <v>121</v>
      </c>
      <c r="BG87" s="1" t="s">
        <v>121</v>
      </c>
      <c r="BH87" s="1" t="s">
        <v>121</v>
      </c>
      <c r="BI87" s="1" t="s">
        <v>121</v>
      </c>
      <c r="BJ87" s="1" t="s">
        <v>121</v>
      </c>
      <c r="BK87" s="1" t="s">
        <v>121</v>
      </c>
      <c r="BL87" s="1" t="s">
        <v>121</v>
      </c>
      <c r="BM87" s="1" t="s">
        <v>121</v>
      </c>
      <c r="BN87" s="1" t="s">
        <v>121</v>
      </c>
      <c r="BO87" s="1" t="s">
        <v>121</v>
      </c>
      <c r="BP87" s="1" t="s">
        <v>121</v>
      </c>
      <c r="BQ87" s="1" t="s">
        <v>121</v>
      </c>
      <c r="BR87" s="1" t="s">
        <v>121</v>
      </c>
      <c r="BS87" s="1" t="s">
        <v>121</v>
      </c>
      <c r="BT87" s="1" t="s">
        <v>121</v>
      </c>
      <c r="BU87" s="1" t="s">
        <v>121</v>
      </c>
      <c r="BV87" s="1" t="s">
        <v>121</v>
      </c>
      <c r="BW87" s="1" t="s">
        <v>121</v>
      </c>
      <c r="BX87" s="1" t="s">
        <v>121</v>
      </c>
      <c r="BY87" s="1" t="s">
        <v>121</v>
      </c>
      <c r="BZ87" s="1" t="s">
        <v>121</v>
      </c>
      <c r="CA87" s="1" t="s">
        <v>121</v>
      </c>
      <c r="CB87" s="1" t="s">
        <v>121</v>
      </c>
      <c r="CC87" s="1" t="s">
        <v>121</v>
      </c>
      <c r="CD87" s="1" t="s">
        <v>121</v>
      </c>
      <c r="CE87" s="1" t="s">
        <v>121</v>
      </c>
      <c r="CF87" s="1" t="s">
        <v>121</v>
      </c>
      <c r="CG87" s="1" t="s">
        <v>121</v>
      </c>
      <c r="CH87" s="1" t="s">
        <v>121</v>
      </c>
      <c r="CI87" s="1" t="s">
        <v>121</v>
      </c>
      <c r="CJ87" s="1" t="s">
        <v>121</v>
      </c>
      <c r="CK87" s="1" t="s">
        <v>121</v>
      </c>
      <c r="CL87" s="1" t="s">
        <v>121</v>
      </c>
      <c r="CM87" s="1" t="s">
        <v>121</v>
      </c>
      <c r="CN87" s="1" t="s">
        <v>121</v>
      </c>
      <c r="CO87" s="1" t="s">
        <v>121</v>
      </c>
      <c r="CP87" s="1" t="s">
        <v>121</v>
      </c>
      <c r="CQ87" s="1" t="s">
        <v>121</v>
      </c>
      <c r="CR87" s="1" t="s">
        <v>121</v>
      </c>
      <c r="CS87" s="1" t="s">
        <v>121</v>
      </c>
      <c r="CT87" s="1" t="s">
        <v>121</v>
      </c>
      <c r="CU87" s="1" t="s">
        <v>121</v>
      </c>
      <c r="CV87" s="1" t="s">
        <v>121</v>
      </c>
      <c r="CW87" s="1" t="s">
        <v>121</v>
      </c>
      <c r="CX87" s="1" t="s">
        <v>121</v>
      </c>
      <c r="CY87" s="1" t="s">
        <v>121</v>
      </c>
      <c r="CZ87" s="1" t="s">
        <v>121</v>
      </c>
      <c r="DA87" s="1" t="s">
        <v>121</v>
      </c>
      <c r="DB87" s="1" t="s">
        <v>121</v>
      </c>
      <c r="DC87" s="1" t="s">
        <v>121</v>
      </c>
      <c r="DD87" s="1" t="s">
        <v>121</v>
      </c>
      <c r="DE87" s="1" t="s">
        <v>121</v>
      </c>
      <c r="DF87" s="1" t="s">
        <v>121</v>
      </c>
      <c r="DG87" s="1" t="s">
        <v>121</v>
      </c>
      <c r="DH87" s="1" t="s">
        <v>121</v>
      </c>
      <c r="DI87" s="1" t="s">
        <v>121</v>
      </c>
      <c r="DJ87" s="1" t="s">
        <v>121</v>
      </c>
      <c r="DK87" s="1" t="s">
        <v>121</v>
      </c>
      <c r="DL87" s="1" t="s">
        <v>121</v>
      </c>
      <c r="DM87" s="1" t="s">
        <v>121</v>
      </c>
      <c r="DN87" s="1" t="s">
        <v>121</v>
      </c>
      <c r="DO87" s="1" t="s">
        <v>121</v>
      </c>
      <c r="DP87" s="1" t="s">
        <v>121</v>
      </c>
      <c r="DQ87" s="1" t="s">
        <v>121</v>
      </c>
      <c r="DR87" s="1" t="s">
        <v>121</v>
      </c>
      <c r="DS87" s="1" t="s">
        <v>121</v>
      </c>
      <c r="DT87" s="1" t="s">
        <v>121</v>
      </c>
      <c r="DU87" s="1" t="s">
        <v>121</v>
      </c>
      <c r="DV87" s="1" t="s">
        <v>121</v>
      </c>
      <c r="DW87" s="1" t="s">
        <v>121</v>
      </c>
      <c r="DX87" s="1" t="s">
        <v>121</v>
      </c>
      <c r="DY87" s="1" t="s">
        <v>121</v>
      </c>
      <c r="DZ87" s="1" t="s">
        <v>121</v>
      </c>
      <c r="EA87" s="1" t="s">
        <v>121</v>
      </c>
      <c r="EB87" s="1" t="s">
        <v>121</v>
      </c>
      <c r="EC87" s="1" t="s">
        <v>121</v>
      </c>
      <c r="ED87" s="1" t="s">
        <v>121</v>
      </c>
      <c r="EE87" s="1" t="s">
        <v>121</v>
      </c>
      <c r="EF87" s="1" t="s">
        <v>121</v>
      </c>
      <c r="EG87" s="1" t="s">
        <v>121</v>
      </c>
      <c r="EH87" s="1" t="s">
        <v>121</v>
      </c>
      <c r="EI87" s="1" t="s">
        <v>121</v>
      </c>
      <c r="EJ87" s="1" t="s">
        <v>121</v>
      </c>
      <c r="EK87" s="1" t="s">
        <v>121</v>
      </c>
    </row>
    <row r="88" spans="1:141" x14ac:dyDescent="0.25">
      <c r="A88" s="72">
        <v>88</v>
      </c>
      <c r="B88" s="5" t="s">
        <v>287</v>
      </c>
      <c r="C88" s="97" t="s">
        <v>121</v>
      </c>
      <c r="D88" s="40" t="s">
        <v>121</v>
      </c>
      <c r="E88" s="98" t="s">
        <v>121</v>
      </c>
      <c r="F88" s="13">
        <v>0.18726654858781985</v>
      </c>
      <c r="G88" s="13">
        <v>0.20457098242832544</v>
      </c>
      <c r="H88" s="13">
        <v>0.14430018595001565</v>
      </c>
      <c r="I88" s="13">
        <v>0.16727857137833294</v>
      </c>
      <c r="J88" s="13">
        <v>0.17791779929599519</v>
      </c>
      <c r="K88" s="13">
        <v>0.18592203200595459</v>
      </c>
      <c r="L88" s="13">
        <v>0.1480759050613909</v>
      </c>
      <c r="M88" s="13">
        <v>0.19725584553892833</v>
      </c>
      <c r="N88" s="13">
        <v>0.15174418544464124</v>
      </c>
      <c r="O88" s="13">
        <v>0.10294117647058823</v>
      </c>
      <c r="P88" s="13">
        <v>8.0856251568718854E-2</v>
      </c>
      <c r="Q88" s="13">
        <v>2.3844046851711306E-2</v>
      </c>
      <c r="R88" s="404"/>
      <c r="S88" s="404"/>
      <c r="T88" s="404"/>
      <c r="U88" s="13">
        <v>0.2111261340996313</v>
      </c>
      <c r="V88" s="13">
        <v>0.20979792253645557</v>
      </c>
      <c r="W88" s="13">
        <v>0.18010202966289082</v>
      </c>
      <c r="X88" s="13">
        <v>0.18585372181260842</v>
      </c>
      <c r="Y88" s="13">
        <v>0.19321526046010351</v>
      </c>
      <c r="Z88" s="13">
        <v>0.1861581830326384</v>
      </c>
      <c r="AA88" s="13">
        <v>0.19891074055779584</v>
      </c>
      <c r="AB88" s="13">
        <v>0.1911981766250615</v>
      </c>
      <c r="AC88" s="13">
        <v>0.23538406285724572</v>
      </c>
      <c r="AD88" s="13">
        <v>0.21821527541459726</v>
      </c>
      <c r="AE88" s="13">
        <v>0.24161013602742495</v>
      </c>
      <c r="AF88" s="13">
        <v>0.21033905652985041</v>
      </c>
      <c r="AG88" s="13">
        <v>0.21950953093443207</v>
      </c>
      <c r="AH88" s="13">
        <v>0.2166718365848575</v>
      </c>
      <c r="AI88" s="13">
        <v>0.25084754599652276</v>
      </c>
      <c r="AJ88" s="13">
        <v>0.26041320776826415</v>
      </c>
      <c r="AK88" s="13">
        <v>0.24540237346025925</v>
      </c>
      <c r="AL88" s="13">
        <v>0.25110826928070307</v>
      </c>
      <c r="AM88" s="13">
        <v>0.26432351718967995</v>
      </c>
      <c r="AN88" s="13">
        <v>0.24668935832308592</v>
      </c>
      <c r="AO88" s="13">
        <v>0.22699396843826664</v>
      </c>
      <c r="AP88" s="13">
        <v>0.23733988340777928</v>
      </c>
      <c r="AQ88" s="13">
        <v>0.26717387241079787</v>
      </c>
      <c r="AR88" s="13">
        <v>0.26265155366803683</v>
      </c>
      <c r="AS88" s="13">
        <v>0.2405910707966864</v>
      </c>
      <c r="AT88" s="13">
        <v>0.21523515433829035</v>
      </c>
      <c r="AU88" s="13">
        <v>0.23429764663274313</v>
      </c>
      <c r="AV88" s="13">
        <v>0.22303010725742003</v>
      </c>
      <c r="AW88" s="13">
        <v>0.19669605156363548</v>
      </c>
      <c r="AX88" s="13">
        <v>0.18674934588278996</v>
      </c>
      <c r="AY88" s="13">
        <v>0.20456170302908991</v>
      </c>
      <c r="AZ88" s="13">
        <v>0.17480332891952458</v>
      </c>
      <c r="BA88" s="13">
        <v>0.17229394863546751</v>
      </c>
      <c r="BB88" s="13">
        <v>0.16638632437765191</v>
      </c>
      <c r="BC88" s="13">
        <v>0.1465888215292101</v>
      </c>
      <c r="BD88" s="13">
        <v>0.12302136131299657</v>
      </c>
      <c r="BE88" s="13">
        <v>0.14871748361772716</v>
      </c>
      <c r="BF88" s="13">
        <v>8.4432426263354662E-2</v>
      </c>
      <c r="BG88" s="13">
        <v>0.14212569441014916</v>
      </c>
      <c r="BH88" s="13">
        <v>0.15151735182359841</v>
      </c>
      <c r="BI88" s="13">
        <v>8.2412538306949459E-2</v>
      </c>
      <c r="BJ88" s="13">
        <v>5.0834906668480624E-2</v>
      </c>
      <c r="BK88" s="13">
        <v>6.1780143290308245E-2</v>
      </c>
      <c r="BL88" s="13">
        <v>7.8074799632435757E-2</v>
      </c>
      <c r="BM88" s="1">
        <v>4.1548171579073485E-2</v>
      </c>
      <c r="BN88" s="1">
        <v>6.6333857012123701E-2</v>
      </c>
      <c r="BO88" s="1">
        <v>8.2360547502428633E-2</v>
      </c>
      <c r="BP88" s="1">
        <v>8.4478930332831464E-2</v>
      </c>
      <c r="BQ88" s="1">
        <v>6.7917713929090351E-2</v>
      </c>
      <c r="BR88" s="1" t="s">
        <v>121</v>
      </c>
      <c r="BS88" s="1" t="s">
        <v>121</v>
      </c>
      <c r="BT88" s="1" t="s">
        <v>121</v>
      </c>
      <c r="BU88" s="1" t="s">
        <v>121</v>
      </c>
      <c r="BV88" s="1" t="s">
        <v>121</v>
      </c>
      <c r="BW88" s="1" t="s">
        <v>121</v>
      </c>
      <c r="BX88" s="1" t="s">
        <v>121</v>
      </c>
      <c r="BY88" s="1" t="s">
        <v>121</v>
      </c>
      <c r="BZ88" s="1" t="s">
        <v>121</v>
      </c>
      <c r="CA88" s="1" t="s">
        <v>121</v>
      </c>
      <c r="CB88" s="1" t="s">
        <v>121</v>
      </c>
      <c r="CC88" s="1" t="s">
        <v>121</v>
      </c>
      <c r="CD88" s="1" t="s">
        <v>121</v>
      </c>
      <c r="CE88" s="1" t="s">
        <v>121</v>
      </c>
      <c r="CF88" s="1" t="s">
        <v>121</v>
      </c>
      <c r="CG88" s="1" t="s">
        <v>121</v>
      </c>
      <c r="CH88" s="1" t="s">
        <v>121</v>
      </c>
      <c r="CI88" s="1" t="s">
        <v>121</v>
      </c>
      <c r="CJ88" s="1" t="s">
        <v>121</v>
      </c>
      <c r="CK88" s="1" t="s">
        <v>121</v>
      </c>
      <c r="CL88" s="1" t="s">
        <v>121</v>
      </c>
      <c r="CM88" s="1" t="s">
        <v>121</v>
      </c>
      <c r="CN88" s="1" t="s">
        <v>121</v>
      </c>
      <c r="CO88" s="1" t="s">
        <v>121</v>
      </c>
      <c r="CP88" s="1" t="s">
        <v>121</v>
      </c>
      <c r="CQ88" s="1" t="s">
        <v>121</v>
      </c>
      <c r="CR88" s="1" t="s">
        <v>121</v>
      </c>
      <c r="CS88" s="1" t="s">
        <v>121</v>
      </c>
      <c r="CT88" s="1" t="s">
        <v>121</v>
      </c>
      <c r="CU88" s="1" t="s">
        <v>121</v>
      </c>
      <c r="CV88" s="1" t="s">
        <v>121</v>
      </c>
      <c r="CW88" s="1" t="s">
        <v>121</v>
      </c>
      <c r="CX88" s="1" t="s">
        <v>121</v>
      </c>
      <c r="CY88" s="1" t="s">
        <v>121</v>
      </c>
      <c r="CZ88" s="1" t="s">
        <v>121</v>
      </c>
      <c r="DA88" s="1" t="s">
        <v>121</v>
      </c>
      <c r="DB88" s="1" t="s">
        <v>121</v>
      </c>
      <c r="DC88" s="1" t="s">
        <v>121</v>
      </c>
      <c r="DD88" s="1" t="s">
        <v>121</v>
      </c>
      <c r="DE88" s="1" t="s">
        <v>121</v>
      </c>
      <c r="DF88" s="1" t="s">
        <v>121</v>
      </c>
      <c r="DG88" s="1" t="s">
        <v>121</v>
      </c>
      <c r="DH88" s="1" t="s">
        <v>121</v>
      </c>
      <c r="DI88" s="1" t="s">
        <v>121</v>
      </c>
      <c r="DJ88" s="1" t="s">
        <v>121</v>
      </c>
      <c r="DK88" s="1" t="s">
        <v>121</v>
      </c>
      <c r="DL88" s="1" t="s">
        <v>121</v>
      </c>
      <c r="DM88" s="1" t="s">
        <v>121</v>
      </c>
      <c r="DN88" s="1" t="s">
        <v>121</v>
      </c>
      <c r="DO88" s="1" t="s">
        <v>121</v>
      </c>
      <c r="DP88" s="1" t="s">
        <v>121</v>
      </c>
      <c r="DQ88" s="1" t="s">
        <v>121</v>
      </c>
      <c r="DR88" s="1" t="s">
        <v>121</v>
      </c>
      <c r="DS88" s="1" t="s">
        <v>121</v>
      </c>
      <c r="DT88" s="1" t="s">
        <v>121</v>
      </c>
      <c r="DU88" s="1" t="s">
        <v>121</v>
      </c>
      <c r="DV88" s="1" t="s">
        <v>121</v>
      </c>
      <c r="DW88" s="1" t="s">
        <v>121</v>
      </c>
      <c r="DX88" s="1" t="s">
        <v>121</v>
      </c>
      <c r="DY88" s="1" t="s">
        <v>121</v>
      </c>
      <c r="DZ88" s="1" t="s">
        <v>121</v>
      </c>
      <c r="EA88" s="1" t="s">
        <v>121</v>
      </c>
      <c r="EB88" s="1" t="s">
        <v>121</v>
      </c>
      <c r="EC88" s="1" t="s">
        <v>121</v>
      </c>
      <c r="ED88" s="1" t="s">
        <v>121</v>
      </c>
      <c r="EE88" s="1" t="s">
        <v>121</v>
      </c>
      <c r="EF88" s="1" t="s">
        <v>121</v>
      </c>
      <c r="EG88" s="1" t="s">
        <v>121</v>
      </c>
      <c r="EH88" s="1" t="s">
        <v>121</v>
      </c>
      <c r="EI88" s="1" t="s">
        <v>121</v>
      </c>
      <c r="EJ88" s="1" t="s">
        <v>121</v>
      </c>
      <c r="EK88" s="1" t="s">
        <v>121</v>
      </c>
    </row>
    <row r="89" spans="1:141" x14ac:dyDescent="0.25">
      <c r="A89" s="72">
        <v>89</v>
      </c>
      <c r="B89" s="5" t="s">
        <v>1</v>
      </c>
      <c r="C89" s="97" t="s">
        <v>121</v>
      </c>
      <c r="D89" s="40" t="s">
        <v>121</v>
      </c>
      <c r="E89" s="98" t="s">
        <v>121</v>
      </c>
      <c r="F89" s="13">
        <v>0.63279843172375161</v>
      </c>
      <c r="G89" s="13">
        <v>0.60446768068425027</v>
      </c>
      <c r="H89" s="13">
        <v>0.63703449084156816</v>
      </c>
      <c r="I89" s="13">
        <v>0.6292384951364125</v>
      </c>
      <c r="J89" s="13">
        <v>0.59687582206967393</v>
      </c>
      <c r="K89" s="13">
        <v>0.60888630442873093</v>
      </c>
      <c r="L89" s="13">
        <v>0.64025291152442199</v>
      </c>
      <c r="M89" s="13">
        <v>0.61581080902145269</v>
      </c>
      <c r="N89" s="13">
        <v>0.63383855376037412</v>
      </c>
      <c r="O89" s="13">
        <v>0.67278076555112809</v>
      </c>
      <c r="P89" s="13">
        <v>0.70261871466647541</v>
      </c>
      <c r="Q89" s="13">
        <v>0.77033320664483174</v>
      </c>
      <c r="R89" s="404"/>
      <c r="S89" s="404"/>
      <c r="T89" s="404"/>
      <c r="U89" s="13">
        <v>0.63418688179251459</v>
      </c>
      <c r="V89" s="13">
        <v>0.63890941905824705</v>
      </c>
      <c r="W89" s="13">
        <v>0.66774053546783751</v>
      </c>
      <c r="X89" s="13">
        <v>0.66402922647162455</v>
      </c>
      <c r="Y89" s="13">
        <v>0.65605900630899705</v>
      </c>
      <c r="Z89" s="13">
        <v>0.65879543941122642</v>
      </c>
      <c r="AA89" s="13">
        <v>0.64383299038718766</v>
      </c>
      <c r="AB89" s="13">
        <v>0.65011010645690026</v>
      </c>
      <c r="AC89" s="13">
        <v>0.61986756949362221</v>
      </c>
      <c r="AD89" s="13">
        <v>0.63571565352136428</v>
      </c>
      <c r="AE89" s="13">
        <v>0.60803547971549754</v>
      </c>
      <c r="AF89" s="13">
        <v>0.62276862532159094</v>
      </c>
      <c r="AG89" s="13">
        <v>0.61592478324685362</v>
      </c>
      <c r="AH89" s="13">
        <v>0.62004227960809222</v>
      </c>
      <c r="AI89" s="13">
        <v>0.60107380325227167</v>
      </c>
      <c r="AJ89" s="13">
        <v>0.58639044589830702</v>
      </c>
      <c r="AK89" s="13">
        <v>0.59358973464710663</v>
      </c>
      <c r="AL89" s="13">
        <v>0.58607237650825206</v>
      </c>
      <c r="AM89" s="13">
        <v>0.57667737400853591</v>
      </c>
      <c r="AN89" s="13">
        <v>0.59351168531598442</v>
      </c>
      <c r="AO89" s="13">
        <v>0.6166376833332553</v>
      </c>
      <c r="AP89" s="13">
        <v>0.61043230259409142</v>
      </c>
      <c r="AQ89" s="13">
        <v>0.5904039094385497</v>
      </c>
      <c r="AR89" s="13">
        <v>0.5878014478192215</v>
      </c>
      <c r="AS89" s="13">
        <v>0.60978491035900328</v>
      </c>
      <c r="AT89" s="13">
        <v>0.62246185802190479</v>
      </c>
      <c r="AU89" s="13">
        <v>0.60406862682036111</v>
      </c>
      <c r="AV89" s="13">
        <v>0.60887731108855392</v>
      </c>
      <c r="AW89" s="13">
        <v>0.62286733429812091</v>
      </c>
      <c r="AX89" s="13">
        <v>0.6345086193461581</v>
      </c>
      <c r="AY89" s="13">
        <v>0.60827465468015274</v>
      </c>
      <c r="AZ89" s="13">
        <v>0.6365990938494086</v>
      </c>
      <c r="BA89" s="13">
        <v>0.63903363069955155</v>
      </c>
      <c r="BB89" s="13">
        <v>0.65045430534236137</v>
      </c>
      <c r="BC89" s="13">
        <v>0.6642811973295667</v>
      </c>
      <c r="BD89" s="13">
        <v>0.67689362585465862</v>
      </c>
      <c r="BE89" s="13">
        <v>0.64901247354636948</v>
      </c>
      <c r="BF89" s="13">
        <v>0.70832884895896753</v>
      </c>
      <c r="BG89" s="13">
        <v>0.66608825358948764</v>
      </c>
      <c r="BH89" s="13">
        <v>0.6588551522180176</v>
      </c>
      <c r="BI89" s="13">
        <v>0.71525879657934555</v>
      </c>
      <c r="BJ89" s="13">
        <v>0.72576339942844548</v>
      </c>
      <c r="BK89" s="13">
        <v>0.72667149427897459</v>
      </c>
      <c r="BL89" s="13">
        <v>0.70816152531768473</v>
      </c>
      <c r="BM89" s="1">
        <v>0.74162309105183766</v>
      </c>
      <c r="BN89" s="1">
        <v>0.72361953762731679</v>
      </c>
      <c r="BO89" s="1">
        <v>0.73176324868284426</v>
      </c>
      <c r="BP89" s="1">
        <v>0.74521455385015145</v>
      </c>
      <c r="BQ89" s="1">
        <v>0.76882930230145763</v>
      </c>
      <c r="BR89" s="1" t="s">
        <v>121</v>
      </c>
      <c r="BS89" s="1" t="s">
        <v>121</v>
      </c>
      <c r="BT89" s="1" t="s">
        <v>121</v>
      </c>
      <c r="BU89" s="1" t="s">
        <v>121</v>
      </c>
      <c r="BV89" s="1" t="s">
        <v>121</v>
      </c>
      <c r="BW89" s="1" t="s">
        <v>121</v>
      </c>
      <c r="BX89" s="1" t="s">
        <v>121</v>
      </c>
      <c r="BY89" s="1" t="s">
        <v>121</v>
      </c>
      <c r="BZ89" s="1" t="s">
        <v>121</v>
      </c>
      <c r="CA89" s="1" t="s">
        <v>121</v>
      </c>
      <c r="CB89" s="1" t="s">
        <v>121</v>
      </c>
      <c r="CC89" s="1" t="s">
        <v>121</v>
      </c>
      <c r="CD89" s="1" t="s">
        <v>121</v>
      </c>
      <c r="CE89" s="1" t="s">
        <v>121</v>
      </c>
      <c r="CF89" s="1" t="s">
        <v>121</v>
      </c>
      <c r="CG89" s="1" t="s">
        <v>121</v>
      </c>
      <c r="CH89" s="1" t="s">
        <v>121</v>
      </c>
      <c r="CI89" s="1" t="s">
        <v>121</v>
      </c>
      <c r="CJ89" s="1" t="s">
        <v>121</v>
      </c>
      <c r="CK89" s="1" t="s">
        <v>121</v>
      </c>
      <c r="CL89" s="1" t="s">
        <v>121</v>
      </c>
      <c r="CM89" s="1" t="s">
        <v>121</v>
      </c>
      <c r="CN89" s="1" t="s">
        <v>121</v>
      </c>
      <c r="CO89" s="1" t="s">
        <v>121</v>
      </c>
      <c r="CP89" s="1" t="s">
        <v>121</v>
      </c>
      <c r="CQ89" s="1" t="s">
        <v>121</v>
      </c>
      <c r="CR89" s="1" t="s">
        <v>121</v>
      </c>
      <c r="CS89" s="1" t="s">
        <v>121</v>
      </c>
      <c r="CT89" s="1" t="s">
        <v>121</v>
      </c>
      <c r="CU89" s="1" t="s">
        <v>121</v>
      </c>
      <c r="CV89" s="1" t="s">
        <v>121</v>
      </c>
      <c r="CW89" s="1" t="s">
        <v>121</v>
      </c>
      <c r="CX89" s="1" t="s">
        <v>121</v>
      </c>
      <c r="CY89" s="1" t="s">
        <v>121</v>
      </c>
      <c r="CZ89" s="1" t="s">
        <v>121</v>
      </c>
      <c r="DA89" s="1" t="s">
        <v>121</v>
      </c>
      <c r="DB89" s="1" t="s">
        <v>121</v>
      </c>
      <c r="DC89" s="1" t="s">
        <v>121</v>
      </c>
      <c r="DD89" s="1" t="s">
        <v>121</v>
      </c>
      <c r="DE89" s="1" t="s">
        <v>121</v>
      </c>
      <c r="DF89" s="1" t="s">
        <v>121</v>
      </c>
      <c r="DG89" s="1" t="s">
        <v>121</v>
      </c>
      <c r="DH89" s="1" t="s">
        <v>121</v>
      </c>
      <c r="DI89" s="1" t="s">
        <v>121</v>
      </c>
      <c r="DJ89" s="1" t="s">
        <v>121</v>
      </c>
      <c r="DK89" s="1" t="s">
        <v>121</v>
      </c>
      <c r="DL89" s="1" t="s">
        <v>121</v>
      </c>
      <c r="DM89" s="1" t="s">
        <v>121</v>
      </c>
      <c r="DN89" s="1" t="s">
        <v>121</v>
      </c>
      <c r="DO89" s="1" t="s">
        <v>121</v>
      </c>
      <c r="DP89" s="1" t="s">
        <v>121</v>
      </c>
      <c r="DQ89" s="1" t="s">
        <v>121</v>
      </c>
      <c r="DR89" s="1" t="s">
        <v>121</v>
      </c>
      <c r="DS89" s="1" t="s">
        <v>121</v>
      </c>
      <c r="DT89" s="1" t="s">
        <v>121</v>
      </c>
      <c r="DU89" s="1" t="s">
        <v>121</v>
      </c>
      <c r="DV89" s="1" t="s">
        <v>121</v>
      </c>
      <c r="DW89" s="1" t="s">
        <v>121</v>
      </c>
      <c r="DX89" s="1" t="s">
        <v>121</v>
      </c>
      <c r="DY89" s="1" t="s">
        <v>121</v>
      </c>
      <c r="DZ89" s="1" t="s">
        <v>121</v>
      </c>
      <c r="EA89" s="1" t="s">
        <v>121</v>
      </c>
      <c r="EB89" s="1" t="s">
        <v>121</v>
      </c>
      <c r="EC89" s="1" t="s">
        <v>121</v>
      </c>
      <c r="ED89" s="1" t="s">
        <v>121</v>
      </c>
      <c r="EE89" s="1" t="s">
        <v>121</v>
      </c>
      <c r="EF89" s="1" t="s">
        <v>121</v>
      </c>
      <c r="EG89" s="1" t="s">
        <v>121</v>
      </c>
      <c r="EH89" s="1" t="s">
        <v>121</v>
      </c>
      <c r="EI89" s="1" t="s">
        <v>121</v>
      </c>
      <c r="EJ89" s="1" t="s">
        <v>121</v>
      </c>
      <c r="EK89" s="1" t="s">
        <v>121</v>
      </c>
    </row>
    <row r="90" spans="1:141" x14ac:dyDescent="0.25">
      <c r="A90" s="72">
        <v>90</v>
      </c>
      <c r="B90" s="43" t="s">
        <v>319</v>
      </c>
      <c r="C90" s="99" t="s">
        <v>121</v>
      </c>
      <c r="D90" s="43" t="s">
        <v>121</v>
      </c>
      <c r="E90" s="100" t="s">
        <v>121</v>
      </c>
      <c r="F90" s="50">
        <v>0.26920720916433721</v>
      </c>
      <c r="G90" s="50">
        <v>0.21592698945667593</v>
      </c>
      <c r="H90" s="50">
        <v>0.23283460944374182</v>
      </c>
      <c r="I90" s="50">
        <v>0.24554083233107563</v>
      </c>
      <c r="J90" s="50">
        <v>0.23568261774928526</v>
      </c>
      <c r="K90" s="50">
        <v>0.24199851135094902</v>
      </c>
      <c r="L90" s="50">
        <v>0.24493248581767615</v>
      </c>
      <c r="M90" s="50">
        <v>0.24166132287652914</v>
      </c>
      <c r="N90" s="50">
        <v>0.2546364783572348</v>
      </c>
      <c r="O90" s="50">
        <v>0.27545490010310142</v>
      </c>
      <c r="P90" s="50">
        <v>0.30786331528559646</v>
      </c>
      <c r="Q90" s="50">
        <v>0.37924461087368599</v>
      </c>
      <c r="R90" s="404"/>
      <c r="S90" s="404"/>
      <c r="T90" s="404"/>
      <c r="U90" s="50">
        <v>0.26370115384084253</v>
      </c>
      <c r="V90" s="50">
        <v>0.27145302956793999</v>
      </c>
      <c r="W90" s="50">
        <v>0.29988715073763395</v>
      </c>
      <c r="X90" s="50">
        <v>0.30350244401780624</v>
      </c>
      <c r="Y90" s="50">
        <v>0.27805463232666006</v>
      </c>
      <c r="Z90" s="50">
        <v>0.28898847843652709</v>
      </c>
      <c r="AA90" s="50">
        <v>0.2714706338254097</v>
      </c>
      <c r="AB90" s="50">
        <v>0.26729738207791215</v>
      </c>
      <c r="AC90" s="50">
        <v>0.25028848494177647</v>
      </c>
      <c r="AD90" s="50">
        <v>0.26615080575902383</v>
      </c>
      <c r="AE90" s="50">
        <v>0.2303027849468833</v>
      </c>
      <c r="AF90" s="50">
        <v>0.25124731810652873</v>
      </c>
      <c r="AG90" s="50">
        <v>0.24601728043615764</v>
      </c>
      <c r="AH90" s="50">
        <v>0.25199189935138616</v>
      </c>
      <c r="AI90" s="50">
        <v>0.24293299081034034</v>
      </c>
      <c r="AJ90" s="50">
        <v>0.24439797832377061</v>
      </c>
      <c r="AK90" s="50">
        <v>0.25481736031394336</v>
      </c>
      <c r="AL90" s="50">
        <v>0.24935355570689249</v>
      </c>
      <c r="AM90" s="50">
        <v>0.22239312613305204</v>
      </c>
      <c r="AN90" s="50">
        <v>0.25988826708271068</v>
      </c>
      <c r="AO90" s="50">
        <v>0.29366098378266009</v>
      </c>
      <c r="AP90" s="50">
        <v>0.26482164767111632</v>
      </c>
      <c r="AQ90" s="50">
        <v>0.26350882250206414</v>
      </c>
      <c r="AR90" s="50">
        <v>0.25925844963829953</v>
      </c>
      <c r="AS90" s="50">
        <v>0.27546340191540503</v>
      </c>
      <c r="AT90" s="50">
        <v>0.29766720291048626</v>
      </c>
      <c r="AU90" s="50">
        <v>0.29650560152305566</v>
      </c>
      <c r="AV90" s="50">
        <v>0.31572995842901236</v>
      </c>
      <c r="AW90" s="50">
        <v>0.32377164193683616</v>
      </c>
      <c r="AX90" s="50">
        <v>0.31817521084714312</v>
      </c>
      <c r="AY90" s="50">
        <v>0.30205434715129142</v>
      </c>
      <c r="AZ90" s="50">
        <v>0.33005561490441054</v>
      </c>
      <c r="BA90" s="50">
        <v>0.33298257489475069</v>
      </c>
      <c r="BB90" s="50">
        <v>0.35219232588730259</v>
      </c>
      <c r="BC90" s="50">
        <v>0.35120838440566865</v>
      </c>
      <c r="BD90" s="50">
        <v>0.37704137095200002</v>
      </c>
      <c r="BE90" s="50">
        <v>0.36093657298024995</v>
      </c>
      <c r="BF90" s="50">
        <v>0.40773417355654268</v>
      </c>
      <c r="BG90" s="50">
        <v>0.38179779405957281</v>
      </c>
      <c r="BH90" s="50">
        <v>0.39972248869876048</v>
      </c>
      <c r="BI90" s="50">
        <v>0.45046152563113762</v>
      </c>
      <c r="BJ90" s="50">
        <v>0.46183275649818678</v>
      </c>
      <c r="BK90" s="50">
        <v>0.47120892278071014</v>
      </c>
      <c r="BL90" s="50">
        <v>0.45523206313269815</v>
      </c>
      <c r="BM90" s="1">
        <v>0.47594697629219818</v>
      </c>
      <c r="BN90" s="1">
        <v>0.45520867868334741</v>
      </c>
      <c r="BO90" s="1">
        <v>0.4567860682441387</v>
      </c>
      <c r="BP90" s="1">
        <v>0.47528248631390213</v>
      </c>
      <c r="BQ90" s="1">
        <v>0.51106774121613197</v>
      </c>
      <c r="BR90" s="1" t="s">
        <v>121</v>
      </c>
      <c r="BS90" s="1" t="s">
        <v>121</v>
      </c>
      <c r="BT90" s="1" t="s">
        <v>121</v>
      </c>
      <c r="BU90" s="1" t="s">
        <v>121</v>
      </c>
      <c r="BV90" s="1" t="s">
        <v>121</v>
      </c>
      <c r="BW90" s="1" t="s">
        <v>121</v>
      </c>
      <c r="BX90" s="1" t="s">
        <v>121</v>
      </c>
      <c r="BY90" s="1" t="s">
        <v>121</v>
      </c>
      <c r="BZ90" s="1" t="s">
        <v>121</v>
      </c>
      <c r="CA90" s="1" t="s">
        <v>121</v>
      </c>
      <c r="CB90" s="1" t="s">
        <v>121</v>
      </c>
      <c r="CC90" s="1" t="s">
        <v>121</v>
      </c>
      <c r="CD90" s="1" t="s">
        <v>121</v>
      </c>
      <c r="CE90" s="1" t="s">
        <v>121</v>
      </c>
      <c r="CF90" s="1" t="s">
        <v>121</v>
      </c>
      <c r="CG90" s="1" t="s">
        <v>121</v>
      </c>
      <c r="CH90" s="1" t="s">
        <v>121</v>
      </c>
      <c r="CI90" s="1" t="s">
        <v>121</v>
      </c>
      <c r="CJ90" s="1" t="s">
        <v>121</v>
      </c>
      <c r="CK90" s="1" t="s">
        <v>121</v>
      </c>
      <c r="CL90" s="1" t="s">
        <v>121</v>
      </c>
      <c r="CM90" s="1" t="s">
        <v>121</v>
      </c>
      <c r="CN90" s="1" t="s">
        <v>121</v>
      </c>
      <c r="CO90" s="1" t="s">
        <v>121</v>
      </c>
      <c r="CP90" s="1" t="s">
        <v>121</v>
      </c>
      <c r="CQ90" s="1" t="s">
        <v>121</v>
      </c>
      <c r="CR90" s="1" t="s">
        <v>121</v>
      </c>
      <c r="CS90" s="1" t="s">
        <v>121</v>
      </c>
      <c r="CT90" s="1" t="s">
        <v>121</v>
      </c>
      <c r="CU90" s="1" t="s">
        <v>121</v>
      </c>
      <c r="CV90" s="1" t="s">
        <v>121</v>
      </c>
      <c r="CW90" s="1" t="s">
        <v>121</v>
      </c>
      <c r="CX90" s="1" t="s">
        <v>121</v>
      </c>
      <c r="CY90" s="1" t="s">
        <v>121</v>
      </c>
      <c r="CZ90" s="1" t="s">
        <v>121</v>
      </c>
      <c r="DA90" s="1" t="s">
        <v>121</v>
      </c>
      <c r="DB90" s="1" t="s">
        <v>121</v>
      </c>
      <c r="DC90" s="1" t="s">
        <v>121</v>
      </c>
      <c r="DD90" s="1" t="s">
        <v>121</v>
      </c>
      <c r="DE90" s="1" t="s">
        <v>121</v>
      </c>
      <c r="DF90" s="1" t="s">
        <v>121</v>
      </c>
      <c r="DG90" s="1" t="s">
        <v>121</v>
      </c>
      <c r="DH90" s="1" t="s">
        <v>121</v>
      </c>
      <c r="DI90" s="1" t="s">
        <v>121</v>
      </c>
      <c r="DJ90" s="1" t="s">
        <v>121</v>
      </c>
      <c r="DK90" s="1" t="s">
        <v>121</v>
      </c>
      <c r="DL90" s="1" t="s">
        <v>121</v>
      </c>
      <c r="DM90" s="1" t="s">
        <v>121</v>
      </c>
      <c r="DN90" s="1" t="s">
        <v>121</v>
      </c>
      <c r="DO90" s="1" t="s">
        <v>121</v>
      </c>
      <c r="DP90" s="1" t="s">
        <v>121</v>
      </c>
      <c r="DQ90" s="1" t="s">
        <v>121</v>
      </c>
      <c r="DR90" s="1" t="s">
        <v>121</v>
      </c>
      <c r="DS90" s="1" t="s">
        <v>121</v>
      </c>
      <c r="DT90" s="1" t="s">
        <v>121</v>
      </c>
      <c r="DU90" s="1" t="s">
        <v>121</v>
      </c>
      <c r="DV90" s="1" t="s">
        <v>121</v>
      </c>
      <c r="DW90" s="1" t="s">
        <v>121</v>
      </c>
      <c r="DX90" s="1" t="s">
        <v>121</v>
      </c>
      <c r="DY90" s="1" t="s">
        <v>121</v>
      </c>
      <c r="DZ90" s="1" t="s">
        <v>121</v>
      </c>
      <c r="EA90" s="1" t="s">
        <v>121</v>
      </c>
      <c r="EB90" s="1" t="s">
        <v>121</v>
      </c>
      <c r="EC90" s="1" t="s">
        <v>121</v>
      </c>
      <c r="ED90" s="1" t="s">
        <v>121</v>
      </c>
      <c r="EE90" s="1" t="s">
        <v>121</v>
      </c>
      <c r="EF90" s="1" t="s">
        <v>121</v>
      </c>
      <c r="EG90" s="1" t="s">
        <v>121</v>
      </c>
      <c r="EH90" s="1" t="s">
        <v>121</v>
      </c>
      <c r="EI90" s="1" t="s">
        <v>121</v>
      </c>
      <c r="EJ90" s="1" t="s">
        <v>121</v>
      </c>
      <c r="EK90" s="1" t="s">
        <v>121</v>
      </c>
    </row>
    <row r="91" spans="1:141" x14ac:dyDescent="0.25">
      <c r="A91" s="72">
        <v>91</v>
      </c>
      <c r="B91" s="43" t="s">
        <v>6</v>
      </c>
      <c r="C91" s="99" t="s">
        <v>121</v>
      </c>
      <c r="D91" s="43" t="s">
        <v>121</v>
      </c>
      <c r="E91" s="100" t="s">
        <v>121</v>
      </c>
      <c r="F91" s="51">
        <v>0.36359122255941445</v>
      </c>
      <c r="G91" s="51">
        <v>0.3885406912275744</v>
      </c>
      <c r="H91" s="51">
        <v>0.40419988139782631</v>
      </c>
      <c r="I91" s="51">
        <v>0.38369766280533696</v>
      </c>
      <c r="J91" s="51">
        <v>0.36119320432038865</v>
      </c>
      <c r="K91" s="51">
        <v>0.36688779307778191</v>
      </c>
      <c r="L91" s="51">
        <v>0.39532042570674591</v>
      </c>
      <c r="M91" s="51">
        <v>0.3741494861449236</v>
      </c>
      <c r="N91" s="51">
        <v>0.37920207540313938</v>
      </c>
      <c r="O91" s="51">
        <v>0.39732586544802667</v>
      </c>
      <c r="P91" s="51">
        <v>0.39475539938087895</v>
      </c>
      <c r="Q91" s="51">
        <v>0.39108859577114574</v>
      </c>
      <c r="R91" s="404"/>
      <c r="S91" s="404"/>
      <c r="T91" s="404"/>
      <c r="U91" s="51">
        <v>0.37048572795167201</v>
      </c>
      <c r="V91" s="51">
        <v>0.36745638949030701</v>
      </c>
      <c r="W91" s="51">
        <v>0.36785338473020357</v>
      </c>
      <c r="X91" s="51">
        <v>0.36052678245381831</v>
      </c>
      <c r="Y91" s="51">
        <v>0.37800437398233699</v>
      </c>
      <c r="Z91" s="51">
        <v>0.36980696097469939</v>
      </c>
      <c r="AA91" s="51">
        <v>0.37236235656177796</v>
      </c>
      <c r="AB91" s="51">
        <v>0.38281272437898806</v>
      </c>
      <c r="AC91" s="51">
        <v>0.36957908455184568</v>
      </c>
      <c r="AD91" s="51">
        <v>0.36956484776234044</v>
      </c>
      <c r="AE91" s="51">
        <v>0.37773269476861415</v>
      </c>
      <c r="AF91" s="51">
        <v>0.37152130721506216</v>
      </c>
      <c r="AG91" s="51">
        <v>0.36990750281069595</v>
      </c>
      <c r="AH91" s="51">
        <v>0.368050380256706</v>
      </c>
      <c r="AI91" s="51">
        <v>0.35814081244193136</v>
      </c>
      <c r="AJ91" s="51">
        <v>0.34199246757453644</v>
      </c>
      <c r="AK91" s="51">
        <v>0.33877237433316332</v>
      </c>
      <c r="AL91" s="51">
        <v>0.33671882080135956</v>
      </c>
      <c r="AM91" s="51">
        <v>0.35428424787548379</v>
      </c>
      <c r="AN91" s="51">
        <v>0.33362341823327379</v>
      </c>
      <c r="AO91" s="51">
        <v>0.32297669955059527</v>
      </c>
      <c r="AP91" s="51">
        <v>0.34561065492297505</v>
      </c>
      <c r="AQ91" s="51">
        <v>0.32689508693648556</v>
      </c>
      <c r="AR91" s="51">
        <v>0.32854299818092197</v>
      </c>
      <c r="AS91" s="51">
        <v>0.33432150844359826</v>
      </c>
      <c r="AT91" s="51">
        <v>0.32479465511141858</v>
      </c>
      <c r="AU91" s="51">
        <v>0.30756302529730545</v>
      </c>
      <c r="AV91" s="51">
        <v>0.29314735265954156</v>
      </c>
      <c r="AW91" s="51">
        <v>0.2990956923612848</v>
      </c>
      <c r="AX91" s="51">
        <v>0.31633340849901509</v>
      </c>
      <c r="AY91" s="51">
        <v>0.30622030752886137</v>
      </c>
      <c r="AZ91" s="51">
        <v>0.30654347894499806</v>
      </c>
      <c r="BA91" s="51">
        <v>0.30605105580480091</v>
      </c>
      <c r="BB91" s="51">
        <v>0.29826197945505889</v>
      </c>
      <c r="BC91" s="51">
        <v>0.31307281292389794</v>
      </c>
      <c r="BD91" s="51">
        <v>0.2998522549026586</v>
      </c>
      <c r="BE91" s="51">
        <v>0.28807590056611954</v>
      </c>
      <c r="BF91" s="51">
        <v>0.30059467540242485</v>
      </c>
      <c r="BG91" s="51">
        <v>0.28429045952991483</v>
      </c>
      <c r="BH91" s="51">
        <v>0.25913266351925701</v>
      </c>
      <c r="BI91" s="51">
        <v>0.26479727094820787</v>
      </c>
      <c r="BJ91" s="51">
        <v>0.26393064293025864</v>
      </c>
      <c r="BK91" s="51">
        <v>0.25546257149826451</v>
      </c>
      <c r="BL91" s="51">
        <v>0.25292946218498658</v>
      </c>
      <c r="BM91" s="1">
        <v>0.26567611475963937</v>
      </c>
      <c r="BN91" s="1">
        <v>0.26841085894396938</v>
      </c>
      <c r="BO91" s="1">
        <v>0.27497718043870562</v>
      </c>
      <c r="BP91" s="1">
        <v>0.26993206753624938</v>
      </c>
      <c r="BQ91" s="1">
        <v>0.25776156108532561</v>
      </c>
      <c r="BR91" s="1" t="s">
        <v>121</v>
      </c>
      <c r="BS91" s="1" t="s">
        <v>121</v>
      </c>
      <c r="BT91" s="1" t="s">
        <v>121</v>
      </c>
      <c r="BU91" s="1" t="s">
        <v>121</v>
      </c>
      <c r="BV91" s="1" t="s">
        <v>121</v>
      </c>
      <c r="BW91" s="1" t="s">
        <v>121</v>
      </c>
      <c r="BX91" s="1" t="s">
        <v>121</v>
      </c>
      <c r="BY91" s="1" t="s">
        <v>121</v>
      </c>
      <c r="BZ91" s="1" t="s">
        <v>121</v>
      </c>
      <c r="CA91" s="1" t="s">
        <v>121</v>
      </c>
      <c r="CB91" s="1" t="s">
        <v>121</v>
      </c>
      <c r="CC91" s="1" t="s">
        <v>121</v>
      </c>
      <c r="CD91" s="1" t="s">
        <v>121</v>
      </c>
      <c r="CE91" s="1" t="s">
        <v>121</v>
      </c>
      <c r="CF91" s="1" t="s">
        <v>121</v>
      </c>
      <c r="CG91" s="1" t="s">
        <v>121</v>
      </c>
      <c r="CH91" s="1" t="s">
        <v>121</v>
      </c>
      <c r="CI91" s="1" t="s">
        <v>121</v>
      </c>
      <c r="CJ91" s="1" t="s">
        <v>121</v>
      </c>
      <c r="CK91" s="1" t="s">
        <v>121</v>
      </c>
      <c r="CL91" s="1" t="s">
        <v>121</v>
      </c>
      <c r="CM91" s="1" t="s">
        <v>121</v>
      </c>
      <c r="CN91" s="1" t="s">
        <v>121</v>
      </c>
      <c r="CO91" s="1" t="s">
        <v>121</v>
      </c>
      <c r="CP91" s="1" t="s">
        <v>121</v>
      </c>
      <c r="CQ91" s="1" t="s">
        <v>121</v>
      </c>
      <c r="CR91" s="1" t="s">
        <v>121</v>
      </c>
      <c r="CS91" s="1" t="s">
        <v>121</v>
      </c>
      <c r="CT91" s="1" t="s">
        <v>121</v>
      </c>
      <c r="CU91" s="1" t="s">
        <v>121</v>
      </c>
      <c r="CV91" s="1" t="s">
        <v>121</v>
      </c>
      <c r="CW91" s="1" t="s">
        <v>121</v>
      </c>
      <c r="CX91" s="1" t="s">
        <v>121</v>
      </c>
      <c r="CY91" s="1" t="s">
        <v>121</v>
      </c>
      <c r="CZ91" s="1" t="s">
        <v>121</v>
      </c>
      <c r="DA91" s="1" t="s">
        <v>121</v>
      </c>
      <c r="DB91" s="1" t="s">
        <v>121</v>
      </c>
      <c r="DC91" s="1" t="s">
        <v>121</v>
      </c>
      <c r="DD91" s="1" t="s">
        <v>121</v>
      </c>
      <c r="DE91" s="1" t="s">
        <v>121</v>
      </c>
      <c r="DF91" s="1" t="s">
        <v>121</v>
      </c>
      <c r="DG91" s="1" t="s">
        <v>121</v>
      </c>
      <c r="DH91" s="1" t="s">
        <v>121</v>
      </c>
      <c r="DI91" s="1" t="s">
        <v>121</v>
      </c>
      <c r="DJ91" s="1" t="s">
        <v>121</v>
      </c>
      <c r="DK91" s="1" t="s">
        <v>121</v>
      </c>
      <c r="DL91" s="1" t="s">
        <v>121</v>
      </c>
      <c r="DM91" s="1" t="s">
        <v>121</v>
      </c>
      <c r="DN91" s="1" t="s">
        <v>121</v>
      </c>
      <c r="DO91" s="1" t="s">
        <v>121</v>
      </c>
      <c r="DP91" s="1" t="s">
        <v>121</v>
      </c>
      <c r="DQ91" s="1" t="s">
        <v>121</v>
      </c>
      <c r="DR91" s="1" t="s">
        <v>121</v>
      </c>
      <c r="DS91" s="1" t="s">
        <v>121</v>
      </c>
      <c r="DT91" s="1" t="s">
        <v>121</v>
      </c>
      <c r="DU91" s="1" t="s">
        <v>121</v>
      </c>
      <c r="DV91" s="1" t="s">
        <v>121</v>
      </c>
      <c r="DW91" s="1" t="s">
        <v>121</v>
      </c>
      <c r="DX91" s="1" t="s">
        <v>121</v>
      </c>
      <c r="DY91" s="1" t="s">
        <v>121</v>
      </c>
      <c r="DZ91" s="1" t="s">
        <v>121</v>
      </c>
      <c r="EA91" s="1" t="s">
        <v>121</v>
      </c>
      <c r="EB91" s="1" t="s">
        <v>121</v>
      </c>
      <c r="EC91" s="1" t="s">
        <v>121</v>
      </c>
      <c r="ED91" s="1" t="s">
        <v>121</v>
      </c>
      <c r="EE91" s="1" t="s">
        <v>121</v>
      </c>
      <c r="EF91" s="1" t="s">
        <v>121</v>
      </c>
      <c r="EG91" s="1" t="s">
        <v>121</v>
      </c>
      <c r="EH91" s="1" t="s">
        <v>121</v>
      </c>
      <c r="EI91" s="1" t="s">
        <v>121</v>
      </c>
      <c r="EJ91" s="1" t="s">
        <v>121</v>
      </c>
      <c r="EK91" s="1" t="s">
        <v>121</v>
      </c>
    </row>
    <row r="92" spans="1:141" x14ac:dyDescent="0.25">
      <c r="A92" s="72">
        <v>92</v>
      </c>
      <c r="B92" s="5" t="s">
        <v>320</v>
      </c>
      <c r="C92" s="97" t="s">
        <v>121</v>
      </c>
      <c r="D92" s="40" t="s">
        <v>121</v>
      </c>
      <c r="E92" s="98" t="s">
        <v>121</v>
      </c>
      <c r="F92" s="13" t="s">
        <v>121</v>
      </c>
      <c r="G92" s="13" t="s">
        <v>121</v>
      </c>
      <c r="H92" s="13" t="s">
        <v>121</v>
      </c>
      <c r="I92" s="13" t="s">
        <v>121</v>
      </c>
      <c r="J92" s="13" t="s">
        <v>121</v>
      </c>
      <c r="K92" s="13" t="s">
        <v>121</v>
      </c>
      <c r="L92" s="13" t="s">
        <v>121</v>
      </c>
      <c r="M92" s="13" t="s">
        <v>121</v>
      </c>
      <c r="N92" s="13" t="s">
        <v>121</v>
      </c>
      <c r="O92" s="13" t="s">
        <v>121</v>
      </c>
      <c r="P92" s="13">
        <v>8.0437926542125326E-4</v>
      </c>
      <c r="Q92" s="13">
        <v>9.5433375946738408E-4</v>
      </c>
      <c r="R92" s="404"/>
      <c r="S92" s="404"/>
      <c r="T92" s="404"/>
      <c r="U92" s="13">
        <v>1.772628951851531E-3</v>
      </c>
      <c r="V92" s="13">
        <v>2.1510771682706005E-3</v>
      </c>
      <c r="W92" s="13">
        <v>2.6073289932691717E-3</v>
      </c>
      <c r="X92" s="13">
        <v>3.1186221539830049E-3</v>
      </c>
      <c r="Y92" s="13">
        <v>3.7139136186418744E-3</v>
      </c>
      <c r="Z92" s="13">
        <v>4.4900996827061355E-3</v>
      </c>
      <c r="AA92" s="13">
        <v>5.5376885131981201E-3</v>
      </c>
      <c r="AB92" s="13">
        <v>6.3938251273383149E-3</v>
      </c>
      <c r="AC92" s="13">
        <v>7.1294676484982954E-3</v>
      </c>
      <c r="AD92" s="13">
        <v>1.0293741107180919E-2</v>
      </c>
      <c r="AE92" s="13">
        <v>1.1512607719396111E-2</v>
      </c>
      <c r="AF92" s="13">
        <v>2.22032503170436E-2</v>
      </c>
      <c r="AG92" s="13">
        <v>2.2679217214450754E-2</v>
      </c>
      <c r="AH92" s="13">
        <v>1.4373652510296169E-2</v>
      </c>
      <c r="AI92" s="13">
        <v>1.3891395231811066E-2</v>
      </c>
      <c r="AJ92" s="13">
        <v>1.3941229384921275E-2</v>
      </c>
      <c r="AK92" s="13">
        <v>1.4899062998896991E-2</v>
      </c>
      <c r="AL92" s="13">
        <v>1.8541356396998786E-2</v>
      </c>
      <c r="AM92" s="13">
        <v>2.4229265789901124E-2</v>
      </c>
      <c r="AN92" s="13">
        <v>2.4449912070067976E-2</v>
      </c>
      <c r="AO92" s="13">
        <v>3.1685771908380872E-2</v>
      </c>
      <c r="AP92" s="13">
        <v>3.4248190644201232E-2</v>
      </c>
      <c r="AQ92" s="13">
        <v>3.3060939760437121E-2</v>
      </c>
      <c r="AR92" s="13">
        <v>3.5766014048682994E-2</v>
      </c>
      <c r="AS92" s="13">
        <v>3.8828395501150484E-2</v>
      </c>
      <c r="AT92" s="13">
        <v>4.8549743905540219E-2</v>
      </c>
      <c r="AU92" s="13">
        <v>4.8620473232385004E-2</v>
      </c>
      <c r="AV92" s="13">
        <v>5.1081507527148663E-2</v>
      </c>
      <c r="AW92" s="13">
        <v>5.662438172228286E-2</v>
      </c>
      <c r="AX92" s="13">
        <v>5.3142400188335361E-2</v>
      </c>
      <c r="AY92" s="13">
        <v>6.2459871781240364E-2</v>
      </c>
      <c r="AZ92" s="13">
        <v>6.6714802850528401E-2</v>
      </c>
      <c r="BA92" s="13">
        <v>6.7896188629618895E-2</v>
      </c>
      <c r="BB92" s="13">
        <v>6.220034231122832E-2</v>
      </c>
      <c r="BC92" s="13">
        <v>7.1816106202896482E-2</v>
      </c>
      <c r="BD92" s="13">
        <v>7.5421771466689713E-2</v>
      </c>
      <c r="BE92" s="13">
        <v>8.0526269580378257E-2</v>
      </c>
      <c r="BF92" s="13">
        <v>7.1105346356779189E-2</v>
      </c>
      <c r="BG92" s="13">
        <v>6.9633549804305875E-2</v>
      </c>
      <c r="BH92" s="13">
        <v>6.5137781835353625E-2</v>
      </c>
      <c r="BI92" s="13">
        <v>7.1610254739687629E-2</v>
      </c>
      <c r="BJ92" s="13">
        <v>9.7669398490315654E-2</v>
      </c>
      <c r="BK92" s="13">
        <v>9.6043413449007922E-2</v>
      </c>
      <c r="BL92" s="13">
        <v>0.10067489433193622</v>
      </c>
      <c r="BM92" s="1">
        <v>0.10785826757494631</v>
      </c>
      <c r="BN92" s="1">
        <v>9.7577764687772697E-2</v>
      </c>
      <c r="BO92" s="1">
        <v>7.6327685037331353E-2</v>
      </c>
      <c r="BP92" s="1">
        <v>5.7028505994940228E-2</v>
      </c>
      <c r="BQ92" s="1">
        <v>5.229157245938288E-2</v>
      </c>
      <c r="BR92" s="1" t="s">
        <v>121</v>
      </c>
      <c r="BS92" s="1" t="s">
        <v>121</v>
      </c>
      <c r="BT92" s="1" t="s">
        <v>121</v>
      </c>
      <c r="BU92" s="1" t="s">
        <v>121</v>
      </c>
      <c r="BV92" s="1" t="s">
        <v>121</v>
      </c>
      <c r="BW92" s="1" t="s">
        <v>121</v>
      </c>
      <c r="BX92" s="1" t="s">
        <v>121</v>
      </c>
      <c r="BY92" s="1" t="s">
        <v>121</v>
      </c>
      <c r="BZ92" s="1" t="s">
        <v>121</v>
      </c>
      <c r="CA92" s="1" t="s">
        <v>121</v>
      </c>
      <c r="CB92" s="1" t="s">
        <v>121</v>
      </c>
      <c r="CC92" s="1" t="s">
        <v>121</v>
      </c>
      <c r="CD92" s="1" t="s">
        <v>121</v>
      </c>
      <c r="CE92" s="1" t="s">
        <v>121</v>
      </c>
      <c r="CF92" s="1" t="s">
        <v>121</v>
      </c>
      <c r="CG92" s="1" t="s">
        <v>121</v>
      </c>
      <c r="CH92" s="1" t="s">
        <v>121</v>
      </c>
      <c r="CI92" s="1" t="s">
        <v>121</v>
      </c>
      <c r="CJ92" s="1" t="s">
        <v>121</v>
      </c>
      <c r="CK92" s="1" t="s">
        <v>121</v>
      </c>
      <c r="CL92" s="1" t="s">
        <v>121</v>
      </c>
      <c r="CM92" s="1" t="s">
        <v>121</v>
      </c>
      <c r="CN92" s="1" t="s">
        <v>121</v>
      </c>
      <c r="CO92" s="1" t="s">
        <v>121</v>
      </c>
      <c r="CP92" s="1" t="s">
        <v>121</v>
      </c>
      <c r="CQ92" s="1" t="s">
        <v>121</v>
      </c>
      <c r="CR92" s="1" t="s">
        <v>121</v>
      </c>
      <c r="CS92" s="1" t="s">
        <v>121</v>
      </c>
      <c r="CT92" s="1" t="s">
        <v>121</v>
      </c>
      <c r="CU92" s="1" t="s">
        <v>121</v>
      </c>
      <c r="CV92" s="1" t="s">
        <v>121</v>
      </c>
      <c r="CW92" s="1" t="s">
        <v>121</v>
      </c>
      <c r="CX92" s="1" t="s">
        <v>121</v>
      </c>
      <c r="CY92" s="1" t="s">
        <v>121</v>
      </c>
      <c r="CZ92" s="1" t="s">
        <v>121</v>
      </c>
      <c r="DA92" s="1" t="s">
        <v>121</v>
      </c>
      <c r="DB92" s="1" t="s">
        <v>121</v>
      </c>
      <c r="DC92" s="1" t="s">
        <v>121</v>
      </c>
      <c r="DD92" s="1" t="s">
        <v>121</v>
      </c>
      <c r="DE92" s="1" t="s">
        <v>121</v>
      </c>
      <c r="DF92" s="1" t="s">
        <v>121</v>
      </c>
      <c r="DG92" s="1" t="s">
        <v>121</v>
      </c>
      <c r="DH92" s="1" t="s">
        <v>121</v>
      </c>
      <c r="DI92" s="1" t="s">
        <v>121</v>
      </c>
      <c r="DJ92" s="1" t="s">
        <v>121</v>
      </c>
      <c r="DK92" s="1" t="s">
        <v>121</v>
      </c>
      <c r="DL92" s="1" t="s">
        <v>121</v>
      </c>
      <c r="DM92" s="1" t="s">
        <v>121</v>
      </c>
      <c r="DN92" s="1" t="s">
        <v>121</v>
      </c>
      <c r="DO92" s="1" t="s">
        <v>121</v>
      </c>
      <c r="DP92" s="1" t="s">
        <v>121</v>
      </c>
      <c r="DQ92" s="1" t="s">
        <v>121</v>
      </c>
      <c r="DR92" s="1" t="s">
        <v>121</v>
      </c>
      <c r="DS92" s="1" t="s">
        <v>121</v>
      </c>
      <c r="DT92" s="1" t="s">
        <v>121</v>
      </c>
      <c r="DU92" s="1" t="s">
        <v>121</v>
      </c>
      <c r="DV92" s="1" t="s">
        <v>121</v>
      </c>
      <c r="DW92" s="1" t="s">
        <v>121</v>
      </c>
      <c r="DX92" s="1" t="s">
        <v>121</v>
      </c>
      <c r="DY92" s="1" t="s">
        <v>121</v>
      </c>
      <c r="DZ92" s="1" t="s">
        <v>121</v>
      </c>
      <c r="EA92" s="1" t="s">
        <v>121</v>
      </c>
      <c r="EB92" s="1" t="s">
        <v>121</v>
      </c>
      <c r="EC92" s="1" t="s">
        <v>121</v>
      </c>
      <c r="ED92" s="1" t="s">
        <v>121</v>
      </c>
      <c r="EE92" s="1" t="s">
        <v>121</v>
      </c>
      <c r="EF92" s="1" t="s">
        <v>121</v>
      </c>
      <c r="EG92" s="1" t="s">
        <v>121</v>
      </c>
      <c r="EH92" s="1" t="s">
        <v>121</v>
      </c>
      <c r="EI92" s="1" t="s">
        <v>121</v>
      </c>
      <c r="EJ92" s="1" t="s">
        <v>121</v>
      </c>
      <c r="EK92" s="1" t="s">
        <v>121</v>
      </c>
    </row>
    <row r="93" spans="1:141" x14ac:dyDescent="0.25">
      <c r="A93" s="72">
        <v>93</v>
      </c>
      <c r="B93" s="5" t="s">
        <v>321</v>
      </c>
      <c r="C93" s="97" t="s">
        <v>121</v>
      </c>
      <c r="D93" s="40" t="s">
        <v>121</v>
      </c>
      <c r="E93" s="98" t="s">
        <v>121</v>
      </c>
      <c r="F93" s="13">
        <v>0.16375792210786258</v>
      </c>
      <c r="G93" s="13">
        <v>0.16993855382348175</v>
      </c>
      <c r="H93" s="13">
        <v>0.18977572293972456</v>
      </c>
      <c r="I93" s="13">
        <v>0.1771050928758818</v>
      </c>
      <c r="J93" s="13">
        <v>0.19341727558039926</v>
      </c>
      <c r="K93" s="13">
        <v>0.17470320059545963</v>
      </c>
      <c r="L93" s="13">
        <v>0.18459637659403</v>
      </c>
      <c r="M93" s="13">
        <v>0.16446767337998036</v>
      </c>
      <c r="N93" s="13">
        <v>0.17697967144281307</v>
      </c>
      <c r="O93" s="13">
        <v>0.18927582875878915</v>
      </c>
      <c r="P93" s="13">
        <v>0.19041916167664671</v>
      </c>
      <c r="Q93" s="13">
        <v>0.17249493345279385</v>
      </c>
      <c r="R93" s="404"/>
      <c r="S93" s="404"/>
      <c r="T93" s="404"/>
      <c r="U93" s="13">
        <v>0.13039368180808153</v>
      </c>
      <c r="V93" s="13">
        <v>0.12718114814603906</v>
      </c>
      <c r="W93" s="13">
        <v>0.12727680331483335</v>
      </c>
      <c r="X93" s="13">
        <v>0.12463828504867495</v>
      </c>
      <c r="Y93" s="13">
        <v>0.12145949136364445</v>
      </c>
      <c r="Z93" s="13">
        <v>0.1200629886350392</v>
      </c>
      <c r="AA93" s="13">
        <v>0.12464646660658754</v>
      </c>
      <c r="AB93" s="13">
        <v>0.12210253285649431</v>
      </c>
      <c r="AC93" s="13">
        <v>0.11782100097519445</v>
      </c>
      <c r="AD93" s="13">
        <v>0.12016474309300236</v>
      </c>
      <c r="AE93" s="13">
        <v>0.11666702582953888</v>
      </c>
      <c r="AF93" s="13">
        <v>0.11680192365328187</v>
      </c>
      <c r="AG93" s="13">
        <v>0.11234520794114863</v>
      </c>
      <c r="AH93" s="13">
        <v>0.12086552040012093</v>
      </c>
      <c r="AI93" s="13">
        <v>0.11962556197493228</v>
      </c>
      <c r="AJ93" s="13">
        <v>0.11691987782962888</v>
      </c>
      <c r="AK93" s="13">
        <v>0.11684771198828535</v>
      </c>
      <c r="AL93" s="13">
        <v>0.12070706995933528</v>
      </c>
      <c r="AM93" s="13">
        <v>0.11444262672487843</v>
      </c>
      <c r="AN93" s="13">
        <v>0.11254670346605029</v>
      </c>
      <c r="AO93" s="13">
        <v>0.10489449437065269</v>
      </c>
      <c r="AP93" s="13">
        <v>0.11017489754986574</v>
      </c>
      <c r="AQ93" s="13">
        <v>0.10287877725327917</v>
      </c>
      <c r="AR93" s="13">
        <v>0.10316477979875119</v>
      </c>
      <c r="AS93" s="13">
        <v>0.10094221123929631</v>
      </c>
      <c r="AT93" s="13">
        <v>0.10565608463361972</v>
      </c>
      <c r="AU93" s="13">
        <v>0.10461859707572733</v>
      </c>
      <c r="AV93" s="13">
        <v>0.1021604365005026</v>
      </c>
      <c r="AW93" s="13">
        <v>9.8340349403657185E-2</v>
      </c>
      <c r="AX93" s="13">
        <v>0.11473266366992588</v>
      </c>
      <c r="AY93" s="13">
        <v>0.11424255145015057</v>
      </c>
      <c r="AZ93" s="13">
        <v>0.11490001037742197</v>
      </c>
      <c r="BA93" s="13">
        <v>0.11644688818246862</v>
      </c>
      <c r="BB93" s="13">
        <v>0.11405572492086115</v>
      </c>
      <c r="BC93" s="13">
        <v>0.1105862025313723</v>
      </c>
      <c r="BD93" s="13">
        <v>0.11794568485160116</v>
      </c>
      <c r="BE93" s="13">
        <v>0.11474779080435997</v>
      </c>
      <c r="BF93" s="13">
        <v>0.12673604627793017</v>
      </c>
      <c r="BG93" s="13">
        <v>0.11601067590184284</v>
      </c>
      <c r="BH93" s="13">
        <v>0.11784240165871024</v>
      </c>
      <c r="BI93" s="13">
        <v>0.12126892601294986</v>
      </c>
      <c r="BJ93" s="13">
        <v>0.11817184053420245</v>
      </c>
      <c r="BK93" s="13">
        <v>0.11048830217652748</v>
      </c>
      <c r="BL93" s="13">
        <v>0.10854016044983977</v>
      </c>
      <c r="BM93" s="1">
        <v>0.10478099600189207</v>
      </c>
      <c r="BN93" s="1">
        <v>0.10811579718644987</v>
      </c>
      <c r="BO93" s="1">
        <v>0.10681252254420229</v>
      </c>
      <c r="BP93" s="1">
        <v>0.11045839926421466</v>
      </c>
      <c r="BQ93" s="1">
        <v>0.10731693807560526</v>
      </c>
      <c r="BR93" s="1" t="s">
        <v>121</v>
      </c>
      <c r="BS93" s="1" t="s">
        <v>121</v>
      </c>
      <c r="BT93" s="1" t="s">
        <v>121</v>
      </c>
      <c r="BU93" s="1" t="s">
        <v>121</v>
      </c>
      <c r="BV93" s="1" t="s">
        <v>121</v>
      </c>
      <c r="BW93" s="1" t="s">
        <v>121</v>
      </c>
      <c r="BX93" s="1" t="s">
        <v>121</v>
      </c>
      <c r="BY93" s="1" t="s">
        <v>121</v>
      </c>
      <c r="BZ93" s="1" t="s">
        <v>121</v>
      </c>
      <c r="CA93" s="1" t="s">
        <v>121</v>
      </c>
      <c r="CB93" s="1" t="s">
        <v>121</v>
      </c>
      <c r="CC93" s="1" t="s">
        <v>121</v>
      </c>
      <c r="CD93" s="1" t="s">
        <v>121</v>
      </c>
      <c r="CE93" s="1" t="s">
        <v>121</v>
      </c>
      <c r="CF93" s="1" t="s">
        <v>121</v>
      </c>
      <c r="CG93" s="1" t="s">
        <v>121</v>
      </c>
      <c r="CH93" s="1" t="s">
        <v>121</v>
      </c>
      <c r="CI93" s="1" t="s">
        <v>121</v>
      </c>
      <c r="CJ93" s="1" t="s">
        <v>121</v>
      </c>
      <c r="CK93" s="1" t="s">
        <v>121</v>
      </c>
      <c r="CL93" s="1" t="s">
        <v>121</v>
      </c>
      <c r="CM93" s="1" t="s">
        <v>121</v>
      </c>
      <c r="CN93" s="1" t="s">
        <v>121</v>
      </c>
      <c r="CO93" s="1" t="s">
        <v>121</v>
      </c>
      <c r="CP93" s="1" t="s">
        <v>121</v>
      </c>
      <c r="CQ93" s="1" t="s">
        <v>121</v>
      </c>
      <c r="CR93" s="1" t="s">
        <v>121</v>
      </c>
      <c r="CS93" s="1" t="s">
        <v>121</v>
      </c>
      <c r="CT93" s="1" t="s">
        <v>121</v>
      </c>
      <c r="CU93" s="1" t="s">
        <v>121</v>
      </c>
      <c r="CV93" s="1" t="s">
        <v>121</v>
      </c>
      <c r="CW93" s="1" t="s">
        <v>121</v>
      </c>
      <c r="CX93" s="1" t="s">
        <v>121</v>
      </c>
      <c r="CY93" s="1" t="s">
        <v>121</v>
      </c>
      <c r="CZ93" s="1" t="s">
        <v>121</v>
      </c>
      <c r="DA93" s="1" t="s">
        <v>121</v>
      </c>
      <c r="DB93" s="1" t="s">
        <v>121</v>
      </c>
      <c r="DC93" s="1" t="s">
        <v>121</v>
      </c>
      <c r="DD93" s="1" t="s">
        <v>121</v>
      </c>
      <c r="DE93" s="1" t="s">
        <v>121</v>
      </c>
      <c r="DF93" s="1" t="s">
        <v>121</v>
      </c>
      <c r="DG93" s="1" t="s">
        <v>121</v>
      </c>
      <c r="DH93" s="1" t="s">
        <v>121</v>
      </c>
      <c r="DI93" s="1" t="s">
        <v>121</v>
      </c>
      <c r="DJ93" s="1" t="s">
        <v>121</v>
      </c>
      <c r="DK93" s="1" t="s">
        <v>121</v>
      </c>
      <c r="DL93" s="1" t="s">
        <v>121</v>
      </c>
      <c r="DM93" s="1" t="s">
        <v>121</v>
      </c>
      <c r="DN93" s="1" t="s">
        <v>121</v>
      </c>
      <c r="DO93" s="1" t="s">
        <v>121</v>
      </c>
      <c r="DP93" s="1" t="s">
        <v>121</v>
      </c>
      <c r="DQ93" s="1" t="s">
        <v>121</v>
      </c>
      <c r="DR93" s="1" t="s">
        <v>121</v>
      </c>
      <c r="DS93" s="1" t="s">
        <v>121</v>
      </c>
      <c r="DT93" s="1" t="s">
        <v>121</v>
      </c>
      <c r="DU93" s="1" t="s">
        <v>121</v>
      </c>
      <c r="DV93" s="1" t="s">
        <v>121</v>
      </c>
      <c r="DW93" s="1" t="s">
        <v>121</v>
      </c>
      <c r="DX93" s="1" t="s">
        <v>121</v>
      </c>
      <c r="DY93" s="1" t="s">
        <v>121</v>
      </c>
      <c r="DZ93" s="1" t="s">
        <v>121</v>
      </c>
      <c r="EA93" s="1" t="s">
        <v>121</v>
      </c>
      <c r="EB93" s="1" t="s">
        <v>121</v>
      </c>
      <c r="EC93" s="1" t="s">
        <v>121</v>
      </c>
      <c r="ED93" s="1" t="s">
        <v>121</v>
      </c>
      <c r="EE93" s="1" t="s">
        <v>121</v>
      </c>
      <c r="EF93" s="1" t="s">
        <v>121</v>
      </c>
      <c r="EG93" s="1" t="s">
        <v>121</v>
      </c>
      <c r="EH93" s="1" t="s">
        <v>121</v>
      </c>
      <c r="EI93" s="1" t="s">
        <v>121</v>
      </c>
      <c r="EJ93" s="1" t="s">
        <v>121</v>
      </c>
      <c r="EK93" s="1" t="s">
        <v>121</v>
      </c>
    </row>
    <row r="94" spans="1:141" x14ac:dyDescent="0.25">
      <c r="A94" s="72">
        <v>94</v>
      </c>
      <c r="B94" s="5" t="s">
        <v>7</v>
      </c>
      <c r="C94" s="97" t="s">
        <v>121</v>
      </c>
      <c r="D94" s="40" t="s">
        <v>121</v>
      </c>
      <c r="E94" s="98" t="s">
        <v>121</v>
      </c>
      <c r="F94" s="13">
        <v>1.6177097580565906E-2</v>
      </c>
      <c r="G94" s="13">
        <v>2.1022783063942504E-2</v>
      </c>
      <c r="H94" s="13">
        <v>2.888960026869165E-2</v>
      </c>
      <c r="I94" s="13">
        <v>2.6377840609372691E-2</v>
      </c>
      <c r="J94" s="13">
        <v>3.1789103053931622E-2</v>
      </c>
      <c r="K94" s="13">
        <v>3.0488462969854857E-2</v>
      </c>
      <c r="L94" s="13">
        <v>2.7074806820157071E-2</v>
      </c>
      <c r="M94" s="13">
        <v>2.2465672059638588E-2</v>
      </c>
      <c r="N94" s="13">
        <v>3.7437589352171521E-2</v>
      </c>
      <c r="O94" s="13">
        <v>3.5002229219494523E-2</v>
      </c>
      <c r="P94" s="13">
        <v>2.5301492822737758E-2</v>
      </c>
      <c r="Q94" s="13">
        <v>3.2373479291195703E-2</v>
      </c>
      <c r="R94" s="404"/>
      <c r="S94" s="404"/>
      <c r="T94" s="404"/>
      <c r="U94" s="13">
        <v>2.2520673347921117E-2</v>
      </c>
      <c r="V94" s="13">
        <v>2.1960433090987729E-2</v>
      </c>
      <c r="W94" s="13">
        <v>2.2273302561169342E-2</v>
      </c>
      <c r="X94" s="13">
        <v>2.2360144513109061E-2</v>
      </c>
      <c r="Y94" s="13">
        <v>2.5552328248613101E-2</v>
      </c>
      <c r="Z94" s="13">
        <v>3.0493289238390051E-2</v>
      </c>
      <c r="AA94" s="13">
        <v>2.7072113935230822E-2</v>
      </c>
      <c r="AB94" s="13">
        <v>3.0195358934205725E-2</v>
      </c>
      <c r="AC94" s="13">
        <v>1.9797899025439238E-2</v>
      </c>
      <c r="AD94" s="13">
        <v>1.5610586863855231E-2</v>
      </c>
      <c r="AE94" s="13">
        <v>2.2174750708142704E-2</v>
      </c>
      <c r="AF94" s="13">
        <v>2.788714417823317E-2</v>
      </c>
      <c r="AG94" s="13">
        <v>2.9541260663114854E-2</v>
      </c>
      <c r="AH94" s="13">
        <v>2.8046710896633301E-2</v>
      </c>
      <c r="AI94" s="13">
        <v>1.4561693544462209E-2</v>
      </c>
      <c r="AJ94" s="13">
        <v>2.2335239118878605E-2</v>
      </c>
      <c r="AK94" s="13">
        <v>2.9261116905451894E-2</v>
      </c>
      <c r="AL94" s="13">
        <v>2.3570927854710641E-2</v>
      </c>
      <c r="AM94" s="13">
        <v>2.0327216287004426E-2</v>
      </c>
      <c r="AN94" s="13">
        <v>2.2802340824811411E-2</v>
      </c>
      <c r="AO94" s="13">
        <v>1.9788081949444647E-2</v>
      </c>
      <c r="AP94" s="13">
        <v>7.8047258040621122E-3</v>
      </c>
      <c r="AQ94" s="13">
        <v>6.4825011369360232E-3</v>
      </c>
      <c r="AR94" s="13">
        <v>1.0616204665307502E-2</v>
      </c>
      <c r="AS94" s="13">
        <v>9.8534121038632815E-3</v>
      </c>
      <c r="AT94" s="13">
        <v>8.0971591006449642E-3</v>
      </c>
      <c r="AU94" s="13">
        <v>8.394656238783391E-3</v>
      </c>
      <c r="AV94" s="13">
        <v>1.4850637626374773E-2</v>
      </c>
      <c r="AW94" s="13">
        <v>2.5471883012303579E-2</v>
      </c>
      <c r="AX94" s="13">
        <v>1.0866970912790661E-2</v>
      </c>
      <c r="AY94" s="13">
        <v>1.0461219059366407E-2</v>
      </c>
      <c r="AZ94" s="13">
        <v>6.9827640031165468E-3</v>
      </c>
      <c r="BA94" s="13">
        <v>4.3293438528933734E-3</v>
      </c>
      <c r="BB94" s="13">
        <v>6.9033030478971927E-3</v>
      </c>
      <c r="BC94" s="13">
        <v>6.7276724069545444E-3</v>
      </c>
      <c r="BD94" s="13">
        <v>6.7175565140541018E-3</v>
      </c>
      <c r="BE94" s="13">
        <v>6.9959824511651352E-3</v>
      </c>
      <c r="BF94" s="13">
        <v>9.3973321429681525E-3</v>
      </c>
      <c r="BG94" s="13">
        <v>6.1418262942146877E-3</v>
      </c>
      <c r="BH94" s="13">
        <v>6.6473124643202843E-3</v>
      </c>
      <c r="BI94" s="13">
        <v>9.4494843610674149E-3</v>
      </c>
      <c r="BJ94" s="13">
        <v>7.5604548785555802E-3</v>
      </c>
      <c r="BK94" s="13">
        <v>5.0166468051816354E-3</v>
      </c>
      <c r="BL94" s="13">
        <v>4.5486202681035686E-3</v>
      </c>
      <c r="BM94" s="1">
        <v>4.1894737922504813E-3</v>
      </c>
      <c r="BN94" s="1">
        <v>4.3530434863370306E-3</v>
      </c>
      <c r="BO94" s="1">
        <v>2.7359962331933133E-3</v>
      </c>
      <c r="BP94" s="1">
        <v>2.8196105578622102E-3</v>
      </c>
      <c r="BQ94" s="1">
        <v>3.6444732344638941E-3</v>
      </c>
      <c r="BR94" s="1" t="s">
        <v>121</v>
      </c>
      <c r="BS94" s="1" t="s">
        <v>121</v>
      </c>
      <c r="BT94" s="1" t="s">
        <v>121</v>
      </c>
      <c r="BU94" s="1" t="s">
        <v>121</v>
      </c>
      <c r="BV94" s="1" t="s">
        <v>121</v>
      </c>
      <c r="BW94" s="1" t="s">
        <v>121</v>
      </c>
      <c r="BX94" s="1" t="s">
        <v>121</v>
      </c>
      <c r="BY94" s="1" t="s">
        <v>121</v>
      </c>
      <c r="BZ94" s="1" t="s">
        <v>121</v>
      </c>
      <c r="CA94" s="1" t="s">
        <v>121</v>
      </c>
      <c r="CB94" s="1" t="s">
        <v>121</v>
      </c>
      <c r="CC94" s="1" t="s">
        <v>121</v>
      </c>
      <c r="CD94" s="1" t="s">
        <v>121</v>
      </c>
      <c r="CE94" s="1" t="s">
        <v>121</v>
      </c>
      <c r="CF94" s="1" t="s">
        <v>121</v>
      </c>
      <c r="CG94" s="1" t="s">
        <v>121</v>
      </c>
      <c r="CH94" s="1" t="s">
        <v>121</v>
      </c>
      <c r="CI94" s="1" t="s">
        <v>121</v>
      </c>
      <c r="CJ94" s="1" t="s">
        <v>121</v>
      </c>
      <c r="CK94" s="1" t="s">
        <v>121</v>
      </c>
      <c r="CL94" s="1" t="s">
        <v>121</v>
      </c>
      <c r="CM94" s="1" t="s">
        <v>121</v>
      </c>
      <c r="CN94" s="1" t="s">
        <v>121</v>
      </c>
      <c r="CO94" s="1" t="s">
        <v>121</v>
      </c>
      <c r="CP94" s="1" t="s">
        <v>121</v>
      </c>
      <c r="CQ94" s="1" t="s">
        <v>121</v>
      </c>
      <c r="CR94" s="1" t="s">
        <v>121</v>
      </c>
      <c r="CS94" s="1" t="s">
        <v>121</v>
      </c>
      <c r="CT94" s="1" t="s">
        <v>121</v>
      </c>
      <c r="CU94" s="1" t="s">
        <v>121</v>
      </c>
      <c r="CV94" s="1" t="s">
        <v>121</v>
      </c>
      <c r="CW94" s="1" t="s">
        <v>121</v>
      </c>
      <c r="CX94" s="1" t="s">
        <v>121</v>
      </c>
      <c r="CY94" s="1" t="s">
        <v>121</v>
      </c>
      <c r="CZ94" s="1" t="s">
        <v>121</v>
      </c>
      <c r="DA94" s="1" t="s">
        <v>121</v>
      </c>
      <c r="DB94" s="1" t="s">
        <v>121</v>
      </c>
      <c r="DC94" s="1" t="s">
        <v>121</v>
      </c>
      <c r="DD94" s="1" t="s">
        <v>121</v>
      </c>
      <c r="DE94" s="1" t="s">
        <v>121</v>
      </c>
      <c r="DF94" s="1" t="s">
        <v>121</v>
      </c>
      <c r="DG94" s="1" t="s">
        <v>121</v>
      </c>
      <c r="DH94" s="1" t="s">
        <v>121</v>
      </c>
      <c r="DI94" s="1" t="s">
        <v>121</v>
      </c>
      <c r="DJ94" s="1" t="s">
        <v>121</v>
      </c>
      <c r="DK94" s="1" t="s">
        <v>121</v>
      </c>
      <c r="DL94" s="1" t="s">
        <v>121</v>
      </c>
      <c r="DM94" s="1" t="s">
        <v>121</v>
      </c>
      <c r="DN94" s="1" t="s">
        <v>121</v>
      </c>
      <c r="DO94" s="1" t="s">
        <v>121</v>
      </c>
      <c r="DP94" s="1" t="s">
        <v>121</v>
      </c>
      <c r="DQ94" s="1" t="s">
        <v>121</v>
      </c>
      <c r="DR94" s="1" t="s">
        <v>121</v>
      </c>
      <c r="DS94" s="1" t="s">
        <v>121</v>
      </c>
      <c r="DT94" s="1" t="s">
        <v>121</v>
      </c>
      <c r="DU94" s="1" t="s">
        <v>121</v>
      </c>
      <c r="DV94" s="1" t="s">
        <v>121</v>
      </c>
      <c r="DW94" s="1" t="s">
        <v>121</v>
      </c>
      <c r="DX94" s="1" t="s">
        <v>121</v>
      </c>
      <c r="DY94" s="1" t="s">
        <v>121</v>
      </c>
      <c r="DZ94" s="1" t="s">
        <v>121</v>
      </c>
      <c r="EA94" s="1" t="s">
        <v>121</v>
      </c>
      <c r="EB94" s="1" t="s">
        <v>121</v>
      </c>
      <c r="EC94" s="1" t="s">
        <v>121</v>
      </c>
      <c r="ED94" s="1" t="s">
        <v>121</v>
      </c>
      <c r="EE94" s="1" t="s">
        <v>121</v>
      </c>
      <c r="EF94" s="1" t="s">
        <v>121</v>
      </c>
      <c r="EG94" s="1" t="s">
        <v>121</v>
      </c>
      <c r="EH94" s="1" t="s">
        <v>121</v>
      </c>
      <c r="EI94" s="1" t="s">
        <v>121</v>
      </c>
      <c r="EJ94" s="1" t="s">
        <v>121</v>
      </c>
      <c r="EK94" s="1" t="s">
        <v>121</v>
      </c>
    </row>
    <row r="95" spans="1:141" ht="26.1" customHeight="1" x14ac:dyDescent="0.25">
      <c r="A95" s="72">
        <v>95</v>
      </c>
      <c r="B95" s="19" t="s">
        <v>310</v>
      </c>
      <c r="C95" s="103" t="s">
        <v>121</v>
      </c>
      <c r="D95" s="44" t="s">
        <v>121</v>
      </c>
      <c r="E95" s="104" t="s">
        <v>121</v>
      </c>
      <c r="F95" s="13">
        <v>1</v>
      </c>
      <c r="G95" s="13">
        <v>0.99999999999999989</v>
      </c>
      <c r="H95" s="13">
        <v>1</v>
      </c>
      <c r="I95" s="13">
        <v>0.99999999999999989</v>
      </c>
      <c r="J95" s="13">
        <v>1</v>
      </c>
      <c r="K95" s="13">
        <v>1</v>
      </c>
      <c r="L95" s="13">
        <v>0.99999999999999989</v>
      </c>
      <c r="M95" s="13">
        <v>1</v>
      </c>
      <c r="N95" s="13">
        <v>1</v>
      </c>
      <c r="O95" s="13">
        <v>0.99999999999999989</v>
      </c>
      <c r="P95" s="13">
        <v>1</v>
      </c>
      <c r="Q95" s="13">
        <v>1</v>
      </c>
      <c r="R95" s="404"/>
      <c r="S95" s="404"/>
      <c r="T95" s="404"/>
      <c r="U95" s="13">
        <v>1</v>
      </c>
      <c r="V95" s="13">
        <v>1</v>
      </c>
      <c r="W95" s="13">
        <v>1.0000000000000002</v>
      </c>
      <c r="X95" s="13">
        <v>0.99999999999999989</v>
      </c>
      <c r="Y95" s="13">
        <v>1</v>
      </c>
      <c r="Z95" s="13">
        <v>1.0000000000000002</v>
      </c>
      <c r="AA95" s="13">
        <v>0.99999999999999989</v>
      </c>
      <c r="AB95" s="13">
        <v>1.0000000000000002</v>
      </c>
      <c r="AC95" s="13">
        <v>0.99999999999999989</v>
      </c>
      <c r="AD95" s="13">
        <v>1.0000000000000002</v>
      </c>
      <c r="AE95" s="13">
        <v>1.0000000000000002</v>
      </c>
      <c r="AF95" s="13">
        <v>1</v>
      </c>
      <c r="AG95" s="13">
        <v>1</v>
      </c>
      <c r="AH95" s="13">
        <v>1</v>
      </c>
      <c r="AI95" s="13">
        <v>1</v>
      </c>
      <c r="AJ95" s="13">
        <v>0.99999999999999989</v>
      </c>
      <c r="AK95" s="13">
        <v>1.0000000000000002</v>
      </c>
      <c r="AL95" s="13">
        <v>0.99999999999999989</v>
      </c>
      <c r="AM95" s="13">
        <v>0.99999999999999989</v>
      </c>
      <c r="AN95" s="13">
        <v>1</v>
      </c>
      <c r="AO95" s="13">
        <v>1</v>
      </c>
      <c r="AP95" s="13">
        <v>0.99999999999999989</v>
      </c>
      <c r="AQ95" s="13">
        <v>0.99999999999999989</v>
      </c>
      <c r="AR95" s="13">
        <v>1</v>
      </c>
      <c r="AS95" s="13">
        <v>0.99999999999999967</v>
      </c>
      <c r="AT95" s="13">
        <v>1</v>
      </c>
      <c r="AU95" s="13">
        <v>1</v>
      </c>
      <c r="AV95" s="13">
        <v>0.99999999999999989</v>
      </c>
      <c r="AW95" s="13">
        <v>1</v>
      </c>
      <c r="AX95" s="13">
        <v>0.99999999999999989</v>
      </c>
      <c r="AY95" s="13">
        <v>1</v>
      </c>
      <c r="AZ95" s="13">
        <v>1</v>
      </c>
      <c r="BA95" s="13">
        <v>1</v>
      </c>
      <c r="BB95" s="13">
        <v>0.99999999999999989</v>
      </c>
      <c r="BC95" s="13">
        <v>1</v>
      </c>
      <c r="BD95" s="13">
        <v>1.0000000000000002</v>
      </c>
      <c r="BE95" s="13">
        <v>1</v>
      </c>
      <c r="BF95" s="13">
        <v>0.99999999999999978</v>
      </c>
      <c r="BG95" s="13">
        <v>1.0000000000000004</v>
      </c>
      <c r="BH95" s="13">
        <v>1.0000000000000002</v>
      </c>
      <c r="BI95" s="13">
        <v>0.99999999999999989</v>
      </c>
      <c r="BJ95" s="13">
        <v>0.99999999999999989</v>
      </c>
      <c r="BK95" s="13">
        <v>0.99999999999999989</v>
      </c>
      <c r="BL95" s="13">
        <v>1</v>
      </c>
      <c r="BM95" s="1">
        <v>1</v>
      </c>
      <c r="BN95" s="1">
        <v>1</v>
      </c>
      <c r="BO95" s="1">
        <v>0.99999999999999978</v>
      </c>
      <c r="BP95" s="1">
        <v>1</v>
      </c>
      <c r="BQ95" s="1">
        <v>1</v>
      </c>
      <c r="BR95" s="1" t="s">
        <v>121</v>
      </c>
      <c r="BS95" s="1" t="s">
        <v>121</v>
      </c>
      <c r="BT95" s="1" t="s">
        <v>121</v>
      </c>
      <c r="BU95" s="1" t="s">
        <v>121</v>
      </c>
      <c r="BV95" s="1" t="s">
        <v>121</v>
      </c>
      <c r="BW95" s="1" t="s">
        <v>121</v>
      </c>
      <c r="BX95" s="1" t="s">
        <v>121</v>
      </c>
      <c r="BY95" s="1" t="s">
        <v>121</v>
      </c>
      <c r="BZ95" s="1" t="s">
        <v>121</v>
      </c>
      <c r="CA95" s="1" t="s">
        <v>121</v>
      </c>
      <c r="CB95" s="1" t="s">
        <v>121</v>
      </c>
      <c r="CC95" s="1" t="s">
        <v>121</v>
      </c>
      <c r="CD95" s="1" t="s">
        <v>121</v>
      </c>
      <c r="CE95" s="1" t="s">
        <v>121</v>
      </c>
      <c r="CF95" s="1" t="s">
        <v>121</v>
      </c>
      <c r="CG95" s="1" t="s">
        <v>121</v>
      </c>
      <c r="CH95" s="1" t="s">
        <v>121</v>
      </c>
      <c r="CI95" s="1" t="s">
        <v>121</v>
      </c>
      <c r="CJ95" s="1" t="s">
        <v>121</v>
      </c>
      <c r="CK95" s="1" t="s">
        <v>121</v>
      </c>
      <c r="CL95" s="1" t="s">
        <v>121</v>
      </c>
      <c r="CM95" s="1" t="s">
        <v>121</v>
      </c>
      <c r="CN95" s="1" t="s">
        <v>121</v>
      </c>
      <c r="CO95" s="1" t="s">
        <v>121</v>
      </c>
      <c r="CP95" s="1" t="s">
        <v>121</v>
      </c>
      <c r="CQ95" s="1" t="s">
        <v>121</v>
      </c>
      <c r="CR95" s="1" t="s">
        <v>121</v>
      </c>
      <c r="CS95" s="1" t="s">
        <v>121</v>
      </c>
      <c r="CT95" s="1" t="s">
        <v>121</v>
      </c>
      <c r="CU95" s="1" t="s">
        <v>121</v>
      </c>
      <c r="CV95" s="1" t="s">
        <v>121</v>
      </c>
      <c r="CW95" s="1" t="s">
        <v>121</v>
      </c>
      <c r="CX95" s="1" t="s">
        <v>121</v>
      </c>
      <c r="CY95" s="1" t="s">
        <v>121</v>
      </c>
      <c r="CZ95" s="1" t="s">
        <v>121</v>
      </c>
      <c r="DA95" s="1" t="s">
        <v>121</v>
      </c>
      <c r="DB95" s="1" t="s">
        <v>121</v>
      </c>
      <c r="DC95" s="1" t="s">
        <v>121</v>
      </c>
      <c r="DD95" s="1" t="s">
        <v>121</v>
      </c>
      <c r="DE95" s="1" t="s">
        <v>121</v>
      </c>
      <c r="DF95" s="1" t="s">
        <v>121</v>
      </c>
      <c r="DG95" s="1" t="s">
        <v>121</v>
      </c>
      <c r="DH95" s="1" t="s">
        <v>121</v>
      </c>
      <c r="DI95" s="1" t="s">
        <v>121</v>
      </c>
      <c r="DJ95" s="1" t="s">
        <v>121</v>
      </c>
      <c r="DK95" s="1" t="s">
        <v>121</v>
      </c>
      <c r="DL95" s="1" t="s">
        <v>121</v>
      </c>
      <c r="DM95" s="1" t="s">
        <v>121</v>
      </c>
      <c r="DN95" s="1" t="s">
        <v>121</v>
      </c>
      <c r="DO95" s="1" t="s">
        <v>121</v>
      </c>
      <c r="DP95" s="1" t="s">
        <v>121</v>
      </c>
      <c r="DQ95" s="1" t="s">
        <v>121</v>
      </c>
      <c r="DR95" s="1" t="s">
        <v>121</v>
      </c>
      <c r="DS95" s="1" t="s">
        <v>121</v>
      </c>
      <c r="DT95" s="1" t="s">
        <v>121</v>
      </c>
      <c r="DU95" s="1" t="s">
        <v>121</v>
      </c>
      <c r="DV95" s="1" t="s">
        <v>121</v>
      </c>
      <c r="DW95" s="1" t="s">
        <v>121</v>
      </c>
      <c r="DX95" s="1" t="s">
        <v>121</v>
      </c>
      <c r="DY95" s="1" t="s">
        <v>121</v>
      </c>
      <c r="DZ95" s="1" t="s">
        <v>121</v>
      </c>
      <c r="EA95" s="1" t="s">
        <v>121</v>
      </c>
      <c r="EB95" s="1" t="s">
        <v>121</v>
      </c>
      <c r="EC95" s="1" t="s">
        <v>121</v>
      </c>
      <c r="ED95" s="1" t="s">
        <v>121</v>
      </c>
      <c r="EE95" s="1" t="s">
        <v>121</v>
      </c>
      <c r="EF95" s="1" t="s">
        <v>121</v>
      </c>
      <c r="EG95" s="1" t="s">
        <v>121</v>
      </c>
      <c r="EH95" s="1" t="s">
        <v>121</v>
      </c>
      <c r="EI95" s="1" t="s">
        <v>121</v>
      </c>
      <c r="EJ95" s="1" t="s">
        <v>121</v>
      </c>
      <c r="EK95" s="1" t="s">
        <v>121</v>
      </c>
    </row>
  </sheetData>
  <customSheetViews>
    <customSheetView guid="{0284F5E2-DB98-486F-B3F7-128FA2A0A465}" showGridLines="0" fitToPage="1" hiddenRows="1">
      <pane ySplit="5" topLeftCell="A7" activePane="bottomLeft" state="frozen"/>
      <selection pane="bottomLeft" activeCell="F54" sqref="F54"/>
      <pageMargins left="0.23622047244094491" right="0.23622047244094491" top="0.74803149606299213" bottom="0.74803149606299213" header="0.31496062992125984" footer="0.31496062992125984"/>
      <pageSetup paperSize="9" scale="14" orientation="portrait" r:id="rId1"/>
    </customSheetView>
    <customSheetView guid="{E4AC4991-F371-4BAF-8335-AD017EF379C0}" showGridLines="0" fitToPage="1" hiddenRows="1" topLeftCell="AD1">
      <pane ySplit="5" topLeftCell="A65" activePane="bottomLeft" state="frozen"/>
      <selection pane="bottomLeft" activeCell="F68" sqref="F68:AS69"/>
      <pageMargins left="0.23622047244094491" right="0.23622047244094491" top="0.74803149606299213" bottom="0.74803149606299213" header="0.31496062992125984" footer="0.31496062992125984"/>
      <pageSetup paperSize="9" scale="14" orientation="portrait" r:id="rId2"/>
    </customSheetView>
  </customSheetViews>
  <mergeCells count="313">
    <mergeCell ref="K70:K71"/>
    <mergeCell ref="K85:K86"/>
    <mergeCell ref="L7:L8"/>
    <mergeCell ref="L32:L33"/>
    <mergeCell ref="P85:P86"/>
    <mergeCell ref="M7:M8"/>
    <mergeCell ref="M32:M33"/>
    <mergeCell ref="I7:I8"/>
    <mergeCell ref="I32:I33"/>
    <mergeCell ref="I63:I64"/>
    <mergeCell ref="I70:I71"/>
    <mergeCell ref="I85:I86"/>
    <mergeCell ref="J7:J8"/>
    <mergeCell ref="J32:J33"/>
    <mergeCell ref="J63:J64"/>
    <mergeCell ref="J70:J71"/>
    <mergeCell ref="J85:J86"/>
    <mergeCell ref="AG32:AG33"/>
    <mergeCell ref="AG63:AG64"/>
    <mergeCell ref="AG85:AG86"/>
    <mergeCell ref="Z85:Z86"/>
    <mergeCell ref="AB63:AB64"/>
    <mergeCell ref="AB32:AB33"/>
    <mergeCell ref="AB7:AB8"/>
    <mergeCell ref="AC63:AC64"/>
    <mergeCell ref="AC32:AC33"/>
    <mergeCell ref="AF85:AF86"/>
    <mergeCell ref="AE70:AE71"/>
    <mergeCell ref="AA32:AA33"/>
    <mergeCell ref="AA63:AA64"/>
    <mergeCell ref="AA70:AA71"/>
    <mergeCell ref="AG70:AG71"/>
    <mergeCell ref="AD70:AD71"/>
    <mergeCell ref="AL85:AL86"/>
    <mergeCell ref="AI63:AI64"/>
    <mergeCell ref="AI32:AI33"/>
    <mergeCell ref="AP70:AP71"/>
    <mergeCell ref="AJ63:AJ64"/>
    <mergeCell ref="AI85:AI86"/>
    <mergeCell ref="AJ70:AJ71"/>
    <mergeCell ref="AK70:AK71"/>
    <mergeCell ref="AJ85:AJ86"/>
    <mergeCell ref="AN85:AN86"/>
    <mergeCell ref="AL70:AL71"/>
    <mergeCell ref="AM70:AM71"/>
    <mergeCell ref="AK63:AK64"/>
    <mergeCell ref="AJ32:AJ33"/>
    <mergeCell ref="AP32:AP33"/>
    <mergeCell ref="AL63:AL64"/>
    <mergeCell ref="AL32:AL33"/>
    <mergeCell ref="AN32:AN33"/>
    <mergeCell ref="AN63:AN64"/>
    <mergeCell ref="AN70:AN71"/>
    <mergeCell ref="AO70:AO71"/>
    <mergeCell ref="AO85:AO86"/>
    <mergeCell ref="AO32:AO33"/>
    <mergeCell ref="AO63:AO64"/>
    <mergeCell ref="AT32:AT33"/>
    <mergeCell ref="AP63:AP64"/>
    <mergeCell ref="AS32:AS33"/>
    <mergeCell ref="AQ63:AQ64"/>
    <mergeCell ref="AT63:AT64"/>
    <mergeCell ref="AT85:AT86"/>
    <mergeCell ref="AR63:AR64"/>
    <mergeCell ref="AR85:AR86"/>
    <mergeCell ref="AS70:AS71"/>
    <mergeCell ref="AQ70:AQ71"/>
    <mergeCell ref="AP85:AP86"/>
    <mergeCell ref="AQ85:AQ86"/>
    <mergeCell ref="AS85:AS86"/>
    <mergeCell ref="AR70:AR71"/>
    <mergeCell ref="AR32:AR33"/>
    <mergeCell ref="AQ32:AQ33"/>
    <mergeCell ref="BC85:BC86"/>
    <mergeCell ref="AW32:AW33"/>
    <mergeCell ref="AY63:AY64"/>
    <mergeCell ref="AY70:AY71"/>
    <mergeCell ref="AW7:AW8"/>
    <mergeCell ref="AY32:AY33"/>
    <mergeCell ref="BC70:BC71"/>
    <mergeCell ref="BB70:BB71"/>
    <mergeCell ref="AZ7:AZ8"/>
    <mergeCell ref="AZ32:AZ33"/>
    <mergeCell ref="BC32:BC33"/>
    <mergeCell ref="BB63:BB64"/>
    <mergeCell ref="BB32:BB33"/>
    <mergeCell ref="BB85:BB86"/>
    <mergeCell ref="AZ85:AZ86"/>
    <mergeCell ref="AX63:AX64"/>
    <mergeCell ref="AX32:AX33"/>
    <mergeCell ref="AW63:AW64"/>
    <mergeCell ref="AX7:AX8"/>
    <mergeCell ref="BC63:BC64"/>
    <mergeCell ref="BC7:BC8"/>
    <mergeCell ref="AU85:AU86"/>
    <mergeCell ref="AZ70:AZ71"/>
    <mergeCell ref="AY85:AY86"/>
    <mergeCell ref="B85:B86"/>
    <mergeCell ref="BA85:BA86"/>
    <mergeCell ref="B63:B64"/>
    <mergeCell ref="B70:B71"/>
    <mergeCell ref="BA70:BA71"/>
    <mergeCell ref="C70:C71"/>
    <mergeCell ref="E70:E71"/>
    <mergeCell ref="C85:C86"/>
    <mergeCell ref="AM63:AM64"/>
    <mergeCell ref="E85:E86"/>
    <mergeCell ref="AM85:AM86"/>
    <mergeCell ref="AW85:AW86"/>
    <mergeCell ref="AX85:AX86"/>
    <mergeCell ref="AI70:AI71"/>
    <mergeCell ref="AC85:AC86"/>
    <mergeCell ref="AK85:AK86"/>
    <mergeCell ref="AD85:AD86"/>
    <mergeCell ref="AF63:AF64"/>
    <mergeCell ref="AB85:AB86"/>
    <mergeCell ref="AH85:AH86"/>
    <mergeCell ref="AD63:AD64"/>
    <mergeCell ref="AV85:AV86"/>
    <mergeCell ref="AZ63:AZ64"/>
    <mergeCell ref="B32:B33"/>
    <mergeCell ref="B7:B8"/>
    <mergeCell ref="C5:E5"/>
    <mergeCell ref="D7:D8"/>
    <mergeCell ref="C32:C33"/>
    <mergeCell ref="D32:D33"/>
    <mergeCell ref="C63:C64"/>
    <mergeCell ref="E63:E64"/>
    <mergeCell ref="C7:C8"/>
    <mergeCell ref="E7:E8"/>
    <mergeCell ref="E32:E33"/>
    <mergeCell ref="AR7:AR8"/>
    <mergeCell ref="AJ7:AJ8"/>
    <mergeCell ref="AL7:AL8"/>
    <mergeCell ref="AU63:AU64"/>
    <mergeCell ref="AQ7:AQ8"/>
    <mergeCell ref="AP7:AP8"/>
    <mergeCell ref="AK7:AK8"/>
    <mergeCell ref="AN7:AN8"/>
    <mergeCell ref="AO7:AO8"/>
    <mergeCell ref="AT7:AT8"/>
    <mergeCell ref="AW70:AW71"/>
    <mergeCell ref="BL7:BL8"/>
    <mergeCell ref="BL32:BL33"/>
    <mergeCell ref="BJ63:BJ64"/>
    <mergeCell ref="BK7:BK8"/>
    <mergeCell ref="BK32:BK33"/>
    <mergeCell ref="BK63:BK64"/>
    <mergeCell ref="BJ7:BJ8"/>
    <mergeCell ref="BI63:BI64"/>
    <mergeCell ref="BI7:BI8"/>
    <mergeCell ref="BJ32:BJ33"/>
    <mergeCell ref="BI32:BI33"/>
    <mergeCell ref="BH7:BH8"/>
    <mergeCell ref="BA32:BA33"/>
    <mergeCell ref="AV32:AV33"/>
    <mergeCell ref="AC7:AC8"/>
    <mergeCell ref="AA7:AA8"/>
    <mergeCell ref="AB70:AB71"/>
    <mergeCell ref="AD32:AD33"/>
    <mergeCell ref="AE63:AE64"/>
    <mergeCell ref="AE32:AE33"/>
    <mergeCell ref="AK32:AK33"/>
    <mergeCell ref="AM7:AM8"/>
    <mergeCell ref="AM32:AM33"/>
    <mergeCell ref="AF32:AF33"/>
    <mergeCell ref="AD7:AD8"/>
    <mergeCell ref="AH32:AH33"/>
    <mergeCell ref="AH7:AH8"/>
    <mergeCell ref="AI7:AI8"/>
    <mergeCell ref="AH63:AH64"/>
    <mergeCell ref="AF7:AF8"/>
    <mergeCell ref="AG7:AG8"/>
    <mergeCell ref="AH70:AH71"/>
    <mergeCell ref="BH32:BH33"/>
    <mergeCell ref="AU70:AU71"/>
    <mergeCell ref="AV70:AV71"/>
    <mergeCell ref="AS7:AS8"/>
    <mergeCell ref="AU32:AU33"/>
    <mergeCell ref="AX70:AX71"/>
    <mergeCell ref="BG32:BG33"/>
    <mergeCell ref="BF7:BF8"/>
    <mergeCell ref="BF70:BF71"/>
    <mergeCell ref="BF32:BF33"/>
    <mergeCell ref="BG7:BG8"/>
    <mergeCell ref="BE7:BE8"/>
    <mergeCell ref="BD63:BD64"/>
    <mergeCell ref="BD70:BD71"/>
    <mergeCell ref="BE63:BE64"/>
    <mergeCell ref="BD7:BD8"/>
    <mergeCell ref="BE32:BE33"/>
    <mergeCell ref="BD32:BD33"/>
    <mergeCell ref="AV7:AV8"/>
    <mergeCell ref="AU7:AU8"/>
    <mergeCell ref="AY7:AY8"/>
    <mergeCell ref="BA63:BA64"/>
    <mergeCell ref="BB7:BB8"/>
    <mergeCell ref="BA7:BA8"/>
    <mergeCell ref="AS63:AS64"/>
    <mergeCell ref="AV63:AV64"/>
    <mergeCell ref="AT70:AT71"/>
    <mergeCell ref="BL85:BL86"/>
    <mergeCell ref="BH85:BH86"/>
    <mergeCell ref="BI85:BI86"/>
    <mergeCell ref="BJ85:BJ86"/>
    <mergeCell ref="BK85:BK86"/>
    <mergeCell ref="BL63:BL64"/>
    <mergeCell ref="BF85:BF86"/>
    <mergeCell ref="BG85:BG86"/>
    <mergeCell ref="BD85:BD86"/>
    <mergeCell ref="BE70:BE71"/>
    <mergeCell ref="BL70:BL71"/>
    <mergeCell ref="BI70:BI71"/>
    <mergeCell ref="BJ70:BJ71"/>
    <mergeCell ref="BE85:BE86"/>
    <mergeCell ref="BK70:BK71"/>
    <mergeCell ref="BH70:BH71"/>
    <mergeCell ref="BH63:BH64"/>
    <mergeCell ref="BF63:BF64"/>
    <mergeCell ref="BG70:BG71"/>
    <mergeCell ref="BG63:BG64"/>
    <mergeCell ref="W63:W64"/>
    <mergeCell ref="W70:W71"/>
    <mergeCell ref="W85:W86"/>
    <mergeCell ref="AA85:AA86"/>
    <mergeCell ref="AF70:AF71"/>
    <mergeCell ref="X7:X8"/>
    <mergeCell ref="X32:X33"/>
    <mergeCell ref="X63:X64"/>
    <mergeCell ref="X70:X71"/>
    <mergeCell ref="X85:X86"/>
    <mergeCell ref="AE85:AE86"/>
    <mergeCell ref="Y7:Y8"/>
    <mergeCell ref="Y32:Y33"/>
    <mergeCell ref="Y63:Y64"/>
    <mergeCell ref="Y70:Y71"/>
    <mergeCell ref="Y85:Y86"/>
    <mergeCell ref="AC70:AC71"/>
    <mergeCell ref="Z7:Z8"/>
    <mergeCell ref="Z32:Z33"/>
    <mergeCell ref="Z63:Z64"/>
    <mergeCell ref="Z70:Z71"/>
    <mergeCell ref="AE7:AE8"/>
    <mergeCell ref="W7:W8"/>
    <mergeCell ref="W32:W33"/>
    <mergeCell ref="V7:V8"/>
    <mergeCell ref="V32:V33"/>
    <mergeCell ref="V63:V64"/>
    <mergeCell ref="V70:V71"/>
    <mergeCell ref="V85:V86"/>
    <mergeCell ref="U7:U8"/>
    <mergeCell ref="U32:U33"/>
    <mergeCell ref="U63:U64"/>
    <mergeCell ref="U70:U71"/>
    <mergeCell ref="U85:U86"/>
    <mergeCell ref="H32:H33"/>
    <mergeCell ref="H63:H64"/>
    <mergeCell ref="H70:H71"/>
    <mergeCell ref="H85:H86"/>
    <mergeCell ref="L63:L64"/>
    <mergeCell ref="L70:L71"/>
    <mergeCell ref="L85:L86"/>
    <mergeCell ref="T7:T8"/>
    <mergeCell ref="T32:T33"/>
    <mergeCell ref="T63:T64"/>
    <mergeCell ref="T70:T71"/>
    <mergeCell ref="T85:T86"/>
    <mergeCell ref="S7:S8"/>
    <mergeCell ref="S32:S33"/>
    <mergeCell ref="S63:S64"/>
    <mergeCell ref="S70:S71"/>
    <mergeCell ref="S85:S86"/>
    <mergeCell ref="N85:N86"/>
    <mergeCell ref="O70:O71"/>
    <mergeCell ref="O85:O86"/>
    <mergeCell ref="P7:P8"/>
    <mergeCell ref="P32:P33"/>
    <mergeCell ref="P63:P64"/>
    <mergeCell ref="P70:P71"/>
    <mergeCell ref="R7:R8"/>
    <mergeCell ref="R32:R33"/>
    <mergeCell ref="R63:R64"/>
    <mergeCell ref="R70:R71"/>
    <mergeCell ref="R85:R86"/>
    <mergeCell ref="Q7:Q8"/>
    <mergeCell ref="Q32:Q33"/>
    <mergeCell ref="Q63:Q64"/>
    <mergeCell ref="Q70:Q71"/>
    <mergeCell ref="Q85:Q86"/>
    <mergeCell ref="F70:F71"/>
    <mergeCell ref="F85:F86"/>
    <mergeCell ref="G7:G8"/>
    <mergeCell ref="G32:G33"/>
    <mergeCell ref="G63:G64"/>
    <mergeCell ref="G70:G71"/>
    <mergeCell ref="G85:G86"/>
    <mergeCell ref="O7:O8"/>
    <mergeCell ref="O32:O33"/>
    <mergeCell ref="O63:O64"/>
    <mergeCell ref="K7:K8"/>
    <mergeCell ref="K32:K33"/>
    <mergeCell ref="K63:K64"/>
    <mergeCell ref="F7:F8"/>
    <mergeCell ref="F32:F33"/>
    <mergeCell ref="F63:F64"/>
    <mergeCell ref="M63:M64"/>
    <mergeCell ref="M70:M71"/>
    <mergeCell ref="M85:M86"/>
    <mergeCell ref="N7:N8"/>
    <mergeCell ref="N32:N33"/>
    <mergeCell ref="N63:N64"/>
    <mergeCell ref="N70:N71"/>
    <mergeCell ref="H7:H8"/>
  </mergeCells>
  <phoneticPr fontId="14" type="noConversion"/>
  <hyperlinks>
    <hyperlink ref="C5" location="Contents!A1" display="Contents!A1"/>
    <hyperlink ref="F5" location="'Key Financials'!A1" display="Key financial and operational results"/>
    <hyperlink ref="H5" location="'Loan Portfolio IFRS 9'!A1" display="Loan portfolio"/>
    <hyperlink ref="I5" location="'Customer Deposits'!A1" display="Customer deposits"/>
    <hyperlink ref="J5" location="Capital!A1" display="Capital"/>
    <hyperlink ref="K5" location="'Income and Expenses structure'!A1" display="Income and Expenses structure"/>
  </hyperlinks>
  <pageMargins left="0.23622047244094491" right="0.23622047244094491" top="0.74803149606299213" bottom="0.74803149606299213" header="0.31496062992125984" footer="0.31496062992125984"/>
  <pageSetup paperSize="9" scale="13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EW243"/>
  <sheetViews>
    <sheetView showGridLines="0" zoomScale="85" zoomScaleNormal="85" workbookViewId="0">
      <pane ySplit="5" topLeftCell="A6" activePane="bottomLeft" state="frozen"/>
      <selection activeCell="A5" sqref="A5:XFD5"/>
      <selection pane="bottomLeft"/>
    </sheetView>
  </sheetViews>
  <sheetFormatPr defaultColWidth="9.140625" defaultRowHeight="15" x14ac:dyDescent="0.25"/>
  <cols>
    <col min="1" max="1" width="5.7109375" style="1" customWidth="1"/>
    <col min="2" max="2" width="54.42578125" style="1" customWidth="1"/>
    <col min="3" max="5" width="8.7109375" style="1" customWidth="1"/>
    <col min="6" max="6" width="16.7109375" style="284" customWidth="1"/>
    <col min="7" max="37" width="16.7109375" style="1" customWidth="1"/>
    <col min="38" max="16384" width="9.140625" style="1"/>
  </cols>
  <sheetData>
    <row r="1" spans="1:153" ht="22.5" customHeight="1" x14ac:dyDescent="0.25">
      <c r="A1" s="307">
        <v>1</v>
      </c>
      <c r="B1" s="358">
        <v>2</v>
      </c>
      <c r="C1" s="359">
        <v>3</v>
      </c>
      <c r="D1" s="358">
        <v>4</v>
      </c>
      <c r="E1" s="359">
        <v>5</v>
      </c>
      <c r="F1" s="358">
        <v>6</v>
      </c>
      <c r="G1" s="359">
        <v>7</v>
      </c>
      <c r="H1" s="358">
        <v>8</v>
      </c>
      <c r="I1" s="359">
        <v>9</v>
      </c>
      <c r="J1" s="358">
        <v>10</v>
      </c>
      <c r="K1" s="359">
        <v>11</v>
      </c>
      <c r="L1" s="358">
        <v>12</v>
      </c>
      <c r="M1" s="359">
        <v>13</v>
      </c>
      <c r="N1" s="358">
        <v>14</v>
      </c>
      <c r="O1" s="359">
        <v>15</v>
      </c>
      <c r="P1" s="358">
        <v>16</v>
      </c>
      <c r="Q1" s="359">
        <v>17</v>
      </c>
      <c r="R1" s="358">
        <v>18</v>
      </c>
      <c r="S1" s="359">
        <v>19</v>
      </c>
      <c r="T1" s="358">
        <v>20</v>
      </c>
      <c r="U1" s="359">
        <v>21</v>
      </c>
      <c r="V1" s="358">
        <v>22</v>
      </c>
      <c r="W1" s="359">
        <v>23</v>
      </c>
      <c r="X1" s="358">
        <v>24</v>
      </c>
      <c r="Y1" s="359">
        <v>25</v>
      </c>
      <c r="Z1" s="358">
        <v>26</v>
      </c>
      <c r="AA1" s="359">
        <v>27</v>
      </c>
      <c r="AB1" s="358">
        <v>28</v>
      </c>
      <c r="AC1" s="359">
        <v>29</v>
      </c>
      <c r="AD1" s="358">
        <v>30</v>
      </c>
      <c r="AE1" s="359">
        <v>31</v>
      </c>
      <c r="AF1" s="359">
        <v>32</v>
      </c>
      <c r="AG1" s="359">
        <v>33</v>
      </c>
      <c r="AH1" s="358">
        <v>34</v>
      </c>
      <c r="AI1" s="359">
        <v>35</v>
      </c>
      <c r="AJ1" s="358">
        <v>36</v>
      </c>
      <c r="AK1" s="359">
        <v>37</v>
      </c>
      <c r="AL1" s="358">
        <v>38</v>
      </c>
      <c r="AM1" s="359">
        <v>39</v>
      </c>
      <c r="AN1" s="358">
        <v>40</v>
      </c>
      <c r="AO1" s="359">
        <v>41</v>
      </c>
      <c r="AP1" s="358">
        <v>42</v>
      </c>
      <c r="AQ1" s="359">
        <v>43</v>
      </c>
      <c r="AR1" s="358">
        <v>44</v>
      </c>
      <c r="AS1" s="359">
        <v>45</v>
      </c>
      <c r="AT1" s="358">
        <v>46</v>
      </c>
      <c r="AU1" s="359">
        <v>47</v>
      </c>
      <c r="AV1" s="358">
        <v>48</v>
      </c>
      <c r="AW1" s="359">
        <v>49</v>
      </c>
      <c r="AX1" s="358">
        <v>50</v>
      </c>
      <c r="AY1" s="359">
        <v>51</v>
      </c>
      <c r="AZ1" s="358">
        <v>52</v>
      </c>
      <c r="BA1" s="359">
        <v>53</v>
      </c>
      <c r="BB1" s="358">
        <v>54</v>
      </c>
      <c r="BC1" s="359">
        <v>55</v>
      </c>
      <c r="BD1" s="358">
        <v>56</v>
      </c>
      <c r="BE1" s="359">
        <v>57</v>
      </c>
      <c r="BF1" s="358">
        <v>58</v>
      </c>
      <c r="BG1" s="359">
        <v>59</v>
      </c>
      <c r="BH1" s="358">
        <v>60</v>
      </c>
      <c r="BI1" s="359">
        <v>61</v>
      </c>
      <c r="BJ1" s="358">
        <v>62</v>
      </c>
      <c r="BK1" s="359">
        <v>63</v>
      </c>
      <c r="BL1" s="358">
        <v>64</v>
      </c>
      <c r="BM1" s="359">
        <v>65</v>
      </c>
      <c r="BN1" s="358">
        <v>66</v>
      </c>
      <c r="BO1" s="359">
        <v>67</v>
      </c>
      <c r="BP1" s="358">
        <v>68</v>
      </c>
      <c r="BQ1" s="359">
        <v>69</v>
      </c>
      <c r="BR1" s="358">
        <v>70</v>
      </c>
      <c r="BS1" s="359">
        <v>71</v>
      </c>
      <c r="BT1" s="358">
        <v>72</v>
      </c>
      <c r="BU1" s="359">
        <v>73</v>
      </c>
      <c r="BV1" s="358">
        <v>74</v>
      </c>
      <c r="BW1" s="359">
        <v>75</v>
      </c>
      <c r="BX1" s="358">
        <v>76</v>
      </c>
      <c r="BY1" s="359">
        <v>77</v>
      </c>
      <c r="BZ1" s="358">
        <v>78</v>
      </c>
      <c r="CA1" s="359">
        <v>79</v>
      </c>
      <c r="CB1" s="358">
        <v>80</v>
      </c>
      <c r="CC1" s="359">
        <v>81</v>
      </c>
      <c r="CD1" s="358">
        <v>82</v>
      </c>
      <c r="CE1" s="359">
        <v>83</v>
      </c>
      <c r="CF1" s="358">
        <v>84</v>
      </c>
      <c r="CG1" s="359">
        <v>85</v>
      </c>
      <c r="CH1" s="358">
        <v>86</v>
      </c>
      <c r="CI1" s="359">
        <v>87</v>
      </c>
      <c r="CJ1" s="358">
        <v>88</v>
      </c>
      <c r="CK1" s="359">
        <v>89</v>
      </c>
      <c r="CL1" s="358">
        <v>90</v>
      </c>
      <c r="CM1" s="359">
        <v>91</v>
      </c>
      <c r="CN1" s="358">
        <v>92</v>
      </c>
      <c r="CO1" s="359">
        <v>93</v>
      </c>
      <c r="CP1" s="358">
        <v>94</v>
      </c>
      <c r="CQ1" s="359">
        <v>95</v>
      </c>
      <c r="CR1" s="358">
        <v>96</v>
      </c>
      <c r="CS1" s="359">
        <v>97</v>
      </c>
      <c r="CT1" s="358">
        <v>98</v>
      </c>
      <c r="CU1" s="359">
        <v>99</v>
      </c>
      <c r="CV1" s="358">
        <v>100</v>
      </c>
      <c r="CW1" s="359">
        <v>101</v>
      </c>
      <c r="CX1" s="358">
        <v>102</v>
      </c>
      <c r="CY1" s="359">
        <v>103</v>
      </c>
      <c r="CZ1" s="358">
        <v>104</v>
      </c>
      <c r="DA1" s="359">
        <v>105</v>
      </c>
      <c r="DB1" s="358">
        <v>106</v>
      </c>
      <c r="DC1" s="359">
        <v>107</v>
      </c>
      <c r="DD1" s="358">
        <v>108</v>
      </c>
      <c r="DE1" s="359">
        <v>109</v>
      </c>
      <c r="DF1" s="358">
        <v>110</v>
      </c>
      <c r="DG1" s="359">
        <v>111</v>
      </c>
      <c r="DH1" s="358">
        <v>112</v>
      </c>
      <c r="DI1" s="359">
        <v>113</v>
      </c>
      <c r="DJ1" s="358">
        <v>114</v>
      </c>
      <c r="DK1" s="359">
        <v>115</v>
      </c>
      <c r="DL1" s="358">
        <v>116</v>
      </c>
      <c r="DM1" s="359">
        <v>117</v>
      </c>
      <c r="DN1" s="358">
        <v>118</v>
      </c>
      <c r="DO1" s="359">
        <v>119</v>
      </c>
      <c r="DP1" s="358">
        <v>120</v>
      </c>
      <c r="DQ1" s="359">
        <v>121</v>
      </c>
      <c r="DR1" s="358">
        <v>122</v>
      </c>
      <c r="DS1" s="359">
        <v>123</v>
      </c>
      <c r="DT1" s="358">
        <v>124</v>
      </c>
      <c r="DU1" s="359">
        <v>125</v>
      </c>
      <c r="DV1" s="358">
        <v>126</v>
      </c>
      <c r="DW1" s="359">
        <v>127</v>
      </c>
      <c r="DX1" s="358">
        <v>128</v>
      </c>
      <c r="DY1" s="359">
        <v>129</v>
      </c>
      <c r="DZ1" s="358">
        <v>130</v>
      </c>
      <c r="EA1" s="359">
        <v>131</v>
      </c>
      <c r="EB1" s="358">
        <v>132</v>
      </c>
      <c r="EC1" s="359">
        <v>133</v>
      </c>
      <c r="ED1" s="358">
        <v>134</v>
      </c>
      <c r="EE1" s="359">
        <v>135</v>
      </c>
      <c r="EF1" s="358">
        <v>136</v>
      </c>
      <c r="EG1" s="359">
        <v>137</v>
      </c>
      <c r="EH1" s="358">
        <v>138</v>
      </c>
      <c r="EI1" s="359">
        <v>139</v>
      </c>
      <c r="EJ1" s="358">
        <v>140</v>
      </c>
      <c r="EK1" s="359">
        <v>141</v>
      </c>
      <c r="EL1" s="358">
        <v>142</v>
      </c>
      <c r="EM1" s="359">
        <v>143</v>
      </c>
      <c r="EN1" s="358">
        <v>144</v>
      </c>
      <c r="EO1" s="359">
        <v>145</v>
      </c>
      <c r="EP1" s="358">
        <v>146</v>
      </c>
      <c r="EQ1" s="359">
        <v>147</v>
      </c>
      <c r="ER1" s="358">
        <v>148</v>
      </c>
      <c r="ES1" s="359">
        <v>149</v>
      </c>
      <c r="ET1" s="358">
        <v>150</v>
      </c>
      <c r="EU1" s="359">
        <v>151</v>
      </c>
      <c r="EV1" s="358">
        <v>152</v>
      </c>
      <c r="EW1" s="359">
        <v>153</v>
      </c>
    </row>
    <row r="2" spans="1:153" x14ac:dyDescent="0.25">
      <c r="A2" s="72">
        <v>2</v>
      </c>
    </row>
    <row r="3" spans="1:153" x14ac:dyDescent="0.25">
      <c r="A3" s="72">
        <v>3</v>
      </c>
    </row>
    <row r="4" spans="1:153" x14ac:dyDescent="0.25">
      <c r="A4" s="72">
        <v>4</v>
      </c>
      <c r="C4" s="6"/>
      <c r="D4" s="6"/>
    </row>
    <row r="5" spans="1:153" ht="51" customHeight="1" thickBot="1" x14ac:dyDescent="0.3">
      <c r="A5" s="72">
        <v>5</v>
      </c>
      <c r="B5" s="121" t="s">
        <v>56</v>
      </c>
      <c r="C5" s="454" t="s">
        <v>3</v>
      </c>
      <c r="D5" s="454"/>
      <c r="E5" s="454"/>
      <c r="F5" s="285" t="s">
        <v>0</v>
      </c>
      <c r="G5" s="47" t="s">
        <v>53</v>
      </c>
      <c r="H5" s="118" t="s">
        <v>56</v>
      </c>
      <c r="I5" s="119" t="s">
        <v>1</v>
      </c>
      <c r="J5" s="119" t="s">
        <v>2</v>
      </c>
      <c r="K5" s="59" t="s">
        <v>63</v>
      </c>
    </row>
    <row r="6" spans="1:153" ht="15.75" thickTop="1" x14ac:dyDescent="0.25">
      <c r="A6" s="72">
        <v>6</v>
      </c>
      <c r="B6" s="60"/>
    </row>
    <row r="7" spans="1:153" ht="15.75" customHeight="1" x14ac:dyDescent="0.25">
      <c r="A7" s="72">
        <v>7</v>
      </c>
      <c r="B7" s="426" t="s">
        <v>54</v>
      </c>
      <c r="C7" s="436" t="s">
        <v>64</v>
      </c>
      <c r="D7" s="438" t="s">
        <v>265</v>
      </c>
      <c r="E7" s="434" t="s">
        <v>79</v>
      </c>
      <c r="F7" s="416">
        <v>45930</v>
      </c>
      <c r="G7" s="416">
        <v>45838</v>
      </c>
      <c r="H7" s="416">
        <v>45747</v>
      </c>
      <c r="I7" s="416">
        <v>45657</v>
      </c>
      <c r="J7" s="416">
        <v>45565</v>
      </c>
      <c r="K7" s="416">
        <v>45473</v>
      </c>
      <c r="L7" s="416">
        <v>45382</v>
      </c>
      <c r="M7" s="416">
        <v>45291</v>
      </c>
      <c r="N7" s="416">
        <v>45199</v>
      </c>
      <c r="O7" s="416">
        <v>45107</v>
      </c>
      <c r="P7" s="416">
        <v>45016</v>
      </c>
      <c r="Q7" s="416">
        <v>44926</v>
      </c>
      <c r="R7" s="416">
        <v>44834</v>
      </c>
      <c r="S7" s="416">
        <v>44742</v>
      </c>
      <c r="T7" s="416">
        <v>44651</v>
      </c>
      <c r="U7" s="449">
        <v>44561</v>
      </c>
      <c r="V7" s="449">
        <v>44469</v>
      </c>
      <c r="W7" s="449">
        <v>44377</v>
      </c>
      <c r="X7" s="416">
        <v>44286</v>
      </c>
      <c r="Y7" s="452">
        <v>44196</v>
      </c>
      <c r="Z7" s="452">
        <v>44104</v>
      </c>
      <c r="AA7" s="452">
        <v>44012</v>
      </c>
      <c r="AB7" s="416">
        <v>43921</v>
      </c>
      <c r="AC7" s="416">
        <v>43830</v>
      </c>
      <c r="AD7" s="416">
        <v>43738</v>
      </c>
      <c r="AE7" s="416">
        <v>43646</v>
      </c>
      <c r="AF7" s="416">
        <v>43555</v>
      </c>
      <c r="AG7" s="1">
        <v>43465</v>
      </c>
      <c r="AH7" s="1">
        <v>43373</v>
      </c>
      <c r="AI7" s="1">
        <v>43281</v>
      </c>
      <c r="AJ7" s="1">
        <v>43190</v>
      </c>
      <c r="AK7" s="1" t="s">
        <v>121</v>
      </c>
      <c r="AL7" s="1" t="s">
        <v>121</v>
      </c>
      <c r="AM7" s="1" t="s">
        <v>121</v>
      </c>
      <c r="AN7" s="1" t="s">
        <v>121</v>
      </c>
      <c r="AO7" s="1" t="s">
        <v>121</v>
      </c>
      <c r="AP7" s="1" t="s">
        <v>121</v>
      </c>
      <c r="AQ7" s="1" t="s">
        <v>121</v>
      </c>
      <c r="AR7" s="1" t="s">
        <v>121</v>
      </c>
      <c r="AS7" s="1" t="s">
        <v>121</v>
      </c>
      <c r="AT7" s="1" t="s">
        <v>121</v>
      </c>
      <c r="AU7" s="1" t="s">
        <v>121</v>
      </c>
      <c r="AV7" s="1" t="s">
        <v>121</v>
      </c>
      <c r="AW7" s="1" t="s">
        <v>121</v>
      </c>
      <c r="AX7" s="1" t="s">
        <v>121</v>
      </c>
      <c r="AY7" s="1" t="s">
        <v>121</v>
      </c>
      <c r="AZ7" s="1" t="s">
        <v>121</v>
      </c>
      <c r="BA7" s="1" t="s">
        <v>121</v>
      </c>
      <c r="BB7" s="1" t="s">
        <v>121</v>
      </c>
      <c r="BC7" s="1" t="s">
        <v>121</v>
      </c>
      <c r="BD7" s="1" t="s">
        <v>121</v>
      </c>
      <c r="BE7" s="1" t="s">
        <v>121</v>
      </c>
      <c r="BF7" s="1" t="s">
        <v>121</v>
      </c>
      <c r="BG7" s="1" t="s">
        <v>121</v>
      </c>
      <c r="BH7" s="1" t="s">
        <v>121</v>
      </c>
      <c r="BI7" s="1" t="s">
        <v>121</v>
      </c>
      <c r="BJ7" s="1" t="s">
        <v>121</v>
      </c>
      <c r="BK7" s="1" t="s">
        <v>121</v>
      </c>
      <c r="BL7" s="1" t="s">
        <v>121</v>
      </c>
      <c r="BM7" s="1" t="s">
        <v>121</v>
      </c>
      <c r="BN7" s="1" t="s">
        <v>121</v>
      </c>
      <c r="BO7" s="1" t="s">
        <v>121</v>
      </c>
      <c r="BP7" s="1" t="s">
        <v>121</v>
      </c>
      <c r="BQ7" s="1" t="s">
        <v>121</v>
      </c>
    </row>
    <row r="8" spans="1:153" x14ac:dyDescent="0.25">
      <c r="A8" s="72">
        <v>8</v>
      </c>
      <c r="B8" s="427"/>
      <c r="C8" s="437"/>
      <c r="D8" s="451"/>
      <c r="E8" s="444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50"/>
      <c r="V8" s="450"/>
      <c r="W8" s="450"/>
      <c r="X8" s="417"/>
      <c r="Y8" s="453"/>
      <c r="Z8" s="453"/>
      <c r="AA8" s="453"/>
      <c r="AB8" s="417"/>
      <c r="AC8" s="417"/>
      <c r="AD8" s="417"/>
      <c r="AE8" s="417"/>
      <c r="AF8" s="417"/>
    </row>
    <row r="9" spans="1:153" ht="9.75" customHeight="1" x14ac:dyDescent="0.25">
      <c r="A9" s="72">
        <v>9</v>
      </c>
      <c r="B9" s="8" t="s">
        <v>4</v>
      </c>
      <c r="C9" s="87" t="s">
        <v>121</v>
      </c>
      <c r="D9" s="56" t="s">
        <v>121</v>
      </c>
      <c r="E9" s="88" t="s">
        <v>121</v>
      </c>
      <c r="F9" s="56" t="s">
        <v>121</v>
      </c>
      <c r="G9" s="56" t="s">
        <v>121</v>
      </c>
      <c r="H9" s="56" t="s">
        <v>121</v>
      </c>
      <c r="I9" s="56" t="s">
        <v>121</v>
      </c>
      <c r="J9" s="56" t="s">
        <v>121</v>
      </c>
      <c r="K9" s="56" t="s">
        <v>121</v>
      </c>
      <c r="L9" s="56" t="s">
        <v>121</v>
      </c>
      <c r="M9" s="56" t="s">
        <v>121</v>
      </c>
      <c r="N9" s="56" t="s">
        <v>121</v>
      </c>
      <c r="O9" s="56" t="s">
        <v>121</v>
      </c>
      <c r="P9" s="56" t="s">
        <v>121</v>
      </c>
      <c r="Q9" s="56" t="s">
        <v>121</v>
      </c>
      <c r="R9" s="56" t="s">
        <v>121</v>
      </c>
      <c r="S9" s="56" t="s">
        <v>121</v>
      </c>
      <c r="T9" s="56" t="s">
        <v>121</v>
      </c>
      <c r="U9" s="286" t="s">
        <v>121</v>
      </c>
      <c r="V9" s="286" t="s">
        <v>121</v>
      </c>
      <c r="W9" s="286" t="s">
        <v>121</v>
      </c>
      <c r="X9" s="56" t="s">
        <v>121</v>
      </c>
      <c r="Y9" s="56" t="s">
        <v>121</v>
      </c>
      <c r="Z9" s="56" t="s">
        <v>121</v>
      </c>
      <c r="AA9" s="56" t="s">
        <v>121</v>
      </c>
      <c r="AB9" s="56" t="s">
        <v>121</v>
      </c>
      <c r="AC9" s="56" t="s">
        <v>121</v>
      </c>
      <c r="AD9" s="56" t="s">
        <v>121</v>
      </c>
      <c r="AE9" s="56" t="s">
        <v>121</v>
      </c>
      <c r="AF9" s="56" t="s">
        <v>121</v>
      </c>
      <c r="AG9" s="1" t="s">
        <v>121</v>
      </c>
      <c r="AH9" s="1" t="s">
        <v>121</v>
      </c>
      <c r="AI9" s="1" t="s">
        <v>121</v>
      </c>
      <c r="AJ9" s="1" t="s">
        <v>121</v>
      </c>
      <c r="AK9" s="1" t="s">
        <v>121</v>
      </c>
      <c r="AL9" s="1" t="s">
        <v>121</v>
      </c>
      <c r="AM9" s="1" t="s">
        <v>121</v>
      </c>
      <c r="AN9" s="1" t="s">
        <v>121</v>
      </c>
      <c r="AO9" s="1" t="s">
        <v>121</v>
      </c>
      <c r="AP9" s="1" t="s">
        <v>121</v>
      </c>
      <c r="AQ9" s="1" t="s">
        <v>121</v>
      </c>
      <c r="AR9" s="1" t="s">
        <v>121</v>
      </c>
      <c r="AS9" s="1" t="s">
        <v>121</v>
      </c>
      <c r="AT9" s="1" t="s">
        <v>121</v>
      </c>
      <c r="AU9" s="1" t="s">
        <v>121</v>
      </c>
      <c r="AV9" s="1" t="s">
        <v>121</v>
      </c>
      <c r="AW9" s="1" t="s">
        <v>121</v>
      </c>
      <c r="AX9" s="1" t="s">
        <v>121</v>
      </c>
      <c r="AY9" s="1" t="s">
        <v>121</v>
      </c>
      <c r="AZ9" s="1" t="s">
        <v>121</v>
      </c>
      <c r="BA9" s="1" t="s">
        <v>121</v>
      </c>
      <c r="BB9" s="1" t="s">
        <v>121</v>
      </c>
      <c r="BC9" s="1" t="s">
        <v>121</v>
      </c>
      <c r="BD9" s="1" t="s">
        <v>121</v>
      </c>
      <c r="BE9" s="1" t="s">
        <v>121</v>
      </c>
      <c r="BF9" s="1" t="s">
        <v>121</v>
      </c>
      <c r="BG9" s="1" t="s">
        <v>121</v>
      </c>
      <c r="BH9" s="1" t="s">
        <v>121</v>
      </c>
      <c r="BI9" s="1" t="s">
        <v>121</v>
      </c>
      <c r="BJ9" s="1" t="s">
        <v>121</v>
      </c>
      <c r="BK9" s="1" t="s">
        <v>121</v>
      </c>
      <c r="BL9" s="1" t="s">
        <v>121</v>
      </c>
      <c r="BM9" s="1" t="s">
        <v>121</v>
      </c>
      <c r="BN9" s="1" t="s">
        <v>121</v>
      </c>
      <c r="BO9" s="1" t="s">
        <v>121</v>
      </c>
      <c r="BP9" s="1" t="s">
        <v>121</v>
      </c>
      <c r="BQ9" s="1" t="s">
        <v>121</v>
      </c>
    </row>
    <row r="10" spans="1:153" ht="15" customHeight="1" x14ac:dyDescent="0.25">
      <c r="A10" s="72">
        <v>10</v>
      </c>
      <c r="B10" s="237" t="s">
        <v>322</v>
      </c>
      <c r="C10" s="87" t="s">
        <v>121</v>
      </c>
      <c r="D10" s="56" t="s">
        <v>121</v>
      </c>
      <c r="E10" s="88" t="s">
        <v>121</v>
      </c>
      <c r="F10" s="56" t="s">
        <v>121</v>
      </c>
      <c r="G10" s="56" t="s">
        <v>121</v>
      </c>
      <c r="H10" s="56" t="s">
        <v>121</v>
      </c>
      <c r="I10" s="56" t="s">
        <v>121</v>
      </c>
      <c r="J10" s="56" t="s">
        <v>121</v>
      </c>
      <c r="K10" s="56" t="s">
        <v>121</v>
      </c>
      <c r="L10" s="56" t="s">
        <v>121</v>
      </c>
      <c r="M10" s="56" t="s">
        <v>121</v>
      </c>
      <c r="N10" s="56" t="s">
        <v>121</v>
      </c>
      <c r="O10" s="56" t="s">
        <v>121</v>
      </c>
      <c r="P10" s="56" t="s">
        <v>121</v>
      </c>
      <c r="Q10" s="56" t="s">
        <v>121</v>
      </c>
      <c r="R10" s="56" t="s">
        <v>121</v>
      </c>
      <c r="S10" s="56" t="s">
        <v>121</v>
      </c>
      <c r="T10" s="56" t="s">
        <v>121</v>
      </c>
      <c r="U10" s="286" t="s">
        <v>121</v>
      </c>
      <c r="V10" s="286" t="s">
        <v>121</v>
      </c>
      <c r="W10" s="286" t="s">
        <v>121</v>
      </c>
      <c r="X10" s="56" t="s">
        <v>121</v>
      </c>
      <c r="Y10" s="56" t="s">
        <v>121</v>
      </c>
      <c r="Z10" s="56" t="s">
        <v>121</v>
      </c>
      <c r="AA10" s="56" t="s">
        <v>121</v>
      </c>
      <c r="AB10" s="56" t="s">
        <v>121</v>
      </c>
      <c r="AC10" s="56" t="s">
        <v>121</v>
      </c>
      <c r="AD10" s="56" t="s">
        <v>121</v>
      </c>
      <c r="AE10" s="56" t="s">
        <v>121</v>
      </c>
      <c r="AF10" s="56" t="s">
        <v>121</v>
      </c>
      <c r="AG10" s="1" t="s">
        <v>121</v>
      </c>
      <c r="AH10" s="1" t="s">
        <v>121</v>
      </c>
      <c r="AI10" s="1" t="s">
        <v>121</v>
      </c>
      <c r="AJ10" s="1" t="s">
        <v>121</v>
      </c>
      <c r="AK10" s="1" t="s">
        <v>121</v>
      </c>
      <c r="AL10" s="1" t="s">
        <v>121</v>
      </c>
      <c r="AM10" s="1" t="s">
        <v>121</v>
      </c>
      <c r="AN10" s="1" t="s">
        <v>121</v>
      </c>
      <c r="AO10" s="1" t="s">
        <v>121</v>
      </c>
      <c r="AP10" s="1" t="s">
        <v>121</v>
      </c>
      <c r="AQ10" s="1" t="s">
        <v>121</v>
      </c>
      <c r="AR10" s="1" t="s">
        <v>121</v>
      </c>
      <c r="AS10" s="1" t="s">
        <v>121</v>
      </c>
      <c r="AT10" s="1" t="s">
        <v>121</v>
      </c>
      <c r="AU10" s="1" t="s">
        <v>121</v>
      </c>
      <c r="AV10" s="1" t="s">
        <v>121</v>
      </c>
      <c r="AW10" s="1" t="s">
        <v>121</v>
      </c>
      <c r="AX10" s="1" t="s">
        <v>121</v>
      </c>
      <c r="AY10" s="1" t="s">
        <v>121</v>
      </c>
      <c r="AZ10" s="1" t="s">
        <v>121</v>
      </c>
      <c r="BA10" s="1" t="s">
        <v>121</v>
      </c>
      <c r="BB10" s="1" t="s">
        <v>121</v>
      </c>
      <c r="BC10" s="1" t="s">
        <v>121</v>
      </c>
      <c r="BD10" s="1" t="s">
        <v>121</v>
      </c>
      <c r="BE10" s="1" t="s">
        <v>121</v>
      </c>
      <c r="BF10" s="1" t="s">
        <v>121</v>
      </c>
      <c r="BG10" s="1" t="s">
        <v>121</v>
      </c>
      <c r="BH10" s="1" t="s">
        <v>121</v>
      </c>
      <c r="BI10" s="1" t="s">
        <v>121</v>
      </c>
      <c r="BJ10" s="1" t="s">
        <v>121</v>
      </c>
      <c r="BK10" s="1" t="s">
        <v>121</v>
      </c>
      <c r="BL10" s="1" t="s">
        <v>121</v>
      </c>
      <c r="BM10" s="1" t="s">
        <v>121</v>
      </c>
      <c r="BN10" s="1" t="s">
        <v>121</v>
      </c>
      <c r="BO10" s="1" t="s">
        <v>121</v>
      </c>
      <c r="BP10" s="1" t="s">
        <v>121</v>
      </c>
      <c r="BQ10" s="1" t="s">
        <v>121</v>
      </c>
    </row>
    <row r="11" spans="1:153" ht="15" customHeight="1" x14ac:dyDescent="0.25">
      <c r="A11" s="72">
        <v>11</v>
      </c>
      <c r="B11" s="17" t="s">
        <v>5</v>
      </c>
      <c r="C11" s="91" t="s">
        <v>121</v>
      </c>
      <c r="D11" s="86" t="s">
        <v>121</v>
      </c>
      <c r="E11" s="92" t="s">
        <v>121</v>
      </c>
      <c r="F11" s="86" t="s">
        <v>121</v>
      </c>
      <c r="G11" s="86" t="s">
        <v>121</v>
      </c>
      <c r="H11" s="86" t="s">
        <v>121</v>
      </c>
      <c r="I11" s="86" t="s">
        <v>121</v>
      </c>
      <c r="J11" s="86" t="s">
        <v>121</v>
      </c>
      <c r="K11" s="86" t="s">
        <v>121</v>
      </c>
      <c r="L11" s="86" t="s">
        <v>121</v>
      </c>
      <c r="M11" s="86" t="s">
        <v>121</v>
      </c>
      <c r="N11" s="86" t="s">
        <v>121</v>
      </c>
      <c r="O11" s="86" t="s">
        <v>121</v>
      </c>
      <c r="P11" s="86" t="s">
        <v>121</v>
      </c>
      <c r="Q11" s="86" t="s">
        <v>121</v>
      </c>
      <c r="R11" s="86" t="s">
        <v>121</v>
      </c>
      <c r="S11" s="86" t="s">
        <v>121</v>
      </c>
      <c r="T11" s="86" t="s">
        <v>121</v>
      </c>
      <c r="U11" s="275" t="s">
        <v>121</v>
      </c>
      <c r="V11" s="275" t="s">
        <v>121</v>
      </c>
      <c r="W11" s="275" t="s">
        <v>121</v>
      </c>
      <c r="X11" s="86" t="s">
        <v>121</v>
      </c>
      <c r="Y11" s="269" t="s">
        <v>121</v>
      </c>
      <c r="Z11" s="269" t="s">
        <v>121</v>
      </c>
      <c r="AA11" s="269" t="s">
        <v>121</v>
      </c>
      <c r="AB11" s="269" t="s">
        <v>121</v>
      </c>
      <c r="AC11" s="269" t="s">
        <v>121</v>
      </c>
      <c r="AD11" s="122" t="s">
        <v>121</v>
      </c>
      <c r="AE11" s="122" t="s">
        <v>121</v>
      </c>
      <c r="AF11" s="122" t="s">
        <v>121</v>
      </c>
      <c r="AG11" s="1" t="s">
        <v>121</v>
      </c>
      <c r="AH11" s="1" t="s">
        <v>121</v>
      </c>
      <c r="AI11" s="1" t="s">
        <v>121</v>
      </c>
      <c r="AJ11" s="1" t="s">
        <v>121</v>
      </c>
      <c r="AK11" s="1" t="s">
        <v>121</v>
      </c>
      <c r="AL11" s="1" t="s">
        <v>121</v>
      </c>
      <c r="AM11" s="1" t="s">
        <v>121</v>
      </c>
      <c r="AN11" s="1" t="s">
        <v>121</v>
      </c>
      <c r="AO11" s="1" t="s">
        <v>121</v>
      </c>
      <c r="AP11" s="1" t="s">
        <v>121</v>
      </c>
      <c r="AQ11" s="1" t="s">
        <v>121</v>
      </c>
      <c r="AR11" s="1" t="s">
        <v>121</v>
      </c>
      <c r="AS11" s="1" t="s">
        <v>121</v>
      </c>
      <c r="AT11" s="1" t="s">
        <v>121</v>
      </c>
      <c r="AU11" s="1" t="s">
        <v>121</v>
      </c>
      <c r="AV11" s="1" t="s">
        <v>121</v>
      </c>
      <c r="AW11" s="1" t="s">
        <v>121</v>
      </c>
      <c r="AX11" s="1" t="s">
        <v>121</v>
      </c>
      <c r="AY11" s="1" t="s">
        <v>121</v>
      </c>
      <c r="AZ11" s="1" t="s">
        <v>121</v>
      </c>
      <c r="BA11" s="1" t="s">
        <v>121</v>
      </c>
      <c r="BB11" s="1" t="s">
        <v>121</v>
      </c>
      <c r="BC11" s="1" t="s">
        <v>121</v>
      </c>
      <c r="BD11" s="1" t="s">
        <v>121</v>
      </c>
      <c r="BE11" s="1" t="s">
        <v>121</v>
      </c>
      <c r="BF11" s="1" t="s">
        <v>121</v>
      </c>
      <c r="BG11" s="1" t="s">
        <v>121</v>
      </c>
      <c r="BH11" s="1" t="s">
        <v>121</v>
      </c>
      <c r="BI11" s="1" t="s">
        <v>121</v>
      </c>
      <c r="BJ11" s="1" t="s">
        <v>121</v>
      </c>
      <c r="BK11" s="1" t="s">
        <v>121</v>
      </c>
      <c r="BL11" s="1" t="s">
        <v>121</v>
      </c>
      <c r="BM11" s="1" t="s">
        <v>121</v>
      </c>
      <c r="BN11" s="1" t="s">
        <v>121</v>
      </c>
      <c r="BO11" s="1" t="s">
        <v>121</v>
      </c>
      <c r="BP11" s="1" t="s">
        <v>121</v>
      </c>
      <c r="BQ11" s="1" t="s">
        <v>121</v>
      </c>
    </row>
    <row r="12" spans="1:153" ht="15" customHeight="1" x14ac:dyDescent="0.25">
      <c r="A12" s="72">
        <v>12</v>
      </c>
      <c r="B12" s="14" t="s">
        <v>8</v>
      </c>
      <c r="C12" s="91">
        <v>0.13618894973940798</v>
      </c>
      <c r="D12" s="86">
        <v>0.34237560284445334</v>
      </c>
      <c r="E12" s="92">
        <v>0.32936559645415375</v>
      </c>
      <c r="F12" s="255">
        <v>703927</v>
      </c>
      <c r="G12" s="255">
        <v>619551</v>
      </c>
      <c r="H12" s="255">
        <v>523002</v>
      </c>
      <c r="I12" s="255">
        <v>529521</v>
      </c>
      <c r="J12" s="255">
        <v>524389</v>
      </c>
      <c r="K12" s="255">
        <v>488700</v>
      </c>
      <c r="L12" s="255">
        <v>472048</v>
      </c>
      <c r="M12" s="255">
        <v>449080</v>
      </c>
      <c r="N12" s="255">
        <v>428261</v>
      </c>
      <c r="O12" s="255">
        <v>358476</v>
      </c>
      <c r="P12" s="255">
        <v>386186</v>
      </c>
      <c r="Q12" s="255">
        <v>356275</v>
      </c>
      <c r="R12" s="405"/>
      <c r="S12" s="405"/>
      <c r="T12" s="405"/>
      <c r="U12" s="255">
        <v>255135</v>
      </c>
      <c r="V12" s="255">
        <v>259996.31200000001</v>
      </c>
      <c r="W12" s="255">
        <v>256266.71299999999</v>
      </c>
      <c r="X12" s="22">
        <v>242563.546</v>
      </c>
      <c r="Y12" s="22">
        <v>216093</v>
      </c>
      <c r="Z12" s="22">
        <v>222804.636</v>
      </c>
      <c r="AA12" s="22">
        <v>191413.416</v>
      </c>
      <c r="AB12" s="22">
        <v>201472.29199999999</v>
      </c>
      <c r="AC12" s="22">
        <v>182215.95600000001</v>
      </c>
      <c r="AD12" s="22">
        <v>167642.55900000001</v>
      </c>
      <c r="AE12" s="22">
        <v>157359.826</v>
      </c>
      <c r="AF12" s="22">
        <v>165923.745</v>
      </c>
      <c r="AG12" s="1">
        <v>166532.253</v>
      </c>
      <c r="AH12" s="1">
        <v>173432.103</v>
      </c>
      <c r="AI12" s="1">
        <v>152407.774</v>
      </c>
      <c r="AJ12" s="1">
        <v>151607.55600000001</v>
      </c>
      <c r="AK12" s="1" t="s">
        <v>121</v>
      </c>
      <c r="AL12" s="1" t="s">
        <v>121</v>
      </c>
      <c r="AM12" s="1" t="s">
        <v>121</v>
      </c>
      <c r="AN12" s="1" t="s">
        <v>121</v>
      </c>
      <c r="AO12" s="1" t="s">
        <v>121</v>
      </c>
      <c r="AP12" s="1" t="s">
        <v>121</v>
      </c>
      <c r="AQ12" s="1" t="s">
        <v>121</v>
      </c>
      <c r="AR12" s="1" t="s">
        <v>121</v>
      </c>
      <c r="AS12" s="1" t="s">
        <v>121</v>
      </c>
      <c r="AT12" s="1" t="s">
        <v>121</v>
      </c>
      <c r="AU12" s="1" t="s">
        <v>121</v>
      </c>
      <c r="AV12" s="1" t="s">
        <v>121</v>
      </c>
      <c r="AW12" s="1" t="s">
        <v>121</v>
      </c>
      <c r="AX12" s="1" t="s">
        <v>121</v>
      </c>
      <c r="AY12" s="1" t="s">
        <v>121</v>
      </c>
      <c r="AZ12" s="1" t="s">
        <v>121</v>
      </c>
      <c r="BA12" s="1" t="s">
        <v>121</v>
      </c>
      <c r="BB12" s="1" t="s">
        <v>121</v>
      </c>
      <c r="BC12" s="1" t="s">
        <v>121</v>
      </c>
      <c r="BD12" s="1" t="s">
        <v>121</v>
      </c>
      <c r="BE12" s="1" t="s">
        <v>121</v>
      </c>
      <c r="BF12" s="1" t="s">
        <v>121</v>
      </c>
      <c r="BG12" s="1" t="s">
        <v>121</v>
      </c>
      <c r="BH12" s="1" t="s">
        <v>121</v>
      </c>
      <c r="BI12" s="1" t="s">
        <v>121</v>
      </c>
      <c r="BJ12" s="1" t="s">
        <v>121</v>
      </c>
      <c r="BK12" s="1" t="s">
        <v>121</v>
      </c>
      <c r="BL12" s="1" t="s">
        <v>121</v>
      </c>
      <c r="BM12" s="1" t="s">
        <v>121</v>
      </c>
      <c r="BN12" s="1" t="s">
        <v>121</v>
      </c>
      <c r="BO12" s="1" t="s">
        <v>121</v>
      </c>
      <c r="BP12" s="1" t="s">
        <v>121</v>
      </c>
      <c r="BQ12" s="1" t="s">
        <v>121</v>
      </c>
    </row>
    <row r="13" spans="1:153" ht="15" customHeight="1" x14ac:dyDescent="0.25">
      <c r="A13" s="72">
        <v>13</v>
      </c>
      <c r="B13" s="14" t="s">
        <v>9</v>
      </c>
      <c r="C13" s="91">
        <v>-7.9254501040441072E-3</v>
      </c>
      <c r="D13" s="86">
        <v>0.14146818787475013</v>
      </c>
      <c r="E13" s="92">
        <v>8.2532035461132969E-2</v>
      </c>
      <c r="F13" s="255">
        <v>54827</v>
      </c>
      <c r="G13" s="255">
        <v>55265</v>
      </c>
      <c r="H13" s="255">
        <v>58078</v>
      </c>
      <c r="I13" s="255">
        <v>50647</v>
      </c>
      <c r="J13" s="255">
        <v>48032</v>
      </c>
      <c r="K13" s="255">
        <v>60646</v>
      </c>
      <c r="L13" s="255">
        <v>68835</v>
      </c>
      <c r="M13" s="255">
        <v>71139</v>
      </c>
      <c r="N13" s="255">
        <v>66563</v>
      </c>
      <c r="O13" s="255">
        <v>57791</v>
      </c>
      <c r="P13" s="255">
        <v>56960</v>
      </c>
      <c r="Q13" s="255">
        <v>51105</v>
      </c>
      <c r="R13" s="405"/>
      <c r="S13" s="405"/>
      <c r="T13" s="405"/>
      <c r="U13" s="255">
        <v>85534</v>
      </c>
      <c r="V13" s="255">
        <v>90873.516000000003</v>
      </c>
      <c r="W13" s="255">
        <v>94526.267000000007</v>
      </c>
      <c r="X13" s="22">
        <v>92107.292000000001</v>
      </c>
      <c r="Y13" s="22">
        <v>98247</v>
      </c>
      <c r="Z13" s="22">
        <v>102394.989</v>
      </c>
      <c r="AA13" s="22">
        <v>87887.557000000001</v>
      </c>
      <c r="AB13" s="22">
        <v>91504.430999999997</v>
      </c>
      <c r="AC13" s="22">
        <v>79935.005000000005</v>
      </c>
      <c r="AD13" s="22">
        <v>90975.101999999999</v>
      </c>
      <c r="AE13" s="22">
        <v>84167.686000000002</v>
      </c>
      <c r="AF13" s="22">
        <v>93085.635999999999</v>
      </c>
      <c r="AG13" s="1">
        <v>97325.766000000003</v>
      </c>
      <c r="AH13" s="1">
        <v>97062.335999999996</v>
      </c>
      <c r="AI13" s="1">
        <v>98687.941999999995</v>
      </c>
      <c r="AJ13" s="1">
        <v>97112.922999999995</v>
      </c>
      <c r="AK13" s="1" t="s">
        <v>121</v>
      </c>
      <c r="AL13" s="1" t="s">
        <v>121</v>
      </c>
      <c r="AM13" s="1" t="s">
        <v>121</v>
      </c>
      <c r="AN13" s="1" t="s">
        <v>121</v>
      </c>
      <c r="AO13" s="1" t="s">
        <v>121</v>
      </c>
      <c r="AP13" s="1" t="s">
        <v>121</v>
      </c>
      <c r="AQ13" s="1" t="s">
        <v>121</v>
      </c>
      <c r="AR13" s="1" t="s">
        <v>121</v>
      </c>
      <c r="AS13" s="1" t="s">
        <v>121</v>
      </c>
      <c r="AT13" s="1" t="s">
        <v>121</v>
      </c>
      <c r="AU13" s="1" t="s">
        <v>121</v>
      </c>
      <c r="AV13" s="1" t="s">
        <v>121</v>
      </c>
      <c r="AW13" s="1" t="s">
        <v>121</v>
      </c>
      <c r="AX13" s="1" t="s">
        <v>121</v>
      </c>
      <c r="AY13" s="1" t="s">
        <v>121</v>
      </c>
      <c r="AZ13" s="1" t="s">
        <v>121</v>
      </c>
      <c r="BA13" s="1" t="s">
        <v>121</v>
      </c>
      <c r="BB13" s="1" t="s">
        <v>121</v>
      </c>
      <c r="BC13" s="1" t="s">
        <v>121</v>
      </c>
      <c r="BD13" s="1" t="s">
        <v>121</v>
      </c>
      <c r="BE13" s="1" t="s">
        <v>121</v>
      </c>
      <c r="BF13" s="1" t="s">
        <v>121</v>
      </c>
      <c r="BG13" s="1" t="s">
        <v>121</v>
      </c>
      <c r="BH13" s="1" t="s">
        <v>121</v>
      </c>
      <c r="BI13" s="1" t="s">
        <v>121</v>
      </c>
      <c r="BJ13" s="1" t="s">
        <v>121</v>
      </c>
      <c r="BK13" s="1" t="s">
        <v>121</v>
      </c>
      <c r="BL13" s="1" t="s">
        <v>121</v>
      </c>
      <c r="BM13" s="1" t="s">
        <v>121</v>
      </c>
      <c r="BN13" s="1" t="s">
        <v>121</v>
      </c>
      <c r="BO13" s="1" t="s">
        <v>121</v>
      </c>
      <c r="BP13" s="1" t="s">
        <v>121</v>
      </c>
      <c r="BQ13" s="1" t="s">
        <v>121</v>
      </c>
    </row>
    <row r="14" spans="1:153" ht="15" customHeight="1" x14ac:dyDescent="0.25">
      <c r="A14" s="72">
        <v>14</v>
      </c>
      <c r="B14" s="14" t="s">
        <v>10</v>
      </c>
      <c r="C14" s="91" t="s">
        <v>121</v>
      </c>
      <c r="D14" s="86" t="s">
        <v>121</v>
      </c>
      <c r="E14" s="92" t="s">
        <v>121</v>
      </c>
      <c r="F14" s="255" t="s">
        <v>121</v>
      </c>
      <c r="G14" s="255" t="s">
        <v>121</v>
      </c>
      <c r="H14" s="255" t="s">
        <v>121</v>
      </c>
      <c r="I14" s="255" t="s">
        <v>121</v>
      </c>
      <c r="J14" s="255" t="s">
        <v>121</v>
      </c>
      <c r="K14" s="255" t="s">
        <v>121</v>
      </c>
      <c r="L14" s="255" t="s">
        <v>121</v>
      </c>
      <c r="M14" s="255" t="s">
        <v>121</v>
      </c>
      <c r="N14" s="255" t="s">
        <v>121</v>
      </c>
      <c r="O14" s="255" t="s">
        <v>121</v>
      </c>
      <c r="P14" s="255" t="s">
        <v>121</v>
      </c>
      <c r="Q14" s="255" t="s">
        <v>121</v>
      </c>
      <c r="R14" s="405"/>
      <c r="S14" s="405"/>
      <c r="T14" s="405"/>
      <c r="U14" s="255">
        <v>25337</v>
      </c>
      <c r="V14" s="255">
        <v>25887.46</v>
      </c>
      <c r="W14" s="255">
        <v>24742.786</v>
      </c>
      <c r="X14" s="22">
        <v>24517.539000000001</v>
      </c>
      <c r="Y14" s="22">
        <v>24520</v>
      </c>
      <c r="Z14" s="22">
        <v>26481.812000000002</v>
      </c>
      <c r="AA14" s="22">
        <v>27285.861000000001</v>
      </c>
      <c r="AB14" s="22">
        <v>30435.032999999999</v>
      </c>
      <c r="AC14" s="22">
        <v>29408.636999999999</v>
      </c>
      <c r="AD14" s="22">
        <v>25888.444</v>
      </c>
      <c r="AE14" s="22">
        <v>23018.678</v>
      </c>
      <c r="AF14" s="22">
        <v>18922.188999999998</v>
      </c>
      <c r="AG14" s="1">
        <v>20594.945</v>
      </c>
      <c r="AH14" s="1">
        <v>20043.100999999999</v>
      </c>
      <c r="AI14" s="1">
        <v>20750.289000000001</v>
      </c>
      <c r="AJ14" s="1">
        <v>18465.973000000002</v>
      </c>
      <c r="AK14" s="1" t="s">
        <v>121</v>
      </c>
      <c r="AL14" s="1" t="s">
        <v>121</v>
      </c>
      <c r="AM14" s="1" t="s">
        <v>121</v>
      </c>
      <c r="AN14" s="1" t="s">
        <v>121</v>
      </c>
      <c r="AO14" s="1" t="s">
        <v>121</v>
      </c>
      <c r="AP14" s="1" t="s">
        <v>121</v>
      </c>
      <c r="AQ14" s="1" t="s">
        <v>121</v>
      </c>
      <c r="AR14" s="1" t="s">
        <v>121</v>
      </c>
      <c r="AS14" s="1" t="s">
        <v>121</v>
      </c>
      <c r="AT14" s="1" t="s">
        <v>121</v>
      </c>
      <c r="AU14" s="1" t="s">
        <v>121</v>
      </c>
      <c r="AV14" s="1" t="s">
        <v>121</v>
      </c>
      <c r="AW14" s="1" t="s">
        <v>121</v>
      </c>
      <c r="AX14" s="1" t="s">
        <v>121</v>
      </c>
      <c r="AY14" s="1" t="s">
        <v>121</v>
      </c>
      <c r="AZ14" s="1" t="s">
        <v>121</v>
      </c>
      <c r="BA14" s="1" t="s">
        <v>121</v>
      </c>
      <c r="BB14" s="1" t="s">
        <v>121</v>
      </c>
      <c r="BC14" s="1" t="s">
        <v>121</v>
      </c>
      <c r="BD14" s="1" t="s">
        <v>121</v>
      </c>
      <c r="BE14" s="1" t="s">
        <v>121</v>
      </c>
      <c r="BF14" s="1" t="s">
        <v>121</v>
      </c>
      <c r="BG14" s="1" t="s">
        <v>121</v>
      </c>
      <c r="BH14" s="1" t="s">
        <v>121</v>
      </c>
      <c r="BI14" s="1" t="s">
        <v>121</v>
      </c>
      <c r="BJ14" s="1" t="s">
        <v>121</v>
      </c>
      <c r="BK14" s="1" t="s">
        <v>121</v>
      </c>
      <c r="BL14" s="1" t="s">
        <v>121</v>
      </c>
      <c r="BM14" s="1" t="s">
        <v>121</v>
      </c>
      <c r="BN14" s="1" t="s">
        <v>121</v>
      </c>
      <c r="BO14" s="1" t="s">
        <v>121</v>
      </c>
      <c r="BP14" s="1" t="s">
        <v>121</v>
      </c>
      <c r="BQ14" s="1" t="s">
        <v>121</v>
      </c>
    </row>
    <row r="15" spans="1:153" ht="15" customHeight="1" x14ac:dyDescent="0.25">
      <c r="A15" s="72">
        <v>15</v>
      </c>
      <c r="B15" s="17" t="s">
        <v>11</v>
      </c>
      <c r="C15" s="91" t="s">
        <v>121</v>
      </c>
      <c r="D15" s="86" t="s">
        <v>121</v>
      </c>
      <c r="E15" s="92" t="s">
        <v>121</v>
      </c>
      <c r="F15" s="287" t="s">
        <v>121</v>
      </c>
      <c r="G15" s="287" t="s">
        <v>121</v>
      </c>
      <c r="H15" s="287" t="s">
        <v>121</v>
      </c>
      <c r="I15" s="287" t="s">
        <v>121</v>
      </c>
      <c r="J15" s="287" t="s">
        <v>121</v>
      </c>
      <c r="K15" s="287" t="s">
        <v>121</v>
      </c>
      <c r="L15" s="287" t="s">
        <v>121</v>
      </c>
      <c r="M15" s="287" t="s">
        <v>121</v>
      </c>
      <c r="N15" s="287" t="s">
        <v>121</v>
      </c>
      <c r="O15" s="287" t="s">
        <v>121</v>
      </c>
      <c r="P15" s="287" t="s">
        <v>121</v>
      </c>
      <c r="Q15" s="287" t="s">
        <v>121</v>
      </c>
      <c r="R15" s="405"/>
      <c r="S15" s="405"/>
      <c r="T15" s="405"/>
      <c r="U15" s="287" t="s">
        <v>121</v>
      </c>
      <c r="V15" s="287" t="s">
        <v>121</v>
      </c>
      <c r="W15" s="287" t="s">
        <v>121</v>
      </c>
      <c r="X15" s="269" t="s">
        <v>121</v>
      </c>
      <c r="Y15" s="269" t="s">
        <v>121</v>
      </c>
      <c r="Z15" s="269" t="s">
        <v>121</v>
      </c>
      <c r="AA15" s="269" t="s">
        <v>121</v>
      </c>
      <c r="AB15" s="269" t="s">
        <v>121</v>
      </c>
      <c r="AC15" s="269" t="s">
        <v>121</v>
      </c>
      <c r="AD15" s="22" t="s">
        <v>121</v>
      </c>
      <c r="AE15" s="22" t="s">
        <v>121</v>
      </c>
      <c r="AF15" s="22" t="s">
        <v>121</v>
      </c>
      <c r="AG15" s="1" t="s">
        <v>121</v>
      </c>
      <c r="AH15" s="1" t="s">
        <v>121</v>
      </c>
      <c r="AI15" s="1" t="s">
        <v>121</v>
      </c>
      <c r="AJ15" s="1" t="s">
        <v>121</v>
      </c>
      <c r="AK15" s="1" t="s">
        <v>121</v>
      </c>
      <c r="AL15" s="1" t="s">
        <v>121</v>
      </c>
      <c r="AM15" s="1" t="s">
        <v>121</v>
      </c>
      <c r="AN15" s="1" t="s">
        <v>121</v>
      </c>
      <c r="AO15" s="1" t="s">
        <v>121</v>
      </c>
      <c r="AP15" s="1" t="s">
        <v>121</v>
      </c>
      <c r="AQ15" s="1" t="s">
        <v>121</v>
      </c>
      <c r="AR15" s="1" t="s">
        <v>121</v>
      </c>
      <c r="AS15" s="1" t="s">
        <v>121</v>
      </c>
      <c r="AT15" s="1" t="s">
        <v>121</v>
      </c>
      <c r="AU15" s="1" t="s">
        <v>121</v>
      </c>
      <c r="AV15" s="1" t="s">
        <v>121</v>
      </c>
      <c r="AW15" s="1" t="s">
        <v>121</v>
      </c>
      <c r="AX15" s="1" t="s">
        <v>121</v>
      </c>
      <c r="AY15" s="1" t="s">
        <v>121</v>
      </c>
      <c r="AZ15" s="1" t="s">
        <v>121</v>
      </c>
      <c r="BA15" s="1" t="s">
        <v>121</v>
      </c>
      <c r="BB15" s="1" t="s">
        <v>121</v>
      </c>
      <c r="BC15" s="1" t="s">
        <v>121</v>
      </c>
      <c r="BD15" s="1" t="s">
        <v>121</v>
      </c>
      <c r="BE15" s="1" t="s">
        <v>121</v>
      </c>
      <c r="BF15" s="1" t="s">
        <v>121</v>
      </c>
      <c r="BG15" s="1" t="s">
        <v>121</v>
      </c>
      <c r="BH15" s="1" t="s">
        <v>121</v>
      </c>
      <c r="BI15" s="1" t="s">
        <v>121</v>
      </c>
      <c r="BJ15" s="1" t="s">
        <v>121</v>
      </c>
      <c r="BK15" s="1" t="s">
        <v>121</v>
      </c>
      <c r="BL15" s="1" t="s">
        <v>121</v>
      </c>
      <c r="BM15" s="1" t="s">
        <v>121</v>
      </c>
      <c r="BN15" s="1" t="s">
        <v>121</v>
      </c>
      <c r="BO15" s="1" t="s">
        <v>121</v>
      </c>
      <c r="BP15" s="1" t="s">
        <v>121</v>
      </c>
      <c r="BQ15" s="1" t="s">
        <v>121</v>
      </c>
    </row>
    <row r="16" spans="1:153" ht="15" customHeight="1" x14ac:dyDescent="0.25">
      <c r="A16" s="72">
        <v>16</v>
      </c>
      <c r="B16" s="14" t="s">
        <v>12</v>
      </c>
      <c r="C16" s="91">
        <v>7.041028332338839E-2</v>
      </c>
      <c r="D16" s="86">
        <v>0.24609165773968944</v>
      </c>
      <c r="E16" s="92">
        <v>0.19294773697831125</v>
      </c>
      <c r="F16" s="255">
        <v>148893</v>
      </c>
      <c r="G16" s="255">
        <v>139099</v>
      </c>
      <c r="H16" s="255">
        <v>134363</v>
      </c>
      <c r="I16" s="255">
        <v>124811</v>
      </c>
      <c r="J16" s="255">
        <v>119488</v>
      </c>
      <c r="K16" s="255">
        <v>118923</v>
      </c>
      <c r="L16" s="255">
        <v>116869</v>
      </c>
      <c r="M16" s="255">
        <v>115906</v>
      </c>
      <c r="N16" s="255">
        <v>114096</v>
      </c>
      <c r="O16" s="255">
        <v>108852</v>
      </c>
      <c r="P16" s="255">
        <v>104179</v>
      </c>
      <c r="Q16" s="255">
        <v>98699</v>
      </c>
      <c r="R16" s="405"/>
      <c r="S16" s="405"/>
      <c r="T16" s="405"/>
      <c r="U16" s="255">
        <v>90160</v>
      </c>
      <c r="V16" s="255">
        <v>86630.232000000004</v>
      </c>
      <c r="W16" s="255">
        <v>85351.82</v>
      </c>
      <c r="X16" s="22">
        <v>80929.661999999997</v>
      </c>
      <c r="Y16" s="22">
        <v>78280</v>
      </c>
      <c r="Z16" s="22">
        <v>73864.001000000004</v>
      </c>
      <c r="AA16" s="22">
        <v>68867.145000000004</v>
      </c>
      <c r="AB16" s="22">
        <v>67608.006999999998</v>
      </c>
      <c r="AC16" s="22">
        <v>67014.562000000005</v>
      </c>
      <c r="AD16" s="22">
        <v>66960.305999999997</v>
      </c>
      <c r="AE16" s="22">
        <v>65911.160999999993</v>
      </c>
      <c r="AF16" s="22">
        <v>62496.106</v>
      </c>
      <c r="AG16" s="1">
        <v>59978.042000000001</v>
      </c>
      <c r="AH16" s="1">
        <v>58048.008999999998</v>
      </c>
      <c r="AI16" s="1">
        <v>56607.790999999997</v>
      </c>
      <c r="AJ16" s="1">
        <v>55368.735000000001</v>
      </c>
      <c r="AK16" s="1" t="s">
        <v>121</v>
      </c>
      <c r="AL16" s="1" t="s">
        <v>121</v>
      </c>
      <c r="AM16" s="1" t="s">
        <v>121</v>
      </c>
      <c r="AN16" s="1" t="s">
        <v>121</v>
      </c>
      <c r="AO16" s="1" t="s">
        <v>121</v>
      </c>
      <c r="AP16" s="1" t="s">
        <v>121</v>
      </c>
      <c r="AQ16" s="1" t="s">
        <v>121</v>
      </c>
      <c r="AR16" s="1" t="s">
        <v>121</v>
      </c>
      <c r="AS16" s="1" t="s">
        <v>121</v>
      </c>
      <c r="AT16" s="1" t="s">
        <v>121</v>
      </c>
      <c r="AU16" s="1" t="s">
        <v>121</v>
      </c>
      <c r="AV16" s="1" t="s">
        <v>121</v>
      </c>
      <c r="AW16" s="1" t="s">
        <v>121</v>
      </c>
      <c r="AX16" s="1" t="s">
        <v>121</v>
      </c>
      <c r="AY16" s="1" t="s">
        <v>121</v>
      </c>
      <c r="AZ16" s="1" t="s">
        <v>121</v>
      </c>
      <c r="BA16" s="1" t="s">
        <v>121</v>
      </c>
      <c r="BB16" s="1" t="s">
        <v>121</v>
      </c>
      <c r="BC16" s="1" t="s">
        <v>121</v>
      </c>
      <c r="BD16" s="1" t="s">
        <v>121</v>
      </c>
      <c r="BE16" s="1" t="s">
        <v>121</v>
      </c>
      <c r="BF16" s="1" t="s">
        <v>121</v>
      </c>
      <c r="BG16" s="1" t="s">
        <v>121</v>
      </c>
      <c r="BH16" s="1" t="s">
        <v>121</v>
      </c>
      <c r="BI16" s="1" t="s">
        <v>121</v>
      </c>
      <c r="BJ16" s="1" t="s">
        <v>121</v>
      </c>
      <c r="BK16" s="1" t="s">
        <v>121</v>
      </c>
      <c r="BL16" s="1" t="s">
        <v>121</v>
      </c>
      <c r="BM16" s="1" t="s">
        <v>121</v>
      </c>
      <c r="BN16" s="1" t="s">
        <v>121</v>
      </c>
      <c r="BO16" s="1" t="s">
        <v>121</v>
      </c>
      <c r="BP16" s="1" t="s">
        <v>121</v>
      </c>
      <c r="BQ16" s="1" t="s">
        <v>121</v>
      </c>
    </row>
    <row r="17" spans="1:69" ht="15" hidden="1" customHeight="1" x14ac:dyDescent="0.25">
      <c r="A17" s="72">
        <v>17</v>
      </c>
      <c r="B17" s="14" t="s">
        <v>13</v>
      </c>
      <c r="C17" s="91" t="s">
        <v>121</v>
      </c>
      <c r="D17" s="86" t="s">
        <v>121</v>
      </c>
      <c r="E17" s="92" t="s">
        <v>121</v>
      </c>
      <c r="F17" s="255" t="s">
        <v>121</v>
      </c>
      <c r="G17" s="255" t="s">
        <v>121</v>
      </c>
      <c r="H17" s="255" t="s">
        <v>121</v>
      </c>
      <c r="I17" s="255" t="s">
        <v>121</v>
      </c>
      <c r="J17" s="255" t="s">
        <v>121</v>
      </c>
      <c r="K17" s="255" t="s">
        <v>121</v>
      </c>
      <c r="L17" s="255" t="s">
        <v>121</v>
      </c>
      <c r="M17" s="255" t="s">
        <v>121</v>
      </c>
      <c r="N17" s="255" t="s">
        <v>121</v>
      </c>
      <c r="O17" s="255" t="s">
        <v>121</v>
      </c>
      <c r="P17" s="255" t="s">
        <v>121</v>
      </c>
      <c r="Q17" s="255" t="s">
        <v>121</v>
      </c>
      <c r="R17" s="405"/>
      <c r="S17" s="405"/>
      <c r="T17" s="405"/>
      <c r="U17" s="255" t="s">
        <v>121</v>
      </c>
      <c r="V17" s="255" t="s">
        <v>121</v>
      </c>
      <c r="W17" s="255" t="s">
        <v>121</v>
      </c>
      <c r="X17" s="22" t="s">
        <v>121</v>
      </c>
      <c r="Y17" s="22" t="s">
        <v>121</v>
      </c>
      <c r="Z17" s="22" t="s">
        <v>121</v>
      </c>
      <c r="AA17" s="22" t="s">
        <v>121</v>
      </c>
      <c r="AB17" s="22" t="s">
        <v>121</v>
      </c>
      <c r="AC17" s="22" t="s">
        <v>121</v>
      </c>
      <c r="AD17" s="22" t="s">
        <v>121</v>
      </c>
      <c r="AE17" s="22" t="s">
        <v>121</v>
      </c>
      <c r="AF17" s="22" t="s">
        <v>121</v>
      </c>
      <c r="AG17" s="1" t="s">
        <v>121</v>
      </c>
      <c r="AH17" s="1" t="s">
        <v>121</v>
      </c>
      <c r="AI17" s="1" t="s">
        <v>121</v>
      </c>
      <c r="AJ17" s="1" t="s">
        <v>121</v>
      </c>
      <c r="AK17" s="1" t="s">
        <v>121</v>
      </c>
      <c r="AL17" s="1" t="s">
        <v>121</v>
      </c>
      <c r="AM17" s="1" t="s">
        <v>121</v>
      </c>
      <c r="AN17" s="1" t="s">
        <v>121</v>
      </c>
      <c r="AO17" s="1" t="s">
        <v>121</v>
      </c>
      <c r="AP17" s="1" t="s">
        <v>121</v>
      </c>
      <c r="AQ17" s="1" t="s">
        <v>121</v>
      </c>
      <c r="AR17" s="1" t="s">
        <v>121</v>
      </c>
      <c r="AS17" s="1" t="s">
        <v>121</v>
      </c>
      <c r="AT17" s="1" t="s">
        <v>121</v>
      </c>
      <c r="AU17" s="1" t="s">
        <v>121</v>
      </c>
      <c r="AV17" s="1" t="s">
        <v>121</v>
      </c>
      <c r="AW17" s="1" t="s">
        <v>121</v>
      </c>
      <c r="AX17" s="1" t="s">
        <v>121</v>
      </c>
      <c r="AY17" s="1" t="s">
        <v>121</v>
      </c>
      <c r="AZ17" s="1" t="s">
        <v>121</v>
      </c>
      <c r="BA17" s="1" t="s">
        <v>121</v>
      </c>
      <c r="BB17" s="1" t="s">
        <v>121</v>
      </c>
      <c r="BC17" s="1" t="s">
        <v>121</v>
      </c>
      <c r="BD17" s="1" t="s">
        <v>121</v>
      </c>
      <c r="BE17" s="1" t="s">
        <v>121</v>
      </c>
      <c r="BF17" s="1" t="s">
        <v>121</v>
      </c>
      <c r="BG17" s="1" t="s">
        <v>121</v>
      </c>
      <c r="BH17" s="1" t="s">
        <v>121</v>
      </c>
      <c r="BI17" s="1" t="s">
        <v>121</v>
      </c>
      <c r="BJ17" s="1" t="s">
        <v>121</v>
      </c>
      <c r="BK17" s="1" t="s">
        <v>121</v>
      </c>
      <c r="BL17" s="1" t="s">
        <v>121</v>
      </c>
      <c r="BM17" s="1" t="s">
        <v>121</v>
      </c>
      <c r="BN17" s="1" t="s">
        <v>121</v>
      </c>
      <c r="BO17" s="1" t="s">
        <v>121</v>
      </c>
      <c r="BP17" s="1" t="s">
        <v>121</v>
      </c>
      <c r="BQ17" s="1" t="s">
        <v>121</v>
      </c>
    </row>
    <row r="18" spans="1:69" ht="15" customHeight="1" x14ac:dyDescent="0.25">
      <c r="A18" s="72">
        <v>18</v>
      </c>
      <c r="B18" s="14" t="s">
        <v>84</v>
      </c>
      <c r="C18" s="91">
        <v>0.12297734627831725</v>
      </c>
      <c r="D18" s="86">
        <v>-0.20321469575200923</v>
      </c>
      <c r="E18" s="92">
        <v>-8.5714285714285632E-3</v>
      </c>
      <c r="F18" s="255">
        <v>694</v>
      </c>
      <c r="G18" s="255">
        <v>618</v>
      </c>
      <c r="H18" s="255">
        <v>632</v>
      </c>
      <c r="I18" s="255">
        <v>700</v>
      </c>
      <c r="J18" s="255">
        <v>871</v>
      </c>
      <c r="K18" s="255">
        <v>1019</v>
      </c>
      <c r="L18" s="255">
        <v>1131</v>
      </c>
      <c r="M18" s="255">
        <v>2952</v>
      </c>
      <c r="N18" s="255">
        <v>2801</v>
      </c>
      <c r="O18" s="255">
        <v>2561</v>
      </c>
      <c r="P18" s="255">
        <v>2691</v>
      </c>
      <c r="Q18" s="255">
        <v>3713</v>
      </c>
      <c r="R18" s="405"/>
      <c r="S18" s="405"/>
      <c r="T18" s="405"/>
      <c r="U18" s="255">
        <v>3351</v>
      </c>
      <c r="V18" s="255">
        <v>3423.8829999999998</v>
      </c>
      <c r="W18" s="255">
        <v>4011.4720000000002</v>
      </c>
      <c r="X18" s="22">
        <v>3709.596</v>
      </c>
      <c r="Y18" s="22">
        <v>4362</v>
      </c>
      <c r="Z18" s="22">
        <v>4649.5990000000002</v>
      </c>
      <c r="AA18" s="22">
        <v>3977.0140000000001</v>
      </c>
      <c r="AB18" s="22">
        <v>4113.4660000000003</v>
      </c>
      <c r="AC18" s="22">
        <v>3806.7359999999999</v>
      </c>
      <c r="AD18" s="22">
        <v>4622.7709999999997</v>
      </c>
      <c r="AE18" s="22">
        <v>5065.5659999999998</v>
      </c>
      <c r="AF18" s="22">
        <v>5033.1610000000001</v>
      </c>
      <c r="AG18" s="1">
        <v>5381.12</v>
      </c>
      <c r="AH18" s="1">
        <v>5234.9769999999999</v>
      </c>
      <c r="AI18" s="1">
        <v>5134.1109999999999</v>
      </c>
      <c r="AJ18" s="1">
        <v>4323.0370000000003</v>
      </c>
      <c r="AK18" s="1" t="s">
        <v>121</v>
      </c>
      <c r="AL18" s="1" t="s">
        <v>121</v>
      </c>
      <c r="AM18" s="1" t="s">
        <v>121</v>
      </c>
      <c r="AN18" s="1" t="s">
        <v>121</v>
      </c>
      <c r="AO18" s="1" t="s">
        <v>121</v>
      </c>
      <c r="AP18" s="1" t="s">
        <v>121</v>
      </c>
      <c r="AQ18" s="1" t="s">
        <v>121</v>
      </c>
      <c r="AR18" s="1" t="s">
        <v>121</v>
      </c>
      <c r="AS18" s="1" t="s">
        <v>121</v>
      </c>
      <c r="AT18" s="1" t="s">
        <v>121</v>
      </c>
      <c r="AU18" s="1" t="s">
        <v>121</v>
      </c>
      <c r="AV18" s="1" t="s">
        <v>121</v>
      </c>
      <c r="AW18" s="1" t="s">
        <v>121</v>
      </c>
      <c r="AX18" s="1" t="s">
        <v>121</v>
      </c>
      <c r="AY18" s="1" t="s">
        <v>121</v>
      </c>
      <c r="AZ18" s="1" t="s">
        <v>121</v>
      </c>
      <c r="BA18" s="1" t="s">
        <v>121</v>
      </c>
      <c r="BB18" s="1" t="s">
        <v>121</v>
      </c>
      <c r="BC18" s="1" t="s">
        <v>121</v>
      </c>
      <c r="BD18" s="1" t="s">
        <v>121</v>
      </c>
      <c r="BE18" s="1" t="s">
        <v>121</v>
      </c>
      <c r="BF18" s="1" t="s">
        <v>121</v>
      </c>
      <c r="BG18" s="1" t="s">
        <v>121</v>
      </c>
      <c r="BH18" s="1" t="s">
        <v>121</v>
      </c>
      <c r="BI18" s="1" t="s">
        <v>121</v>
      </c>
      <c r="BJ18" s="1" t="s">
        <v>121</v>
      </c>
      <c r="BK18" s="1" t="s">
        <v>121</v>
      </c>
      <c r="BL18" s="1" t="s">
        <v>121</v>
      </c>
      <c r="BM18" s="1" t="s">
        <v>121</v>
      </c>
      <c r="BN18" s="1" t="s">
        <v>121</v>
      </c>
      <c r="BO18" s="1" t="s">
        <v>121</v>
      </c>
      <c r="BP18" s="1" t="s">
        <v>121</v>
      </c>
      <c r="BQ18" s="1" t="s">
        <v>121</v>
      </c>
    </row>
    <row r="19" spans="1:69" ht="15" customHeight="1" x14ac:dyDescent="0.25">
      <c r="A19" s="72">
        <v>19</v>
      </c>
      <c r="B19" s="14" t="s">
        <v>65</v>
      </c>
      <c r="C19" s="91">
        <v>1.8054245937101365E-2</v>
      </c>
      <c r="D19" s="86">
        <v>-6.3378664557446451E-2</v>
      </c>
      <c r="E19" s="92">
        <v>-2.5355777400169921E-2</v>
      </c>
      <c r="F19" s="255">
        <v>36709</v>
      </c>
      <c r="G19" s="255">
        <v>36058</v>
      </c>
      <c r="H19" s="255">
        <v>36382</v>
      </c>
      <c r="I19" s="255">
        <v>37664</v>
      </c>
      <c r="J19" s="255">
        <v>39193</v>
      </c>
      <c r="K19" s="255">
        <v>39429</v>
      </c>
      <c r="L19" s="255">
        <v>39427</v>
      </c>
      <c r="M19" s="255">
        <v>40011</v>
      </c>
      <c r="N19" s="255">
        <v>41114</v>
      </c>
      <c r="O19" s="255">
        <v>40183</v>
      </c>
      <c r="P19" s="255">
        <v>39679</v>
      </c>
      <c r="Q19" s="255">
        <v>40261</v>
      </c>
      <c r="R19" s="405"/>
      <c r="S19" s="405"/>
      <c r="T19" s="405"/>
      <c r="U19" s="255">
        <v>41758</v>
      </c>
      <c r="V19" s="255">
        <v>40001.184999999998</v>
      </c>
      <c r="W19" s="255">
        <v>38373.536</v>
      </c>
      <c r="X19" s="22">
        <v>34317.849000000002</v>
      </c>
      <c r="Y19" s="22">
        <v>32642</v>
      </c>
      <c r="Z19" s="22">
        <v>33008.074000000001</v>
      </c>
      <c r="AA19" s="22">
        <v>32481.688000000002</v>
      </c>
      <c r="AB19" s="22">
        <v>33120.707999999999</v>
      </c>
      <c r="AC19" s="22">
        <v>32134.153999999999</v>
      </c>
      <c r="AD19" s="22">
        <v>30640.649000000001</v>
      </c>
      <c r="AE19" s="22">
        <v>28057.616999999998</v>
      </c>
      <c r="AF19" s="22">
        <v>25656.577000000001</v>
      </c>
      <c r="AG19" s="1">
        <v>24377.16</v>
      </c>
      <c r="AH19" s="1">
        <v>22417.059000000001</v>
      </c>
      <c r="AI19" s="1">
        <v>20235.487000000001</v>
      </c>
      <c r="AJ19" s="1">
        <v>17995.724999999999</v>
      </c>
      <c r="AK19" s="1" t="s">
        <v>121</v>
      </c>
      <c r="AL19" s="1" t="s">
        <v>121</v>
      </c>
      <c r="AM19" s="1" t="s">
        <v>121</v>
      </c>
      <c r="AN19" s="1" t="s">
        <v>121</v>
      </c>
      <c r="AO19" s="1" t="s">
        <v>121</v>
      </c>
      <c r="AP19" s="1" t="s">
        <v>121</v>
      </c>
      <c r="AQ19" s="1" t="s">
        <v>121</v>
      </c>
      <c r="AR19" s="1" t="s">
        <v>121</v>
      </c>
      <c r="AS19" s="1" t="s">
        <v>121</v>
      </c>
      <c r="AT19" s="1" t="s">
        <v>121</v>
      </c>
      <c r="AU19" s="1" t="s">
        <v>121</v>
      </c>
      <c r="AV19" s="1" t="s">
        <v>121</v>
      </c>
      <c r="AW19" s="1" t="s">
        <v>121</v>
      </c>
      <c r="AX19" s="1" t="s">
        <v>121</v>
      </c>
      <c r="AY19" s="1" t="s">
        <v>121</v>
      </c>
      <c r="AZ19" s="1" t="s">
        <v>121</v>
      </c>
      <c r="BA19" s="1" t="s">
        <v>121</v>
      </c>
      <c r="BB19" s="1" t="s">
        <v>121</v>
      </c>
      <c r="BC19" s="1" t="s">
        <v>121</v>
      </c>
      <c r="BD19" s="1" t="s">
        <v>121</v>
      </c>
      <c r="BE19" s="1" t="s">
        <v>121</v>
      </c>
      <c r="BF19" s="1" t="s">
        <v>121</v>
      </c>
      <c r="BG19" s="1" t="s">
        <v>121</v>
      </c>
      <c r="BH19" s="1" t="s">
        <v>121</v>
      </c>
      <c r="BI19" s="1" t="s">
        <v>121</v>
      </c>
      <c r="BJ19" s="1" t="s">
        <v>121</v>
      </c>
      <c r="BK19" s="1" t="s">
        <v>121</v>
      </c>
      <c r="BL19" s="1" t="s">
        <v>121</v>
      </c>
      <c r="BM19" s="1" t="s">
        <v>121</v>
      </c>
      <c r="BN19" s="1" t="s">
        <v>121</v>
      </c>
      <c r="BO19" s="1" t="s">
        <v>121</v>
      </c>
      <c r="BP19" s="1" t="s">
        <v>121</v>
      </c>
      <c r="BQ19" s="1" t="s">
        <v>121</v>
      </c>
    </row>
    <row r="20" spans="1:69" ht="15" customHeight="1" x14ac:dyDescent="0.25">
      <c r="A20" s="72">
        <v>20</v>
      </c>
      <c r="B20" s="14" t="s">
        <v>121</v>
      </c>
      <c r="C20" s="91" t="s">
        <v>121</v>
      </c>
      <c r="D20" s="86" t="s">
        <v>121</v>
      </c>
      <c r="E20" s="92" t="s">
        <v>121</v>
      </c>
      <c r="F20" s="255" t="s">
        <v>121</v>
      </c>
      <c r="G20" s="255" t="s">
        <v>121</v>
      </c>
      <c r="H20" s="255" t="s">
        <v>121</v>
      </c>
      <c r="I20" s="255" t="s">
        <v>121</v>
      </c>
      <c r="J20" s="255" t="s">
        <v>121</v>
      </c>
      <c r="K20" s="255" t="s">
        <v>121</v>
      </c>
      <c r="L20" s="255" t="s">
        <v>121</v>
      </c>
      <c r="M20" s="255" t="s">
        <v>121</v>
      </c>
      <c r="N20" s="255" t="s">
        <v>121</v>
      </c>
      <c r="O20" s="255" t="s">
        <v>121</v>
      </c>
      <c r="P20" s="255" t="s">
        <v>121</v>
      </c>
      <c r="Q20" s="255" t="s">
        <v>121</v>
      </c>
      <c r="R20" s="405"/>
      <c r="S20" s="405"/>
      <c r="T20" s="405"/>
      <c r="U20" s="255" t="s">
        <v>121</v>
      </c>
      <c r="V20" s="255" t="s">
        <v>121</v>
      </c>
      <c r="W20" s="255" t="s">
        <v>121</v>
      </c>
      <c r="X20" s="22" t="s">
        <v>121</v>
      </c>
      <c r="Y20" s="22" t="s">
        <v>121</v>
      </c>
      <c r="Z20" s="22" t="s">
        <v>121</v>
      </c>
      <c r="AA20" s="22" t="s">
        <v>121</v>
      </c>
      <c r="AB20" s="22" t="s">
        <v>121</v>
      </c>
      <c r="AC20" s="22" t="s">
        <v>121</v>
      </c>
      <c r="AD20" s="22" t="s">
        <v>121</v>
      </c>
      <c r="AE20" s="22" t="s">
        <v>121</v>
      </c>
      <c r="AF20" s="22" t="s">
        <v>121</v>
      </c>
      <c r="AG20" s="1" t="s">
        <v>121</v>
      </c>
      <c r="AH20" s="1" t="s">
        <v>121</v>
      </c>
      <c r="AI20" s="1" t="s">
        <v>121</v>
      </c>
      <c r="AJ20" s="1" t="s">
        <v>121</v>
      </c>
      <c r="AK20" s="1" t="s">
        <v>121</v>
      </c>
      <c r="AL20" s="1" t="s">
        <v>121</v>
      </c>
      <c r="AM20" s="1" t="s">
        <v>121</v>
      </c>
      <c r="AN20" s="1" t="s">
        <v>121</v>
      </c>
      <c r="AO20" s="1" t="s">
        <v>121</v>
      </c>
      <c r="AP20" s="1" t="s">
        <v>121</v>
      </c>
      <c r="AQ20" s="1" t="s">
        <v>121</v>
      </c>
      <c r="AR20" s="1" t="s">
        <v>121</v>
      </c>
      <c r="AS20" s="1" t="s">
        <v>121</v>
      </c>
      <c r="AT20" s="1" t="s">
        <v>121</v>
      </c>
      <c r="AU20" s="1" t="s">
        <v>121</v>
      </c>
      <c r="AV20" s="1" t="s">
        <v>121</v>
      </c>
      <c r="AW20" s="1" t="s">
        <v>121</v>
      </c>
      <c r="AX20" s="1" t="s">
        <v>121</v>
      </c>
      <c r="AY20" s="1" t="s">
        <v>121</v>
      </c>
      <c r="AZ20" s="1" t="s">
        <v>121</v>
      </c>
      <c r="BA20" s="1" t="s">
        <v>121</v>
      </c>
      <c r="BB20" s="1" t="s">
        <v>121</v>
      </c>
      <c r="BC20" s="1" t="s">
        <v>121</v>
      </c>
      <c r="BD20" s="1" t="s">
        <v>121</v>
      </c>
      <c r="BE20" s="1" t="s">
        <v>121</v>
      </c>
      <c r="BF20" s="1" t="s">
        <v>121</v>
      </c>
      <c r="BG20" s="1" t="s">
        <v>121</v>
      </c>
      <c r="BH20" s="1" t="s">
        <v>121</v>
      </c>
      <c r="BI20" s="1" t="s">
        <v>121</v>
      </c>
      <c r="BJ20" s="1" t="s">
        <v>121</v>
      </c>
      <c r="BK20" s="1" t="s">
        <v>121</v>
      </c>
      <c r="BL20" s="1" t="s">
        <v>121</v>
      </c>
      <c r="BM20" s="1" t="s">
        <v>121</v>
      </c>
      <c r="BN20" s="1" t="s">
        <v>121</v>
      </c>
      <c r="BO20" s="1" t="s">
        <v>121</v>
      </c>
      <c r="BP20" s="1" t="s">
        <v>121</v>
      </c>
      <c r="BQ20" s="1" t="s">
        <v>121</v>
      </c>
    </row>
    <row r="21" spans="1:69" ht="15" customHeight="1" x14ac:dyDescent="0.25">
      <c r="A21" s="72">
        <v>21</v>
      </c>
      <c r="B21" s="17" t="s">
        <v>14</v>
      </c>
      <c r="C21" s="91">
        <v>-2.4468913357802213E-2</v>
      </c>
      <c r="D21" s="86">
        <v>0.1361398963730569</v>
      </c>
      <c r="E21" s="92">
        <v>5.4111708680107062E-2</v>
      </c>
      <c r="F21" s="255">
        <v>-35084</v>
      </c>
      <c r="G21" s="255">
        <v>-35964</v>
      </c>
      <c r="H21" s="255">
        <v>-31060</v>
      </c>
      <c r="I21" s="255">
        <v>-33283</v>
      </c>
      <c r="J21" s="255">
        <v>-30880</v>
      </c>
      <c r="K21" s="255">
        <v>-29389</v>
      </c>
      <c r="L21" s="255">
        <v>-30143</v>
      </c>
      <c r="M21" s="255">
        <v>-34553</v>
      </c>
      <c r="N21" s="255">
        <v>-36779</v>
      </c>
      <c r="O21" s="255">
        <v>-37201</v>
      </c>
      <c r="P21" s="255">
        <v>-36188</v>
      </c>
      <c r="Q21" s="255">
        <v>-42576</v>
      </c>
      <c r="R21" s="405"/>
      <c r="S21" s="405"/>
      <c r="T21" s="405"/>
      <c r="U21" s="255">
        <v>-40115</v>
      </c>
      <c r="V21" s="255">
        <v>-42645.008999999998</v>
      </c>
      <c r="W21" s="255">
        <v>-42485.491000000002</v>
      </c>
      <c r="X21" s="22">
        <v>-42244.771000000001</v>
      </c>
      <c r="Y21" s="22">
        <v>-39808</v>
      </c>
      <c r="Z21" s="22">
        <v>-41471.828000000001</v>
      </c>
      <c r="AA21" s="22">
        <v>-38747.722999999998</v>
      </c>
      <c r="AB21" s="22">
        <v>-37743.553999999996</v>
      </c>
      <c r="AC21" s="22">
        <v>-33376.584999999999</v>
      </c>
      <c r="AD21" s="22">
        <v>-35824.313999999998</v>
      </c>
      <c r="AE21" s="22">
        <v>-36278.425000000003</v>
      </c>
      <c r="AF21" s="22">
        <v>-36822.692000000003</v>
      </c>
      <c r="AG21" s="1">
        <v>-36500.28</v>
      </c>
      <c r="AH21" s="1">
        <v>-37689.192000000003</v>
      </c>
      <c r="AI21" s="1">
        <v>-36925.440000000002</v>
      </c>
      <c r="AJ21" s="1">
        <v>-35781.989000000001</v>
      </c>
      <c r="AK21" s="1" t="s">
        <v>121</v>
      </c>
      <c r="AL21" s="1" t="s">
        <v>121</v>
      </c>
      <c r="AM21" s="1" t="s">
        <v>121</v>
      </c>
      <c r="AN21" s="1" t="s">
        <v>121</v>
      </c>
      <c r="AO21" s="1" t="s">
        <v>121</v>
      </c>
      <c r="AP21" s="1" t="s">
        <v>121</v>
      </c>
      <c r="AQ21" s="1" t="s">
        <v>121</v>
      </c>
      <c r="AR21" s="1" t="s">
        <v>121</v>
      </c>
      <c r="AS21" s="1" t="s">
        <v>121</v>
      </c>
      <c r="AT21" s="1" t="s">
        <v>121</v>
      </c>
      <c r="AU21" s="1" t="s">
        <v>121</v>
      </c>
      <c r="AV21" s="1" t="s">
        <v>121</v>
      </c>
      <c r="AW21" s="1" t="s">
        <v>121</v>
      </c>
      <c r="AX21" s="1" t="s">
        <v>121</v>
      </c>
      <c r="AY21" s="1" t="s">
        <v>121</v>
      </c>
      <c r="AZ21" s="1" t="s">
        <v>121</v>
      </c>
      <c r="BA21" s="1" t="s">
        <v>121</v>
      </c>
      <c r="BB21" s="1" t="s">
        <v>121</v>
      </c>
      <c r="BC21" s="1" t="s">
        <v>121</v>
      </c>
      <c r="BD21" s="1" t="s">
        <v>121</v>
      </c>
      <c r="BE21" s="1" t="s">
        <v>121</v>
      </c>
      <c r="BF21" s="1" t="s">
        <v>121</v>
      </c>
      <c r="BG21" s="1" t="s">
        <v>121</v>
      </c>
      <c r="BH21" s="1" t="s">
        <v>121</v>
      </c>
      <c r="BI21" s="1" t="s">
        <v>121</v>
      </c>
      <c r="BJ21" s="1" t="s">
        <v>121</v>
      </c>
      <c r="BK21" s="1" t="s">
        <v>121</v>
      </c>
      <c r="BL21" s="1" t="s">
        <v>121</v>
      </c>
      <c r="BM21" s="1" t="s">
        <v>121</v>
      </c>
      <c r="BN21" s="1" t="s">
        <v>121</v>
      </c>
      <c r="BO21" s="1" t="s">
        <v>121</v>
      </c>
      <c r="BP21" s="1" t="s">
        <v>121</v>
      </c>
      <c r="BQ21" s="1" t="s">
        <v>121</v>
      </c>
    </row>
    <row r="22" spans="1:69" ht="15" customHeight="1" x14ac:dyDescent="0.25">
      <c r="A22" s="72">
        <v>22</v>
      </c>
      <c r="B22" s="17" t="s">
        <v>121</v>
      </c>
      <c r="C22" s="91" t="s">
        <v>121</v>
      </c>
      <c r="D22" s="86" t="s">
        <v>121</v>
      </c>
      <c r="E22" s="92" t="s">
        <v>121</v>
      </c>
      <c r="F22" s="255" t="s">
        <v>121</v>
      </c>
      <c r="G22" s="255" t="s">
        <v>121</v>
      </c>
      <c r="H22" s="255" t="s">
        <v>121</v>
      </c>
      <c r="I22" s="255" t="s">
        <v>121</v>
      </c>
      <c r="J22" s="255" t="s">
        <v>121</v>
      </c>
      <c r="K22" s="255" t="s">
        <v>121</v>
      </c>
      <c r="L22" s="255" t="s">
        <v>121</v>
      </c>
      <c r="M22" s="255" t="s">
        <v>121</v>
      </c>
      <c r="N22" s="255" t="s">
        <v>121</v>
      </c>
      <c r="O22" s="255" t="s">
        <v>121</v>
      </c>
      <c r="P22" s="255" t="s">
        <v>121</v>
      </c>
      <c r="Q22" s="255" t="s">
        <v>121</v>
      </c>
      <c r="R22" s="405"/>
      <c r="S22" s="405"/>
      <c r="T22" s="405"/>
      <c r="U22" s="255" t="s">
        <v>121</v>
      </c>
      <c r="V22" s="255" t="s">
        <v>121</v>
      </c>
      <c r="W22" s="255" t="s">
        <v>121</v>
      </c>
      <c r="X22" s="22" t="s">
        <v>121</v>
      </c>
      <c r="Y22" s="22" t="s">
        <v>121</v>
      </c>
      <c r="Z22" s="22" t="s">
        <v>121</v>
      </c>
      <c r="AA22" s="22" t="s">
        <v>121</v>
      </c>
      <c r="AB22" s="22" t="s">
        <v>121</v>
      </c>
      <c r="AC22" s="22" t="s">
        <v>121</v>
      </c>
      <c r="AD22" s="22" t="s">
        <v>121</v>
      </c>
      <c r="AE22" s="22" t="s">
        <v>121</v>
      </c>
      <c r="AF22" s="22" t="s">
        <v>121</v>
      </c>
      <c r="AG22" s="1" t="s">
        <v>121</v>
      </c>
      <c r="AH22" s="1" t="s">
        <v>121</v>
      </c>
      <c r="AI22" s="1" t="s">
        <v>121</v>
      </c>
      <c r="AJ22" s="1" t="s">
        <v>121</v>
      </c>
      <c r="AK22" s="1" t="s">
        <v>121</v>
      </c>
      <c r="AL22" s="1" t="s">
        <v>121</v>
      </c>
      <c r="AM22" s="1" t="s">
        <v>121</v>
      </c>
      <c r="AN22" s="1" t="s">
        <v>121</v>
      </c>
      <c r="AO22" s="1" t="s">
        <v>121</v>
      </c>
      <c r="AP22" s="1" t="s">
        <v>121</v>
      </c>
      <c r="AQ22" s="1" t="s">
        <v>121</v>
      </c>
      <c r="AR22" s="1" t="s">
        <v>121</v>
      </c>
      <c r="AS22" s="1" t="s">
        <v>121</v>
      </c>
      <c r="AT22" s="1" t="s">
        <v>121</v>
      </c>
      <c r="AU22" s="1" t="s">
        <v>121</v>
      </c>
      <c r="AV22" s="1" t="s">
        <v>121</v>
      </c>
      <c r="AW22" s="1" t="s">
        <v>121</v>
      </c>
      <c r="AX22" s="1" t="s">
        <v>121</v>
      </c>
      <c r="AY22" s="1" t="s">
        <v>121</v>
      </c>
      <c r="AZ22" s="1" t="s">
        <v>121</v>
      </c>
      <c r="BA22" s="1" t="s">
        <v>121</v>
      </c>
      <c r="BB22" s="1" t="s">
        <v>121</v>
      </c>
      <c r="BC22" s="1" t="s">
        <v>121</v>
      </c>
      <c r="BD22" s="1" t="s">
        <v>121</v>
      </c>
      <c r="BE22" s="1" t="s">
        <v>121</v>
      </c>
      <c r="BF22" s="1" t="s">
        <v>121</v>
      </c>
      <c r="BG22" s="1" t="s">
        <v>121</v>
      </c>
      <c r="BH22" s="1" t="s">
        <v>121</v>
      </c>
      <c r="BI22" s="1" t="s">
        <v>121</v>
      </c>
      <c r="BJ22" s="1" t="s">
        <v>121</v>
      </c>
      <c r="BK22" s="1" t="s">
        <v>121</v>
      </c>
      <c r="BL22" s="1" t="s">
        <v>121</v>
      </c>
      <c r="BM22" s="1" t="s">
        <v>121</v>
      </c>
      <c r="BN22" s="1" t="s">
        <v>121</v>
      </c>
      <c r="BO22" s="1" t="s">
        <v>121</v>
      </c>
      <c r="BP22" s="1" t="s">
        <v>121</v>
      </c>
      <c r="BQ22" s="1" t="s">
        <v>121</v>
      </c>
    </row>
    <row r="23" spans="1:69" ht="15" customHeight="1" x14ac:dyDescent="0.25">
      <c r="A23" s="72">
        <v>23</v>
      </c>
      <c r="B23" s="17" t="s">
        <v>323</v>
      </c>
      <c r="C23" s="91" t="s">
        <v>121</v>
      </c>
      <c r="D23" s="86" t="s">
        <v>121</v>
      </c>
      <c r="E23" s="92" t="s">
        <v>121</v>
      </c>
      <c r="F23" s="255">
        <v>8305</v>
      </c>
      <c r="G23" s="255">
        <v>7208</v>
      </c>
      <c r="H23" s="255">
        <v>7952</v>
      </c>
      <c r="I23" s="255">
        <v>7702</v>
      </c>
      <c r="J23" s="255">
        <v>7690</v>
      </c>
      <c r="K23" s="255">
        <v>7624</v>
      </c>
      <c r="L23" s="255">
        <v>7440</v>
      </c>
      <c r="M23" s="255">
        <v>7222</v>
      </c>
      <c r="N23" s="255">
        <v>7460</v>
      </c>
      <c r="O23" s="255">
        <v>7927</v>
      </c>
      <c r="P23" s="255">
        <v>7893</v>
      </c>
      <c r="Q23" s="255">
        <v>7792</v>
      </c>
      <c r="R23" s="405"/>
      <c r="S23" s="405"/>
      <c r="T23" s="405"/>
      <c r="U23" s="255">
        <v>12639</v>
      </c>
      <c r="V23" s="255">
        <v>8496.0519999999997</v>
      </c>
      <c r="W23" s="255">
        <v>4046.893</v>
      </c>
      <c r="X23" s="22">
        <v>4548.165</v>
      </c>
      <c r="Y23" s="22">
        <v>5129</v>
      </c>
      <c r="Z23" s="22">
        <v>5451.0619999999999</v>
      </c>
      <c r="AA23" s="22">
        <v>5307.22</v>
      </c>
      <c r="AB23" s="22">
        <v>6094.5810000000001</v>
      </c>
      <c r="AC23" s="22">
        <v>6931.1890000000003</v>
      </c>
      <c r="AD23" s="22">
        <v>4040.645</v>
      </c>
      <c r="AE23" s="22">
        <v>2101.1309999999999</v>
      </c>
      <c r="AF23" s="22">
        <v>977.87099999999998</v>
      </c>
      <c r="AG23" s="1">
        <v>1094.58</v>
      </c>
      <c r="AH23" s="1" t="s">
        <v>121</v>
      </c>
      <c r="AI23" s="1">
        <v>1262</v>
      </c>
      <c r="AJ23" s="1">
        <v>905.798</v>
      </c>
      <c r="AK23" s="1" t="s">
        <v>121</v>
      </c>
      <c r="AL23" s="1" t="s">
        <v>121</v>
      </c>
      <c r="AM23" s="1" t="s">
        <v>121</v>
      </c>
      <c r="AN23" s="1" t="s">
        <v>121</v>
      </c>
      <c r="AO23" s="1" t="s">
        <v>121</v>
      </c>
      <c r="AP23" s="1" t="s">
        <v>121</v>
      </c>
      <c r="AQ23" s="1" t="s">
        <v>121</v>
      </c>
      <c r="AR23" s="1" t="s">
        <v>121</v>
      </c>
      <c r="AS23" s="1" t="s">
        <v>121</v>
      </c>
      <c r="AT23" s="1" t="s">
        <v>121</v>
      </c>
      <c r="AU23" s="1" t="s">
        <v>121</v>
      </c>
      <c r="AV23" s="1" t="s">
        <v>121</v>
      </c>
      <c r="AW23" s="1" t="s">
        <v>121</v>
      </c>
      <c r="AX23" s="1" t="s">
        <v>121</v>
      </c>
      <c r="AY23" s="1" t="s">
        <v>121</v>
      </c>
      <c r="AZ23" s="1" t="s">
        <v>121</v>
      </c>
      <c r="BA23" s="1" t="s">
        <v>121</v>
      </c>
      <c r="BB23" s="1" t="s">
        <v>121</v>
      </c>
      <c r="BC23" s="1" t="s">
        <v>121</v>
      </c>
      <c r="BD23" s="1" t="s">
        <v>121</v>
      </c>
      <c r="BE23" s="1" t="s">
        <v>121</v>
      </c>
      <c r="BF23" s="1" t="s">
        <v>121</v>
      </c>
      <c r="BG23" s="1" t="s">
        <v>121</v>
      </c>
      <c r="BH23" s="1" t="s">
        <v>121</v>
      </c>
      <c r="BI23" s="1" t="s">
        <v>121</v>
      </c>
      <c r="BJ23" s="1" t="s">
        <v>121</v>
      </c>
      <c r="BK23" s="1" t="s">
        <v>121</v>
      </c>
      <c r="BL23" s="1" t="s">
        <v>121</v>
      </c>
      <c r="BM23" s="1" t="s">
        <v>121</v>
      </c>
      <c r="BN23" s="1" t="s">
        <v>121</v>
      </c>
      <c r="BO23" s="1" t="s">
        <v>121</v>
      </c>
      <c r="BP23" s="1" t="s">
        <v>121</v>
      </c>
      <c r="BQ23" s="1" t="s">
        <v>121</v>
      </c>
    </row>
    <row r="24" spans="1:69" s="19" customFormat="1" ht="26.1" customHeight="1" x14ac:dyDescent="0.25">
      <c r="A24" s="72">
        <v>24</v>
      </c>
      <c r="B24" s="19" t="s">
        <v>62</v>
      </c>
      <c r="C24" s="91">
        <v>0.11734228890227349</v>
      </c>
      <c r="D24" s="86">
        <v>0.29556013617708099</v>
      </c>
      <c r="E24" s="92">
        <v>0.27935304460252852</v>
      </c>
      <c r="F24" s="256">
        <v>918271</v>
      </c>
      <c r="G24" s="256">
        <v>821835</v>
      </c>
      <c r="H24" s="256">
        <v>729349</v>
      </c>
      <c r="I24" s="256">
        <v>717762</v>
      </c>
      <c r="J24" s="256">
        <v>708783</v>
      </c>
      <c r="K24" s="256">
        <v>686952</v>
      </c>
      <c r="L24" s="256">
        <v>675607</v>
      </c>
      <c r="M24" s="256">
        <v>651757</v>
      </c>
      <c r="N24" s="256">
        <v>623516</v>
      </c>
      <c r="O24" s="256">
        <v>538589</v>
      </c>
      <c r="P24" s="256">
        <v>561400</v>
      </c>
      <c r="Q24" s="256">
        <v>515269</v>
      </c>
      <c r="R24" s="405"/>
      <c r="S24" s="405"/>
      <c r="T24" s="405"/>
      <c r="U24" s="256">
        <v>473799</v>
      </c>
      <c r="V24" s="256">
        <v>472663.63099999999</v>
      </c>
      <c r="W24" s="256">
        <v>464833.99600000004</v>
      </c>
      <c r="X24" s="65">
        <v>440448.87799999997</v>
      </c>
      <c r="Y24" s="65">
        <v>419464.58100000001</v>
      </c>
      <c r="Z24" s="65">
        <v>427182.34500000003</v>
      </c>
      <c r="AA24" s="65">
        <v>378472.17800000001</v>
      </c>
      <c r="AB24" s="65">
        <v>396604.96399999998</v>
      </c>
      <c r="AC24" s="65">
        <v>368069.65399999998</v>
      </c>
      <c r="AD24" s="65">
        <v>354946.16200000001</v>
      </c>
      <c r="AE24" s="65">
        <v>329403.24</v>
      </c>
      <c r="AF24" s="65">
        <v>335272.59299999999</v>
      </c>
      <c r="AG24" s="19">
        <v>338783.58599999995</v>
      </c>
      <c r="AH24" s="19">
        <v>338548.3930000001</v>
      </c>
      <c r="AI24" s="19">
        <v>318159.95399999997</v>
      </c>
      <c r="AJ24" s="19">
        <v>309997.75799999997</v>
      </c>
      <c r="AK24" s="19" t="s">
        <v>121</v>
      </c>
      <c r="AL24" s="19" t="s">
        <v>121</v>
      </c>
      <c r="AM24" s="19" t="s">
        <v>121</v>
      </c>
      <c r="AN24" s="19" t="s">
        <v>121</v>
      </c>
      <c r="AO24" s="19" t="s">
        <v>121</v>
      </c>
      <c r="AP24" s="19" t="s">
        <v>121</v>
      </c>
      <c r="AQ24" s="19" t="s">
        <v>121</v>
      </c>
      <c r="AR24" s="19" t="s">
        <v>121</v>
      </c>
      <c r="AS24" s="19" t="s">
        <v>121</v>
      </c>
      <c r="AT24" s="19" t="s">
        <v>121</v>
      </c>
      <c r="AU24" s="19" t="s">
        <v>121</v>
      </c>
      <c r="AV24" s="19" t="s">
        <v>121</v>
      </c>
      <c r="AW24" s="19" t="s">
        <v>121</v>
      </c>
      <c r="AX24" s="19" t="s">
        <v>121</v>
      </c>
      <c r="AY24" s="19" t="s">
        <v>121</v>
      </c>
      <c r="AZ24" s="19" t="s">
        <v>121</v>
      </c>
      <c r="BA24" s="19" t="s">
        <v>121</v>
      </c>
      <c r="BB24" s="19" t="s">
        <v>121</v>
      </c>
      <c r="BC24" s="19" t="s">
        <v>121</v>
      </c>
      <c r="BD24" s="19" t="s">
        <v>121</v>
      </c>
      <c r="BE24" s="19" t="s">
        <v>121</v>
      </c>
      <c r="BF24" s="19" t="s">
        <v>121</v>
      </c>
      <c r="BG24" s="19" t="s">
        <v>121</v>
      </c>
      <c r="BH24" s="19" t="s">
        <v>121</v>
      </c>
      <c r="BI24" s="19" t="s">
        <v>121</v>
      </c>
      <c r="BJ24" s="19" t="s">
        <v>121</v>
      </c>
      <c r="BK24" s="19" t="s">
        <v>121</v>
      </c>
      <c r="BL24" s="19" t="s">
        <v>121</v>
      </c>
      <c r="BM24" s="19" t="s">
        <v>121</v>
      </c>
      <c r="BN24" s="19" t="s">
        <v>121</v>
      </c>
      <c r="BO24" s="19" t="s">
        <v>121</v>
      </c>
      <c r="BP24" s="19" t="s">
        <v>121</v>
      </c>
      <c r="BQ24" s="19" t="s">
        <v>121</v>
      </c>
    </row>
    <row r="25" spans="1:69" x14ac:dyDescent="0.25">
      <c r="A25" s="72">
        <v>25</v>
      </c>
      <c r="B25" s="1" t="s">
        <v>121</v>
      </c>
      <c r="C25" s="1" t="s">
        <v>121</v>
      </c>
      <c r="D25" s="1" t="s">
        <v>121</v>
      </c>
      <c r="E25" s="106" t="s">
        <v>121</v>
      </c>
      <c r="F25" s="144" t="s">
        <v>121</v>
      </c>
      <c r="G25" s="322" t="s">
        <v>121</v>
      </c>
      <c r="H25" s="322" t="s">
        <v>121</v>
      </c>
      <c r="I25" s="322" t="s">
        <v>121</v>
      </c>
      <c r="J25" s="322" t="s">
        <v>121</v>
      </c>
      <c r="K25" s="322" t="s">
        <v>121</v>
      </c>
      <c r="L25" s="322" t="s">
        <v>121</v>
      </c>
      <c r="M25" s="322" t="s">
        <v>121</v>
      </c>
      <c r="N25" s="322" t="s">
        <v>121</v>
      </c>
      <c r="O25" s="322" t="s">
        <v>121</v>
      </c>
      <c r="P25" s="322" t="s">
        <v>121</v>
      </c>
      <c r="Q25" s="322" t="s">
        <v>121</v>
      </c>
      <c r="R25" s="322" t="s">
        <v>121</v>
      </c>
      <c r="S25" s="322" t="s">
        <v>121</v>
      </c>
      <c r="T25" s="322" t="s">
        <v>121</v>
      </c>
      <c r="U25" s="300" t="s">
        <v>121</v>
      </c>
      <c r="V25" s="300" t="s">
        <v>121</v>
      </c>
      <c r="W25" s="300" t="s">
        <v>121</v>
      </c>
      <c r="X25" s="25" t="s">
        <v>121</v>
      </c>
      <c r="Y25" s="1" t="s">
        <v>121</v>
      </c>
      <c r="Z25" s="1" t="s">
        <v>121</v>
      </c>
      <c r="AA25" s="1" t="s">
        <v>121</v>
      </c>
      <c r="AB25" s="1" t="s">
        <v>121</v>
      </c>
      <c r="AC25" s="1" t="s">
        <v>121</v>
      </c>
      <c r="AD25" s="1" t="s">
        <v>121</v>
      </c>
      <c r="AE25" s="1" t="s">
        <v>121</v>
      </c>
      <c r="AF25" s="1" t="s">
        <v>121</v>
      </c>
      <c r="AG25" s="1" t="s">
        <v>121</v>
      </c>
      <c r="AH25" s="1" t="s">
        <v>121</v>
      </c>
      <c r="AI25" s="1" t="s">
        <v>121</v>
      </c>
      <c r="AJ25" s="1" t="s">
        <v>121</v>
      </c>
      <c r="AK25" s="1" t="s">
        <v>121</v>
      </c>
      <c r="AL25" s="1" t="s">
        <v>121</v>
      </c>
      <c r="AM25" s="1" t="s">
        <v>121</v>
      </c>
      <c r="AN25" s="1" t="s">
        <v>121</v>
      </c>
      <c r="AO25" s="1" t="s">
        <v>121</v>
      </c>
      <c r="AP25" s="1" t="s">
        <v>121</v>
      </c>
      <c r="AQ25" s="1" t="s">
        <v>121</v>
      </c>
      <c r="AR25" s="1" t="s">
        <v>121</v>
      </c>
      <c r="AS25" s="1" t="s">
        <v>121</v>
      </c>
      <c r="AT25" s="1" t="s">
        <v>121</v>
      </c>
      <c r="AU25" s="1" t="s">
        <v>121</v>
      </c>
      <c r="AV25" s="1" t="s">
        <v>121</v>
      </c>
      <c r="AW25" s="1" t="s">
        <v>121</v>
      </c>
      <c r="AX25" s="1" t="s">
        <v>121</v>
      </c>
      <c r="AY25" s="1" t="s">
        <v>121</v>
      </c>
      <c r="AZ25" s="1" t="s">
        <v>121</v>
      </c>
      <c r="BA25" s="1" t="s">
        <v>121</v>
      </c>
      <c r="BB25" s="1" t="s">
        <v>121</v>
      </c>
      <c r="BC25" s="1" t="s">
        <v>121</v>
      </c>
      <c r="BD25" s="1" t="s">
        <v>121</v>
      </c>
      <c r="BE25" s="1" t="s">
        <v>121</v>
      </c>
      <c r="BF25" s="1" t="s">
        <v>121</v>
      </c>
      <c r="BG25" s="1" t="s">
        <v>121</v>
      </c>
      <c r="BH25" s="1" t="s">
        <v>121</v>
      </c>
      <c r="BI25" s="1" t="s">
        <v>121</v>
      </c>
      <c r="BJ25" s="1" t="s">
        <v>121</v>
      </c>
      <c r="BK25" s="1" t="s">
        <v>121</v>
      </c>
      <c r="BL25" s="1" t="s">
        <v>121</v>
      </c>
      <c r="BM25" s="1" t="s">
        <v>121</v>
      </c>
      <c r="BN25" s="1" t="s">
        <v>121</v>
      </c>
      <c r="BO25" s="1" t="s">
        <v>121</v>
      </c>
      <c r="BP25" s="1" t="s">
        <v>121</v>
      </c>
      <c r="BQ25" s="1" t="s">
        <v>121</v>
      </c>
    </row>
    <row r="26" spans="1:69" x14ac:dyDescent="0.25">
      <c r="A26" s="72">
        <v>26</v>
      </c>
      <c r="B26" s="1" t="s">
        <v>121</v>
      </c>
      <c r="C26" s="1" t="s">
        <v>121</v>
      </c>
      <c r="D26" s="1" t="s">
        <v>121</v>
      </c>
      <c r="E26" s="1" t="s">
        <v>121</v>
      </c>
      <c r="F26" s="1" t="s">
        <v>121</v>
      </c>
      <c r="G26" s="284" t="s">
        <v>121</v>
      </c>
      <c r="H26" s="284" t="s">
        <v>121</v>
      </c>
      <c r="I26" s="284" t="s">
        <v>121</v>
      </c>
      <c r="J26" s="284" t="s">
        <v>121</v>
      </c>
      <c r="K26" s="284" t="s">
        <v>121</v>
      </c>
      <c r="L26" s="284" t="s">
        <v>121</v>
      </c>
      <c r="M26" s="284" t="s">
        <v>121</v>
      </c>
      <c r="N26" s="284" t="s">
        <v>121</v>
      </c>
      <c r="O26" s="284" t="s">
        <v>121</v>
      </c>
      <c r="P26" s="284" t="s">
        <v>121</v>
      </c>
      <c r="Q26" s="284" t="s">
        <v>121</v>
      </c>
      <c r="R26" s="284" t="s">
        <v>121</v>
      </c>
      <c r="S26" s="284" t="s">
        <v>121</v>
      </c>
      <c r="T26" s="284" t="s">
        <v>121</v>
      </c>
      <c r="U26" s="284" t="s">
        <v>121</v>
      </c>
      <c r="V26" s="284" t="s">
        <v>121</v>
      </c>
      <c r="W26" s="284" t="s">
        <v>121</v>
      </c>
      <c r="X26" s="1" t="s">
        <v>121</v>
      </c>
      <c r="Y26" s="1" t="s">
        <v>121</v>
      </c>
      <c r="Z26" s="1" t="s">
        <v>121</v>
      </c>
      <c r="AA26" s="1" t="s">
        <v>121</v>
      </c>
      <c r="AB26" t="s">
        <v>121</v>
      </c>
      <c r="AC26" t="s">
        <v>121</v>
      </c>
      <c r="AD26" s="1" t="s">
        <v>121</v>
      </c>
      <c r="AE26" s="1" t="s">
        <v>121</v>
      </c>
      <c r="AF26" s="1" t="s">
        <v>121</v>
      </c>
      <c r="AG26" s="1" t="s">
        <v>121</v>
      </c>
      <c r="AH26" s="1" t="s">
        <v>121</v>
      </c>
      <c r="AI26" s="1" t="s">
        <v>121</v>
      </c>
      <c r="AJ26" s="1" t="s">
        <v>121</v>
      </c>
      <c r="AK26" s="1" t="s">
        <v>121</v>
      </c>
      <c r="AL26" s="1" t="s">
        <v>121</v>
      </c>
      <c r="AM26" s="1" t="s">
        <v>121</v>
      </c>
      <c r="AN26" s="1" t="s">
        <v>121</v>
      </c>
      <c r="AO26" s="1" t="s">
        <v>121</v>
      </c>
      <c r="AP26" s="1" t="s">
        <v>121</v>
      </c>
      <c r="AQ26" s="1" t="s">
        <v>121</v>
      </c>
      <c r="AR26" s="1" t="s">
        <v>121</v>
      </c>
      <c r="AS26" s="1" t="s">
        <v>121</v>
      </c>
      <c r="AT26" s="1" t="s">
        <v>121</v>
      </c>
      <c r="AU26" s="1" t="s">
        <v>121</v>
      </c>
      <c r="AV26" s="1" t="s">
        <v>121</v>
      </c>
      <c r="AW26" s="1" t="s">
        <v>121</v>
      </c>
      <c r="AX26" s="1" t="s">
        <v>121</v>
      </c>
      <c r="AY26" s="1" t="s">
        <v>121</v>
      </c>
      <c r="AZ26" s="1" t="s">
        <v>121</v>
      </c>
      <c r="BA26" s="1" t="s">
        <v>121</v>
      </c>
      <c r="BB26" s="1" t="s">
        <v>121</v>
      </c>
      <c r="BC26" s="1" t="s">
        <v>121</v>
      </c>
      <c r="BD26" s="1" t="s">
        <v>121</v>
      </c>
      <c r="BE26" s="1" t="s">
        <v>121</v>
      </c>
      <c r="BF26" s="1" t="s">
        <v>121</v>
      </c>
      <c r="BG26" s="1" t="s">
        <v>121</v>
      </c>
      <c r="BH26" s="1" t="s">
        <v>121</v>
      </c>
      <c r="BI26" s="1" t="s">
        <v>121</v>
      </c>
      <c r="BJ26" s="1" t="s">
        <v>121</v>
      </c>
      <c r="BK26" s="1" t="s">
        <v>121</v>
      </c>
      <c r="BL26" s="1" t="s">
        <v>121</v>
      </c>
      <c r="BM26" s="1" t="s">
        <v>121</v>
      </c>
      <c r="BN26" s="1" t="s">
        <v>121</v>
      </c>
      <c r="BO26" s="1" t="s">
        <v>121</v>
      </c>
      <c r="BP26" s="1" t="s">
        <v>121</v>
      </c>
      <c r="BQ26" s="1" t="s">
        <v>121</v>
      </c>
    </row>
    <row r="27" spans="1:69" x14ac:dyDescent="0.25">
      <c r="A27" s="72">
        <v>27</v>
      </c>
      <c r="B27" s="1" t="s">
        <v>121</v>
      </c>
      <c r="C27" s="1" t="s">
        <v>121</v>
      </c>
      <c r="D27" s="1" t="s">
        <v>121</v>
      </c>
      <c r="E27" s="1" t="s">
        <v>121</v>
      </c>
      <c r="F27" s="1" t="s">
        <v>121</v>
      </c>
      <c r="G27" s="284" t="s">
        <v>121</v>
      </c>
      <c r="H27" s="284" t="s">
        <v>121</v>
      </c>
      <c r="I27" s="284" t="s">
        <v>121</v>
      </c>
      <c r="J27" s="284" t="s">
        <v>121</v>
      </c>
      <c r="K27" s="284" t="s">
        <v>121</v>
      </c>
      <c r="L27" s="284" t="s">
        <v>121</v>
      </c>
      <c r="M27" s="284" t="s">
        <v>121</v>
      </c>
      <c r="N27" s="284" t="s">
        <v>121</v>
      </c>
      <c r="O27" s="284" t="s">
        <v>121</v>
      </c>
      <c r="P27" s="284" t="s">
        <v>121</v>
      </c>
      <c r="Q27" s="284" t="s">
        <v>121</v>
      </c>
      <c r="R27" s="284" t="s">
        <v>121</v>
      </c>
      <c r="S27" s="284" t="s">
        <v>121</v>
      </c>
      <c r="T27" s="284" t="s">
        <v>121</v>
      </c>
      <c r="U27" s="284" t="s">
        <v>121</v>
      </c>
      <c r="V27" s="284" t="s">
        <v>121</v>
      </c>
      <c r="W27" s="284" t="s">
        <v>121</v>
      </c>
      <c r="X27" s="1" t="s">
        <v>121</v>
      </c>
      <c r="Y27" s="1" t="s">
        <v>121</v>
      </c>
      <c r="Z27" s="1" t="s">
        <v>121</v>
      </c>
      <c r="AA27" s="1" t="s">
        <v>121</v>
      </c>
      <c r="AB27" s="1" t="s">
        <v>121</v>
      </c>
      <c r="AC27" s="1" t="s">
        <v>121</v>
      </c>
      <c r="AD27" s="1" t="s">
        <v>121</v>
      </c>
      <c r="AE27" s="1" t="s">
        <v>121</v>
      </c>
      <c r="AF27" s="1" t="s">
        <v>121</v>
      </c>
      <c r="AG27" s="1" t="s">
        <v>121</v>
      </c>
      <c r="AH27" s="1" t="s">
        <v>121</v>
      </c>
      <c r="AI27" s="1" t="s">
        <v>121</v>
      </c>
      <c r="AJ27" s="1" t="s">
        <v>121</v>
      </c>
      <c r="AK27" s="1" t="s">
        <v>121</v>
      </c>
      <c r="AL27" s="1" t="s">
        <v>121</v>
      </c>
      <c r="AM27" s="1" t="s">
        <v>121</v>
      </c>
      <c r="AN27" s="1" t="s">
        <v>121</v>
      </c>
      <c r="AO27" s="1" t="s">
        <v>121</v>
      </c>
      <c r="AP27" s="1" t="s">
        <v>121</v>
      </c>
      <c r="AQ27" s="1" t="s">
        <v>121</v>
      </c>
      <c r="AR27" s="1" t="s">
        <v>121</v>
      </c>
      <c r="AS27" s="1" t="s">
        <v>121</v>
      </c>
      <c r="AT27" s="1" t="s">
        <v>121</v>
      </c>
      <c r="AU27" s="1" t="s">
        <v>121</v>
      </c>
      <c r="AV27" s="1" t="s">
        <v>121</v>
      </c>
      <c r="AW27" s="1" t="s">
        <v>121</v>
      </c>
      <c r="AX27" s="1" t="s">
        <v>121</v>
      </c>
      <c r="AY27" s="1" t="s">
        <v>121</v>
      </c>
      <c r="AZ27" s="1" t="s">
        <v>121</v>
      </c>
      <c r="BA27" s="1" t="s">
        <v>121</v>
      </c>
      <c r="BB27" s="1" t="s">
        <v>121</v>
      </c>
      <c r="BC27" s="1" t="s">
        <v>121</v>
      </c>
      <c r="BD27" s="1" t="s">
        <v>121</v>
      </c>
      <c r="BE27" s="1" t="s">
        <v>121</v>
      </c>
      <c r="BF27" s="1" t="s">
        <v>121</v>
      </c>
      <c r="BG27" s="1" t="s">
        <v>121</v>
      </c>
      <c r="BH27" s="1" t="s">
        <v>121</v>
      </c>
      <c r="BI27" s="1" t="s">
        <v>121</v>
      </c>
      <c r="BJ27" s="1" t="s">
        <v>121</v>
      </c>
      <c r="BK27" s="1" t="s">
        <v>121</v>
      </c>
      <c r="BL27" s="1" t="s">
        <v>121</v>
      </c>
      <c r="BM27" s="1" t="s">
        <v>121</v>
      </c>
      <c r="BN27" s="1" t="s">
        <v>121</v>
      </c>
      <c r="BO27" s="1" t="s">
        <v>121</v>
      </c>
      <c r="BP27" s="1" t="s">
        <v>121</v>
      </c>
      <c r="BQ27" s="1" t="s">
        <v>121</v>
      </c>
    </row>
    <row r="28" spans="1:69" x14ac:dyDescent="0.25">
      <c r="A28" s="72">
        <v>28</v>
      </c>
      <c r="B28" s="426" t="s">
        <v>66</v>
      </c>
      <c r="C28" s="436" t="s">
        <v>64</v>
      </c>
      <c r="D28" s="438" t="s">
        <v>265</v>
      </c>
      <c r="E28" s="434" t="s">
        <v>79</v>
      </c>
      <c r="F28" s="416">
        <v>45930</v>
      </c>
      <c r="G28" s="416">
        <v>45838</v>
      </c>
      <c r="H28" s="416">
        <v>45747</v>
      </c>
      <c r="I28" s="416">
        <v>45657</v>
      </c>
      <c r="J28" s="416">
        <v>45565</v>
      </c>
      <c r="K28" s="416">
        <v>45473</v>
      </c>
      <c r="L28" s="416">
        <v>45382</v>
      </c>
      <c r="M28" s="416">
        <v>45291</v>
      </c>
      <c r="N28" s="416">
        <v>45199</v>
      </c>
      <c r="O28" s="416">
        <v>45107</v>
      </c>
      <c r="P28" s="416">
        <v>45016</v>
      </c>
      <c r="Q28" s="416">
        <v>44926</v>
      </c>
      <c r="R28" s="416">
        <v>44834</v>
      </c>
      <c r="S28" s="416">
        <v>44742</v>
      </c>
      <c r="T28" s="449">
        <v>44651</v>
      </c>
      <c r="U28" s="449">
        <v>44561</v>
      </c>
      <c r="V28" s="449">
        <v>44469</v>
      </c>
      <c r="W28" s="449">
        <v>44377</v>
      </c>
      <c r="X28" s="416">
        <v>44286</v>
      </c>
      <c r="Y28" s="429">
        <v>44196</v>
      </c>
      <c r="Z28" s="429">
        <v>44104</v>
      </c>
      <c r="AA28" s="429">
        <v>44012</v>
      </c>
      <c r="AB28" s="416">
        <v>43921</v>
      </c>
      <c r="AC28" s="416">
        <v>43830</v>
      </c>
      <c r="AD28" s="416">
        <v>43738</v>
      </c>
      <c r="AE28" s="416">
        <v>43646</v>
      </c>
      <c r="AF28" s="416">
        <v>43555</v>
      </c>
      <c r="AG28" s="1">
        <v>43465</v>
      </c>
      <c r="AH28" s="1">
        <v>43373</v>
      </c>
      <c r="AI28" s="1">
        <v>43281</v>
      </c>
      <c r="AJ28" s="1">
        <v>43190</v>
      </c>
      <c r="AK28" s="1" t="s">
        <v>121</v>
      </c>
      <c r="AL28" s="1" t="s">
        <v>121</v>
      </c>
      <c r="AM28" s="1" t="s">
        <v>121</v>
      </c>
      <c r="AN28" s="1" t="s">
        <v>121</v>
      </c>
      <c r="AO28" s="1" t="s">
        <v>121</v>
      </c>
      <c r="AP28" s="1" t="s">
        <v>121</v>
      </c>
      <c r="AQ28" s="1" t="s">
        <v>121</v>
      </c>
      <c r="AR28" s="1" t="s">
        <v>121</v>
      </c>
      <c r="AS28" s="1" t="s">
        <v>121</v>
      </c>
      <c r="AT28" s="1" t="s">
        <v>121</v>
      </c>
      <c r="AU28" s="1" t="s">
        <v>121</v>
      </c>
      <c r="AV28" s="1" t="s">
        <v>121</v>
      </c>
      <c r="AW28" s="1" t="s">
        <v>121</v>
      </c>
      <c r="AX28" s="1" t="s">
        <v>121</v>
      </c>
      <c r="AY28" s="1" t="s">
        <v>121</v>
      </c>
      <c r="AZ28" s="1" t="s">
        <v>121</v>
      </c>
      <c r="BA28" s="1" t="s">
        <v>121</v>
      </c>
      <c r="BB28" s="1" t="s">
        <v>121</v>
      </c>
      <c r="BC28" s="1" t="s">
        <v>121</v>
      </c>
      <c r="BD28" s="1" t="s">
        <v>121</v>
      </c>
      <c r="BE28" s="1" t="s">
        <v>121</v>
      </c>
      <c r="BF28" s="1" t="s">
        <v>121</v>
      </c>
      <c r="BG28" s="1" t="s">
        <v>121</v>
      </c>
      <c r="BH28" s="1" t="s">
        <v>121</v>
      </c>
      <c r="BI28" s="1" t="s">
        <v>121</v>
      </c>
      <c r="BJ28" s="1" t="s">
        <v>121</v>
      </c>
      <c r="BK28" s="1" t="s">
        <v>121</v>
      </c>
      <c r="BL28" s="1" t="s">
        <v>121</v>
      </c>
      <c r="BM28" s="1" t="s">
        <v>121</v>
      </c>
      <c r="BN28" s="1" t="s">
        <v>121</v>
      </c>
      <c r="BO28" s="1" t="s">
        <v>121</v>
      </c>
      <c r="BP28" s="1" t="s">
        <v>121</v>
      </c>
      <c r="BQ28" s="1" t="s">
        <v>121</v>
      </c>
    </row>
    <row r="29" spans="1:69" x14ac:dyDescent="0.25">
      <c r="A29" s="72">
        <v>29</v>
      </c>
      <c r="B29" s="427"/>
      <c r="C29" s="437"/>
      <c r="D29" s="451"/>
      <c r="E29" s="444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50"/>
      <c r="U29" s="450"/>
      <c r="V29" s="450"/>
      <c r="W29" s="450"/>
      <c r="X29" s="417"/>
      <c r="Y29" s="430"/>
      <c r="Z29" s="430"/>
      <c r="AA29" s="430"/>
      <c r="AB29" s="417"/>
      <c r="AC29" s="417"/>
      <c r="AD29" s="417"/>
      <c r="AE29" s="417"/>
      <c r="AF29" s="417"/>
    </row>
    <row r="30" spans="1:69" ht="9.75" customHeight="1" x14ac:dyDescent="0.25">
      <c r="A30" s="72">
        <v>30</v>
      </c>
      <c r="B30" s="8" t="s">
        <v>4</v>
      </c>
      <c r="C30" s="133" t="s">
        <v>121</v>
      </c>
      <c r="D30" s="262" t="s">
        <v>121</v>
      </c>
      <c r="E30" s="134" t="s">
        <v>121</v>
      </c>
      <c r="F30" s="39" t="s">
        <v>121</v>
      </c>
      <c r="G30" s="288" t="s">
        <v>121</v>
      </c>
      <c r="H30" s="288" t="s">
        <v>121</v>
      </c>
      <c r="I30" s="288" t="s">
        <v>121</v>
      </c>
      <c r="J30" s="288" t="s">
        <v>121</v>
      </c>
      <c r="K30" s="288" t="s">
        <v>121</v>
      </c>
      <c r="L30" s="288" t="s">
        <v>121</v>
      </c>
      <c r="M30" s="288" t="s">
        <v>121</v>
      </c>
      <c r="N30" s="288" t="s">
        <v>121</v>
      </c>
      <c r="O30" s="288" t="s">
        <v>121</v>
      </c>
      <c r="P30" s="288" t="s">
        <v>121</v>
      </c>
      <c r="Q30" s="288" t="s">
        <v>121</v>
      </c>
      <c r="R30" s="288" t="s">
        <v>121</v>
      </c>
      <c r="S30" s="288" t="s">
        <v>121</v>
      </c>
      <c r="T30" s="288" t="s">
        <v>121</v>
      </c>
      <c r="U30" s="288" t="s">
        <v>121</v>
      </c>
      <c r="V30" s="288" t="s">
        <v>121</v>
      </c>
      <c r="W30" s="288" t="s">
        <v>121</v>
      </c>
      <c r="X30" s="39" t="s">
        <v>121</v>
      </c>
      <c r="Y30" s="39" t="s">
        <v>121</v>
      </c>
      <c r="Z30" s="39" t="s">
        <v>121</v>
      </c>
      <c r="AA30" s="39" t="s">
        <v>121</v>
      </c>
      <c r="AB30" s="39" t="s">
        <v>121</v>
      </c>
      <c r="AC30" s="39" t="s">
        <v>121</v>
      </c>
      <c r="AD30" s="39" t="s">
        <v>121</v>
      </c>
      <c r="AE30" s="39" t="s">
        <v>121</v>
      </c>
      <c r="AF30" s="39" t="s">
        <v>121</v>
      </c>
      <c r="AG30" s="1" t="s">
        <v>121</v>
      </c>
      <c r="AH30" s="1" t="s">
        <v>121</v>
      </c>
      <c r="AI30" s="1" t="s">
        <v>121</v>
      </c>
      <c r="AJ30" s="1" t="s">
        <v>121</v>
      </c>
      <c r="AK30" s="1" t="s">
        <v>121</v>
      </c>
      <c r="AL30" s="1" t="s">
        <v>121</v>
      </c>
      <c r="AM30" s="1" t="s">
        <v>121</v>
      </c>
      <c r="AN30" s="1" t="s">
        <v>121</v>
      </c>
      <c r="AO30" s="1" t="s">
        <v>121</v>
      </c>
      <c r="AP30" s="1" t="s">
        <v>121</v>
      </c>
      <c r="AQ30" s="1" t="s">
        <v>121</v>
      </c>
      <c r="AR30" s="1" t="s">
        <v>121</v>
      </c>
      <c r="AS30" s="1" t="s">
        <v>121</v>
      </c>
      <c r="AT30" s="1" t="s">
        <v>121</v>
      </c>
      <c r="AU30" s="1" t="s">
        <v>121</v>
      </c>
      <c r="AV30" s="1" t="s">
        <v>121</v>
      </c>
      <c r="AW30" s="1" t="s">
        <v>121</v>
      </c>
      <c r="AX30" s="1" t="s">
        <v>121</v>
      </c>
      <c r="AY30" s="1" t="s">
        <v>121</v>
      </c>
      <c r="AZ30" s="1" t="s">
        <v>121</v>
      </c>
      <c r="BA30" s="1" t="s">
        <v>121</v>
      </c>
      <c r="BB30" s="1" t="s">
        <v>121</v>
      </c>
      <c r="BC30" s="1" t="s">
        <v>121</v>
      </c>
      <c r="BD30" s="1" t="s">
        <v>121</v>
      </c>
      <c r="BE30" s="1" t="s">
        <v>121</v>
      </c>
      <c r="BF30" s="1" t="s">
        <v>121</v>
      </c>
      <c r="BG30" s="1" t="s">
        <v>121</v>
      </c>
      <c r="BH30" s="1" t="s">
        <v>121</v>
      </c>
      <c r="BI30" s="1" t="s">
        <v>121</v>
      </c>
      <c r="BJ30" s="1" t="s">
        <v>121</v>
      </c>
      <c r="BK30" s="1" t="s">
        <v>121</v>
      </c>
      <c r="BL30" s="1" t="s">
        <v>121</v>
      </c>
      <c r="BM30" s="1" t="s">
        <v>121</v>
      </c>
      <c r="BN30" s="1" t="s">
        <v>121</v>
      </c>
      <c r="BO30" s="1" t="s">
        <v>121</v>
      </c>
      <c r="BP30" s="1" t="s">
        <v>121</v>
      </c>
      <c r="BQ30" s="1" t="s">
        <v>121</v>
      </c>
    </row>
    <row r="31" spans="1:69" s="61" customFormat="1" x14ac:dyDescent="0.25">
      <c r="A31" s="72">
        <v>31</v>
      </c>
      <c r="B31" s="135" t="s">
        <v>70</v>
      </c>
      <c r="C31" s="91">
        <v>5.9632215669370936E-2</v>
      </c>
      <c r="D31" s="86">
        <v>0.1696548421045998</v>
      </c>
      <c r="E31" s="92">
        <v>0.14234189875365444</v>
      </c>
      <c r="F31" s="289">
        <v>185602</v>
      </c>
      <c r="G31" s="289">
        <v>175157</v>
      </c>
      <c r="H31" s="289">
        <v>170745</v>
      </c>
      <c r="I31" s="289">
        <v>162475</v>
      </c>
      <c r="J31" s="289">
        <v>158681</v>
      </c>
      <c r="K31" s="289">
        <v>158352</v>
      </c>
      <c r="L31" s="289">
        <v>156296</v>
      </c>
      <c r="M31" s="289">
        <v>155917</v>
      </c>
      <c r="N31" s="289">
        <v>155210</v>
      </c>
      <c r="O31" s="289">
        <v>149035</v>
      </c>
      <c r="P31" s="289">
        <v>143858</v>
      </c>
      <c r="Q31" s="289">
        <v>138960</v>
      </c>
      <c r="R31" s="405"/>
      <c r="S31" s="405"/>
      <c r="T31" s="405"/>
      <c r="U31" s="289">
        <v>131918</v>
      </c>
      <c r="V31" s="289">
        <v>126631.417</v>
      </c>
      <c r="W31" s="289">
        <v>123725.356</v>
      </c>
      <c r="X31" s="70">
        <v>115247.511</v>
      </c>
      <c r="Y31" s="70">
        <v>110922</v>
      </c>
      <c r="Z31" s="70">
        <v>106872.07500000001</v>
      </c>
      <c r="AA31" s="70">
        <v>101348.83300000001</v>
      </c>
      <c r="AB31" s="70">
        <v>100728.715</v>
      </c>
      <c r="AC31" s="70">
        <v>99148.716</v>
      </c>
      <c r="AD31" s="70">
        <v>97600.955000000002</v>
      </c>
      <c r="AE31" s="70">
        <v>93968.777999999991</v>
      </c>
      <c r="AF31" s="70">
        <v>88152.683000000005</v>
      </c>
      <c r="AG31" s="61">
        <v>84355.202000000005</v>
      </c>
      <c r="AH31" s="61">
        <v>80465.067999999999</v>
      </c>
      <c r="AI31" s="61">
        <v>76843.277999999991</v>
      </c>
      <c r="AJ31" s="61">
        <v>73364.459999999992</v>
      </c>
      <c r="AK31" s="61" t="s">
        <v>121</v>
      </c>
      <c r="AL31" s="61" t="s">
        <v>121</v>
      </c>
      <c r="AM31" s="61" t="s">
        <v>121</v>
      </c>
      <c r="AN31" s="61" t="s">
        <v>121</v>
      </c>
      <c r="AO31" s="61" t="s">
        <v>121</v>
      </c>
      <c r="AP31" s="61" t="s">
        <v>121</v>
      </c>
      <c r="AQ31" s="61" t="s">
        <v>121</v>
      </c>
      <c r="AR31" s="61" t="s">
        <v>121</v>
      </c>
      <c r="AS31" s="61" t="s">
        <v>121</v>
      </c>
      <c r="AT31" s="61" t="s">
        <v>121</v>
      </c>
      <c r="AU31" s="61" t="s">
        <v>121</v>
      </c>
      <c r="AV31" s="61" t="s">
        <v>121</v>
      </c>
      <c r="AW31" s="61" t="s">
        <v>121</v>
      </c>
      <c r="AX31" s="61" t="s">
        <v>121</v>
      </c>
      <c r="AY31" s="61" t="s">
        <v>121</v>
      </c>
      <c r="AZ31" s="61" t="s">
        <v>121</v>
      </c>
      <c r="BA31" s="61" t="s">
        <v>121</v>
      </c>
      <c r="BB31" s="61" t="s">
        <v>121</v>
      </c>
      <c r="BC31" s="61" t="s">
        <v>121</v>
      </c>
      <c r="BD31" s="61" t="s">
        <v>121</v>
      </c>
      <c r="BE31" s="61" t="s">
        <v>121</v>
      </c>
      <c r="BF31" s="61" t="s">
        <v>121</v>
      </c>
      <c r="BG31" s="61" t="s">
        <v>121</v>
      </c>
      <c r="BH31" s="61" t="s">
        <v>121</v>
      </c>
      <c r="BI31" s="61" t="s">
        <v>121</v>
      </c>
      <c r="BJ31" s="61" t="s">
        <v>121</v>
      </c>
      <c r="BK31" s="61" t="s">
        <v>121</v>
      </c>
      <c r="BL31" s="61" t="s">
        <v>121</v>
      </c>
      <c r="BM31" s="61" t="s">
        <v>121</v>
      </c>
      <c r="BN31" s="61" t="s">
        <v>121</v>
      </c>
      <c r="BO31" s="61" t="s">
        <v>121</v>
      </c>
      <c r="BP31" s="61" t="s">
        <v>121</v>
      </c>
      <c r="BQ31" s="61" t="s">
        <v>121</v>
      </c>
    </row>
    <row r="32" spans="1:69" x14ac:dyDescent="0.25">
      <c r="A32" s="72">
        <v>32</v>
      </c>
      <c r="B32" s="1" t="s">
        <v>121</v>
      </c>
      <c r="C32" s="1" t="s">
        <v>121</v>
      </c>
      <c r="D32" s="1" t="s">
        <v>121</v>
      </c>
      <c r="E32" s="1" t="s">
        <v>121</v>
      </c>
      <c r="F32" s="1" t="s">
        <v>121</v>
      </c>
      <c r="G32" s="284" t="s">
        <v>121</v>
      </c>
      <c r="H32" s="284" t="s">
        <v>121</v>
      </c>
      <c r="I32" s="284" t="s">
        <v>121</v>
      </c>
      <c r="J32" s="284" t="s">
        <v>121</v>
      </c>
      <c r="K32" s="284" t="s">
        <v>121</v>
      </c>
      <c r="L32" s="284" t="s">
        <v>121</v>
      </c>
      <c r="M32" s="284" t="s">
        <v>121</v>
      </c>
      <c r="N32" s="284" t="s">
        <v>121</v>
      </c>
      <c r="O32" s="284" t="s">
        <v>121</v>
      </c>
      <c r="P32" s="284" t="s">
        <v>121</v>
      </c>
      <c r="Q32" s="284" t="s">
        <v>121</v>
      </c>
      <c r="R32" s="284" t="s">
        <v>121</v>
      </c>
      <c r="S32" s="284" t="s">
        <v>121</v>
      </c>
      <c r="T32" s="284" t="s">
        <v>121</v>
      </c>
      <c r="U32" s="284" t="s">
        <v>121</v>
      </c>
      <c r="V32" s="284" t="s">
        <v>121</v>
      </c>
      <c r="W32" s="284" t="s">
        <v>121</v>
      </c>
      <c r="X32" s="1" t="s">
        <v>121</v>
      </c>
      <c r="Y32" s="1" t="s">
        <v>121</v>
      </c>
      <c r="Z32" s="1" t="s">
        <v>121</v>
      </c>
      <c r="AA32" s="1" t="s">
        <v>121</v>
      </c>
      <c r="AB32" s="1" t="s">
        <v>121</v>
      </c>
      <c r="AC32" s="1" t="s">
        <v>121</v>
      </c>
      <c r="AD32" s="1" t="s">
        <v>121</v>
      </c>
      <c r="AE32" s="1" t="s">
        <v>121</v>
      </c>
      <c r="AF32" s="1" t="s">
        <v>121</v>
      </c>
      <c r="AG32" s="1" t="s">
        <v>121</v>
      </c>
      <c r="AH32" s="1" t="s">
        <v>121</v>
      </c>
      <c r="AI32" s="1" t="s">
        <v>121</v>
      </c>
      <c r="AJ32" s="1" t="s">
        <v>121</v>
      </c>
      <c r="AK32" s="1" t="s">
        <v>121</v>
      </c>
      <c r="AL32" s="1" t="s">
        <v>121</v>
      </c>
      <c r="AM32" s="1" t="s">
        <v>121</v>
      </c>
      <c r="AN32" s="1" t="s">
        <v>121</v>
      </c>
      <c r="AO32" s="1" t="s">
        <v>121</v>
      </c>
      <c r="AP32" s="1" t="s">
        <v>121</v>
      </c>
      <c r="AQ32" s="1" t="s">
        <v>121</v>
      </c>
      <c r="AR32" s="1" t="s">
        <v>121</v>
      </c>
      <c r="AS32" s="1" t="s">
        <v>121</v>
      </c>
      <c r="AT32" s="1" t="s">
        <v>121</v>
      </c>
      <c r="AU32" s="1" t="s">
        <v>121</v>
      </c>
      <c r="AV32" s="1" t="s">
        <v>121</v>
      </c>
      <c r="AW32" s="1" t="s">
        <v>121</v>
      </c>
      <c r="AX32" s="1" t="s">
        <v>121</v>
      </c>
      <c r="AY32" s="1" t="s">
        <v>121</v>
      </c>
      <c r="AZ32" s="1" t="s">
        <v>121</v>
      </c>
      <c r="BA32" s="1" t="s">
        <v>121</v>
      </c>
      <c r="BB32" s="1" t="s">
        <v>121</v>
      </c>
      <c r="BC32" s="1" t="s">
        <v>121</v>
      </c>
      <c r="BD32" s="1" t="s">
        <v>121</v>
      </c>
      <c r="BE32" s="1" t="s">
        <v>121</v>
      </c>
      <c r="BF32" s="1" t="s">
        <v>121</v>
      </c>
      <c r="BG32" s="1" t="s">
        <v>121</v>
      </c>
      <c r="BH32" s="1" t="s">
        <v>121</v>
      </c>
      <c r="BI32" s="1" t="s">
        <v>121</v>
      </c>
      <c r="BJ32" s="1" t="s">
        <v>121</v>
      </c>
      <c r="BK32" s="1" t="s">
        <v>121</v>
      </c>
      <c r="BL32" s="1" t="s">
        <v>121</v>
      </c>
      <c r="BM32" s="1" t="s">
        <v>121</v>
      </c>
      <c r="BN32" s="1" t="s">
        <v>121</v>
      </c>
      <c r="BO32" s="1" t="s">
        <v>121</v>
      </c>
      <c r="BP32" s="1" t="s">
        <v>121</v>
      </c>
      <c r="BQ32" s="1" t="s">
        <v>121</v>
      </c>
    </row>
    <row r="33" spans="1:69" x14ac:dyDescent="0.25">
      <c r="A33" s="72">
        <v>33</v>
      </c>
      <c r="B33" s="1" t="s">
        <v>121</v>
      </c>
      <c r="C33" s="1" t="s">
        <v>121</v>
      </c>
      <c r="D33" s="1" t="s">
        <v>121</v>
      </c>
      <c r="E33" s="1" t="s">
        <v>121</v>
      </c>
      <c r="F33" s="1" t="s">
        <v>121</v>
      </c>
      <c r="G33" s="284" t="s">
        <v>121</v>
      </c>
      <c r="H33" s="284" t="s">
        <v>121</v>
      </c>
      <c r="I33" s="284" t="s">
        <v>121</v>
      </c>
      <c r="J33" s="284" t="s">
        <v>121</v>
      </c>
      <c r="K33" s="284" t="s">
        <v>121</v>
      </c>
      <c r="L33" s="284" t="s">
        <v>121</v>
      </c>
      <c r="M33" s="284" t="s">
        <v>121</v>
      </c>
      <c r="N33" s="284" t="s">
        <v>121</v>
      </c>
      <c r="O33" s="284" t="s">
        <v>121</v>
      </c>
      <c r="P33" s="284" t="s">
        <v>121</v>
      </c>
      <c r="Q33" s="284" t="s">
        <v>121</v>
      </c>
      <c r="R33" s="284" t="s">
        <v>121</v>
      </c>
      <c r="S33" s="284" t="s">
        <v>121</v>
      </c>
      <c r="T33" s="284" t="s">
        <v>121</v>
      </c>
      <c r="U33" s="284" t="s">
        <v>121</v>
      </c>
      <c r="V33" s="284" t="s">
        <v>121</v>
      </c>
      <c r="W33" s="284" t="s">
        <v>121</v>
      </c>
      <c r="X33" s="1" t="s">
        <v>121</v>
      </c>
      <c r="Y33" s="1" t="s">
        <v>121</v>
      </c>
      <c r="Z33" s="1" t="s">
        <v>121</v>
      </c>
      <c r="AA33" s="1" t="s">
        <v>121</v>
      </c>
      <c r="AB33" s="1" t="s">
        <v>121</v>
      </c>
      <c r="AC33" s="1" t="s">
        <v>121</v>
      </c>
      <c r="AD33" s="1" t="s">
        <v>121</v>
      </c>
      <c r="AE33" s="1" t="s">
        <v>121</v>
      </c>
      <c r="AF33" s="1" t="s">
        <v>121</v>
      </c>
      <c r="AG33" s="1" t="s">
        <v>121</v>
      </c>
      <c r="AH33" s="1" t="s">
        <v>121</v>
      </c>
      <c r="AI33" s="1" t="s">
        <v>121</v>
      </c>
      <c r="AJ33" s="1" t="s">
        <v>121</v>
      </c>
      <c r="AK33" s="1" t="s">
        <v>121</v>
      </c>
      <c r="AL33" s="1" t="s">
        <v>121</v>
      </c>
      <c r="AM33" s="1" t="s">
        <v>121</v>
      </c>
      <c r="AN33" s="1" t="s">
        <v>121</v>
      </c>
      <c r="AO33" s="1" t="s">
        <v>121</v>
      </c>
      <c r="AP33" s="1" t="s">
        <v>121</v>
      </c>
      <c r="AQ33" s="1" t="s">
        <v>121</v>
      </c>
      <c r="AR33" s="1" t="s">
        <v>121</v>
      </c>
      <c r="AS33" s="1" t="s">
        <v>121</v>
      </c>
      <c r="AT33" s="1" t="s">
        <v>121</v>
      </c>
      <c r="AU33" s="1" t="s">
        <v>121</v>
      </c>
      <c r="AV33" s="1" t="s">
        <v>121</v>
      </c>
      <c r="AW33" s="1" t="s">
        <v>121</v>
      </c>
      <c r="AX33" s="1" t="s">
        <v>121</v>
      </c>
      <c r="AY33" s="1" t="s">
        <v>121</v>
      </c>
      <c r="AZ33" s="1" t="s">
        <v>121</v>
      </c>
      <c r="BA33" s="1" t="s">
        <v>121</v>
      </c>
      <c r="BB33" s="1" t="s">
        <v>121</v>
      </c>
      <c r="BC33" s="1" t="s">
        <v>121</v>
      </c>
      <c r="BD33" s="1" t="s">
        <v>121</v>
      </c>
      <c r="BE33" s="1" t="s">
        <v>121</v>
      </c>
      <c r="BF33" s="1" t="s">
        <v>121</v>
      </c>
      <c r="BG33" s="1" t="s">
        <v>121</v>
      </c>
      <c r="BH33" s="1" t="s">
        <v>121</v>
      </c>
      <c r="BI33" s="1" t="s">
        <v>121</v>
      </c>
      <c r="BJ33" s="1" t="s">
        <v>121</v>
      </c>
      <c r="BK33" s="1" t="s">
        <v>121</v>
      </c>
      <c r="BL33" s="1" t="s">
        <v>121</v>
      </c>
      <c r="BM33" s="1" t="s">
        <v>121</v>
      </c>
      <c r="BN33" s="1" t="s">
        <v>121</v>
      </c>
      <c r="BO33" s="1" t="s">
        <v>121</v>
      </c>
      <c r="BP33" s="1" t="s">
        <v>121</v>
      </c>
      <c r="BQ33" s="1" t="s">
        <v>121</v>
      </c>
    </row>
    <row r="34" spans="1:69" x14ac:dyDescent="0.25">
      <c r="A34" s="72">
        <v>34</v>
      </c>
      <c r="B34" s="1" t="s">
        <v>121</v>
      </c>
      <c r="C34" s="1" t="s">
        <v>121</v>
      </c>
      <c r="D34" s="1" t="s">
        <v>121</v>
      </c>
      <c r="E34" s="1" t="s">
        <v>121</v>
      </c>
      <c r="F34" s="1" t="s">
        <v>121</v>
      </c>
      <c r="G34" s="284" t="s">
        <v>121</v>
      </c>
      <c r="H34" s="284" t="s">
        <v>121</v>
      </c>
      <c r="I34" s="284" t="s">
        <v>121</v>
      </c>
      <c r="J34" s="284" t="s">
        <v>121</v>
      </c>
      <c r="K34" s="284" t="s">
        <v>121</v>
      </c>
      <c r="L34" s="284" t="s">
        <v>121</v>
      </c>
      <c r="M34" s="284" t="s">
        <v>121</v>
      </c>
      <c r="N34" s="284" t="s">
        <v>121</v>
      </c>
      <c r="O34" s="284" t="s">
        <v>121</v>
      </c>
      <c r="P34" s="284" t="s">
        <v>121</v>
      </c>
      <c r="Q34" s="284" t="s">
        <v>121</v>
      </c>
      <c r="R34" s="284" t="s">
        <v>121</v>
      </c>
      <c r="S34" s="284" t="s">
        <v>121</v>
      </c>
      <c r="T34" s="284" t="s">
        <v>121</v>
      </c>
      <c r="U34" s="284" t="s">
        <v>121</v>
      </c>
      <c r="V34" s="284" t="s">
        <v>121</v>
      </c>
      <c r="W34" s="284" t="s">
        <v>121</v>
      </c>
      <c r="X34" s="1" t="s">
        <v>121</v>
      </c>
      <c r="Y34" s="1" t="s">
        <v>121</v>
      </c>
      <c r="Z34" s="1" t="s">
        <v>121</v>
      </c>
      <c r="AA34" s="1" t="s">
        <v>121</v>
      </c>
      <c r="AB34" s="1" t="s">
        <v>121</v>
      </c>
      <c r="AC34" s="1" t="s">
        <v>121</v>
      </c>
      <c r="AD34" s="1" t="s">
        <v>121</v>
      </c>
      <c r="AE34" s="1" t="s">
        <v>121</v>
      </c>
      <c r="AF34" s="1" t="s">
        <v>121</v>
      </c>
      <c r="AG34" s="1" t="s">
        <v>121</v>
      </c>
      <c r="AH34" s="1" t="s">
        <v>121</v>
      </c>
      <c r="AI34" s="1" t="s">
        <v>121</v>
      </c>
      <c r="AJ34" s="1" t="s">
        <v>121</v>
      </c>
      <c r="AK34" s="1" t="s">
        <v>121</v>
      </c>
      <c r="AL34" s="1" t="s">
        <v>121</v>
      </c>
      <c r="AM34" s="1" t="s">
        <v>121</v>
      </c>
      <c r="AN34" s="1" t="s">
        <v>121</v>
      </c>
      <c r="AO34" s="1" t="s">
        <v>121</v>
      </c>
      <c r="AP34" s="1" t="s">
        <v>121</v>
      </c>
      <c r="AQ34" s="1" t="s">
        <v>121</v>
      </c>
      <c r="AR34" s="1" t="s">
        <v>121</v>
      </c>
      <c r="AS34" s="1" t="s">
        <v>121</v>
      </c>
      <c r="AT34" s="1" t="s">
        <v>121</v>
      </c>
      <c r="AU34" s="1" t="s">
        <v>121</v>
      </c>
      <c r="AV34" s="1" t="s">
        <v>121</v>
      </c>
      <c r="AW34" s="1" t="s">
        <v>121</v>
      </c>
      <c r="AX34" s="1" t="s">
        <v>121</v>
      </c>
      <c r="AY34" s="1" t="s">
        <v>121</v>
      </c>
      <c r="AZ34" s="1" t="s">
        <v>121</v>
      </c>
      <c r="BA34" s="1" t="s">
        <v>121</v>
      </c>
      <c r="BB34" s="1" t="s">
        <v>121</v>
      </c>
      <c r="BC34" s="1" t="s">
        <v>121</v>
      </c>
      <c r="BD34" s="1" t="s">
        <v>121</v>
      </c>
      <c r="BE34" s="1" t="s">
        <v>121</v>
      </c>
      <c r="BF34" s="1" t="s">
        <v>121</v>
      </c>
      <c r="BG34" s="1" t="s">
        <v>121</v>
      </c>
      <c r="BH34" s="1" t="s">
        <v>121</v>
      </c>
      <c r="BI34" s="1" t="s">
        <v>121</v>
      </c>
      <c r="BJ34" s="1" t="s">
        <v>121</v>
      </c>
      <c r="BK34" s="1" t="s">
        <v>121</v>
      </c>
      <c r="BL34" s="1" t="s">
        <v>121</v>
      </c>
      <c r="BM34" s="1" t="s">
        <v>121</v>
      </c>
      <c r="BN34" s="1" t="s">
        <v>121</v>
      </c>
      <c r="BO34" s="1" t="s">
        <v>121</v>
      </c>
      <c r="BP34" s="1" t="s">
        <v>121</v>
      </c>
      <c r="BQ34" s="1" t="s">
        <v>121</v>
      </c>
    </row>
    <row r="35" spans="1:69" ht="15.75" customHeight="1" x14ac:dyDescent="0.25">
      <c r="A35" s="72">
        <v>35</v>
      </c>
      <c r="B35" s="426" t="s">
        <v>324</v>
      </c>
      <c r="C35" s="436" t="s">
        <v>64</v>
      </c>
      <c r="D35" s="438" t="s">
        <v>265</v>
      </c>
      <c r="E35" s="434" t="s">
        <v>79</v>
      </c>
      <c r="F35" s="416">
        <v>45930</v>
      </c>
      <c r="G35" s="416">
        <v>45838</v>
      </c>
      <c r="H35" s="416">
        <v>45747</v>
      </c>
      <c r="I35" s="416">
        <v>45657</v>
      </c>
      <c r="J35" s="416">
        <v>45565</v>
      </c>
      <c r="K35" s="416">
        <v>45473</v>
      </c>
      <c r="L35" s="416">
        <v>45382</v>
      </c>
      <c r="M35" s="416">
        <v>45291</v>
      </c>
      <c r="N35" s="416">
        <v>45199</v>
      </c>
      <c r="O35" s="416">
        <v>45107</v>
      </c>
      <c r="P35" s="416">
        <v>45016</v>
      </c>
      <c r="Q35" s="416">
        <v>44926</v>
      </c>
      <c r="R35" s="416">
        <v>44834</v>
      </c>
      <c r="S35" s="416">
        <v>44742</v>
      </c>
      <c r="T35" s="449">
        <v>44651</v>
      </c>
      <c r="U35" s="449">
        <v>44561</v>
      </c>
      <c r="V35" s="449">
        <v>44469</v>
      </c>
      <c r="W35" s="449">
        <v>44377</v>
      </c>
      <c r="X35" s="416">
        <v>44286</v>
      </c>
      <c r="Y35" s="429">
        <v>44196</v>
      </c>
      <c r="Z35" s="429">
        <v>44104</v>
      </c>
      <c r="AA35" s="429">
        <v>44012</v>
      </c>
      <c r="AB35" s="416">
        <v>43921</v>
      </c>
      <c r="AC35" s="416">
        <v>43830</v>
      </c>
      <c r="AD35" s="416">
        <v>43738</v>
      </c>
      <c r="AE35" s="416">
        <v>43646</v>
      </c>
      <c r="AF35" s="416">
        <v>43555</v>
      </c>
      <c r="AG35" s="1">
        <v>43465</v>
      </c>
      <c r="AH35" s="1">
        <v>43373</v>
      </c>
      <c r="AI35" s="1">
        <v>43281</v>
      </c>
      <c r="AJ35" s="1">
        <v>43190</v>
      </c>
      <c r="AK35" s="1" t="s">
        <v>121</v>
      </c>
      <c r="AL35" s="1" t="s">
        <v>121</v>
      </c>
      <c r="AM35" s="1" t="s">
        <v>121</v>
      </c>
      <c r="AN35" s="1" t="s">
        <v>121</v>
      </c>
      <c r="AO35" s="1" t="s">
        <v>121</v>
      </c>
      <c r="AP35" s="1" t="s">
        <v>121</v>
      </c>
      <c r="AQ35" s="1" t="s">
        <v>121</v>
      </c>
      <c r="AR35" s="1" t="s">
        <v>121</v>
      </c>
      <c r="AS35" s="1" t="s">
        <v>121</v>
      </c>
      <c r="AT35" s="1" t="s">
        <v>121</v>
      </c>
      <c r="AU35" s="1" t="s">
        <v>121</v>
      </c>
      <c r="AV35" s="1" t="s">
        <v>121</v>
      </c>
      <c r="AW35" s="1" t="s">
        <v>121</v>
      </c>
      <c r="AX35" s="1" t="s">
        <v>121</v>
      </c>
      <c r="AY35" s="1" t="s">
        <v>121</v>
      </c>
      <c r="AZ35" s="1" t="s">
        <v>121</v>
      </c>
      <c r="BA35" s="1" t="s">
        <v>121</v>
      </c>
      <c r="BB35" s="1" t="s">
        <v>121</v>
      </c>
      <c r="BC35" s="1" t="s">
        <v>121</v>
      </c>
      <c r="BD35" s="1" t="s">
        <v>121</v>
      </c>
      <c r="BE35" s="1" t="s">
        <v>121</v>
      </c>
      <c r="BF35" s="1" t="s">
        <v>121</v>
      </c>
      <c r="BG35" s="1" t="s">
        <v>121</v>
      </c>
      <c r="BH35" s="1" t="s">
        <v>121</v>
      </c>
      <c r="BI35" s="1" t="s">
        <v>121</v>
      </c>
      <c r="BJ35" s="1" t="s">
        <v>121</v>
      </c>
      <c r="BK35" s="1" t="s">
        <v>121</v>
      </c>
      <c r="BL35" s="1" t="s">
        <v>121</v>
      </c>
      <c r="BM35" s="1" t="s">
        <v>121</v>
      </c>
      <c r="BN35" s="1" t="s">
        <v>121</v>
      </c>
      <c r="BO35" s="1" t="s">
        <v>121</v>
      </c>
      <c r="BP35" s="1" t="s">
        <v>121</v>
      </c>
      <c r="BQ35" s="1" t="s">
        <v>121</v>
      </c>
    </row>
    <row r="36" spans="1:69" x14ac:dyDescent="0.25">
      <c r="A36" s="72">
        <v>36</v>
      </c>
      <c r="B36" s="427"/>
      <c r="C36" s="437"/>
      <c r="D36" s="451"/>
      <c r="E36" s="444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50"/>
      <c r="U36" s="450"/>
      <c r="V36" s="450"/>
      <c r="W36" s="450"/>
      <c r="X36" s="417"/>
      <c r="Y36" s="430"/>
      <c r="Z36" s="430"/>
      <c r="AA36" s="430"/>
      <c r="AB36" s="417"/>
      <c r="AC36" s="417"/>
      <c r="AD36" s="417"/>
      <c r="AE36" s="417"/>
      <c r="AF36" s="417"/>
    </row>
    <row r="37" spans="1:69" ht="9.75" customHeight="1" x14ac:dyDescent="0.25">
      <c r="A37" s="72">
        <v>37</v>
      </c>
      <c r="B37" s="8" t="s">
        <v>121</v>
      </c>
      <c r="C37" s="87" t="s">
        <v>121</v>
      </c>
      <c r="D37" s="56" t="s">
        <v>121</v>
      </c>
      <c r="E37" s="88" t="s">
        <v>121</v>
      </c>
      <c r="F37" s="56" t="s">
        <v>121</v>
      </c>
      <c r="G37" s="286" t="s">
        <v>121</v>
      </c>
      <c r="H37" s="286" t="s">
        <v>121</v>
      </c>
      <c r="I37" s="286" t="s">
        <v>121</v>
      </c>
      <c r="J37" s="286" t="s">
        <v>121</v>
      </c>
      <c r="K37" s="286" t="s">
        <v>121</v>
      </c>
      <c r="L37" s="286" t="s">
        <v>121</v>
      </c>
      <c r="M37" s="286" t="s">
        <v>121</v>
      </c>
      <c r="N37" s="286" t="s">
        <v>121</v>
      </c>
      <c r="O37" s="286" t="s">
        <v>121</v>
      </c>
      <c r="P37" s="286" t="s">
        <v>121</v>
      </c>
      <c r="Q37" s="286" t="s">
        <v>121</v>
      </c>
      <c r="R37" s="286" t="s">
        <v>121</v>
      </c>
      <c r="S37" s="286" t="s">
        <v>121</v>
      </c>
      <c r="T37" s="286" t="s">
        <v>121</v>
      </c>
      <c r="U37" s="286" t="s">
        <v>121</v>
      </c>
      <c r="V37" s="286" t="s">
        <v>121</v>
      </c>
      <c r="W37" s="286" t="s">
        <v>121</v>
      </c>
      <c r="X37" s="56" t="s">
        <v>121</v>
      </c>
      <c r="Y37" s="56" t="s">
        <v>121</v>
      </c>
      <c r="Z37" s="56" t="s">
        <v>121</v>
      </c>
      <c r="AA37" s="56" t="s">
        <v>121</v>
      </c>
      <c r="AB37" s="56" t="s">
        <v>121</v>
      </c>
      <c r="AC37" s="56" t="s">
        <v>121</v>
      </c>
      <c r="AD37" s="56" t="s">
        <v>121</v>
      </c>
      <c r="AE37" s="56" t="s">
        <v>121</v>
      </c>
      <c r="AF37" s="56" t="s">
        <v>121</v>
      </c>
      <c r="AG37" s="1" t="s">
        <v>121</v>
      </c>
      <c r="AH37" s="1" t="s">
        <v>121</v>
      </c>
      <c r="AI37" s="1" t="s">
        <v>121</v>
      </c>
      <c r="AJ37" s="1" t="s">
        <v>121</v>
      </c>
      <c r="AK37" s="1" t="s">
        <v>121</v>
      </c>
      <c r="AL37" s="1" t="s">
        <v>121</v>
      </c>
      <c r="AM37" s="1" t="s">
        <v>121</v>
      </c>
      <c r="AN37" s="1" t="s">
        <v>121</v>
      </c>
      <c r="AO37" s="1" t="s">
        <v>121</v>
      </c>
      <c r="AP37" s="1" t="s">
        <v>121</v>
      </c>
      <c r="AQ37" s="1" t="s">
        <v>121</v>
      </c>
      <c r="AR37" s="1" t="s">
        <v>121</v>
      </c>
      <c r="AS37" s="1" t="s">
        <v>121</v>
      </c>
      <c r="AT37" s="1" t="s">
        <v>121</v>
      </c>
      <c r="AU37" s="1" t="s">
        <v>121</v>
      </c>
      <c r="AV37" s="1" t="s">
        <v>121</v>
      </c>
      <c r="AW37" s="1" t="s">
        <v>121</v>
      </c>
      <c r="AX37" s="1" t="s">
        <v>121</v>
      </c>
      <c r="AY37" s="1" t="s">
        <v>121</v>
      </c>
      <c r="AZ37" s="1" t="s">
        <v>121</v>
      </c>
      <c r="BA37" s="1" t="s">
        <v>121</v>
      </c>
      <c r="BB37" s="1" t="s">
        <v>121</v>
      </c>
      <c r="BC37" s="1" t="s">
        <v>121</v>
      </c>
      <c r="BD37" s="1" t="s">
        <v>121</v>
      </c>
      <c r="BE37" s="1" t="s">
        <v>121</v>
      </c>
      <c r="BF37" s="1" t="s">
        <v>121</v>
      </c>
      <c r="BG37" s="1" t="s">
        <v>121</v>
      </c>
      <c r="BH37" s="1" t="s">
        <v>121</v>
      </c>
      <c r="BI37" s="1" t="s">
        <v>121</v>
      </c>
      <c r="BJ37" s="1" t="s">
        <v>121</v>
      </c>
      <c r="BK37" s="1" t="s">
        <v>121</v>
      </c>
      <c r="BL37" s="1" t="s">
        <v>121</v>
      </c>
      <c r="BM37" s="1" t="s">
        <v>121</v>
      </c>
      <c r="BN37" s="1" t="s">
        <v>121</v>
      </c>
      <c r="BO37" s="1" t="s">
        <v>121</v>
      </c>
      <c r="BP37" s="1" t="s">
        <v>121</v>
      </c>
      <c r="BQ37" s="1" t="s">
        <v>121</v>
      </c>
    </row>
    <row r="38" spans="1:69" ht="15" customHeight="1" x14ac:dyDescent="0.25">
      <c r="A38" s="72">
        <v>38</v>
      </c>
      <c r="B38" s="184" t="s">
        <v>6</v>
      </c>
      <c r="C38" s="150" t="s">
        <v>121</v>
      </c>
      <c r="D38" s="164" t="s">
        <v>121</v>
      </c>
      <c r="E38" s="151" t="s">
        <v>121</v>
      </c>
      <c r="F38" s="290">
        <v>0.19541094345757876</v>
      </c>
      <c r="G38" s="290">
        <v>0.2049128059137397</v>
      </c>
      <c r="H38" s="290">
        <v>0.22537476542229248</v>
      </c>
      <c r="I38" s="290">
        <v>0.21726394556917361</v>
      </c>
      <c r="J38" s="335"/>
      <c r="K38" s="335"/>
      <c r="L38" s="335"/>
      <c r="M38" s="290">
        <v>0.23148285760079265</v>
      </c>
      <c r="N38" s="335"/>
      <c r="O38" s="335"/>
      <c r="P38" s="335"/>
      <c r="Q38" s="335"/>
      <c r="R38" s="335"/>
      <c r="S38" s="335"/>
      <c r="T38" s="335"/>
      <c r="U38" s="290" t="s">
        <v>121</v>
      </c>
      <c r="V38" s="290" t="s">
        <v>121</v>
      </c>
      <c r="W38" s="290" t="s">
        <v>121</v>
      </c>
      <c r="X38" s="127" t="s">
        <v>121</v>
      </c>
      <c r="Y38" s="127" t="s">
        <v>121</v>
      </c>
      <c r="Z38" s="127" t="s">
        <v>121</v>
      </c>
      <c r="AA38" s="127" t="s">
        <v>121</v>
      </c>
      <c r="AB38" s="127" t="s">
        <v>121</v>
      </c>
      <c r="AC38" s="127" t="s">
        <v>121</v>
      </c>
      <c r="AD38" s="127" t="s">
        <v>121</v>
      </c>
      <c r="AE38" s="127" t="s">
        <v>121</v>
      </c>
      <c r="AF38" s="127" t="s">
        <v>121</v>
      </c>
      <c r="AG38" s="1" t="s">
        <v>121</v>
      </c>
      <c r="AH38" s="1" t="s">
        <v>121</v>
      </c>
      <c r="AI38" s="1" t="s">
        <v>121</v>
      </c>
      <c r="AJ38" s="1" t="s">
        <v>121</v>
      </c>
      <c r="AK38" s="1" t="s">
        <v>121</v>
      </c>
      <c r="AL38" s="1" t="s">
        <v>121</v>
      </c>
      <c r="AM38" s="1" t="s">
        <v>121</v>
      </c>
      <c r="AN38" s="1" t="s">
        <v>121</v>
      </c>
      <c r="AO38" s="1" t="s">
        <v>121</v>
      </c>
      <c r="AP38" s="1" t="s">
        <v>121</v>
      </c>
      <c r="AQ38" s="1" t="s">
        <v>121</v>
      </c>
      <c r="AR38" s="1" t="s">
        <v>121</v>
      </c>
      <c r="AS38" s="1" t="s">
        <v>121</v>
      </c>
      <c r="AT38" s="1" t="s">
        <v>121</v>
      </c>
      <c r="AU38" s="1" t="s">
        <v>121</v>
      </c>
      <c r="AV38" s="1" t="s">
        <v>121</v>
      </c>
      <c r="AW38" s="1" t="s">
        <v>121</v>
      </c>
      <c r="AX38" s="1" t="s">
        <v>121</v>
      </c>
      <c r="AY38" s="1" t="s">
        <v>121</v>
      </c>
      <c r="AZ38" s="1" t="s">
        <v>121</v>
      </c>
      <c r="BA38" s="1" t="s">
        <v>121</v>
      </c>
      <c r="BB38" s="1" t="s">
        <v>121</v>
      </c>
      <c r="BC38" s="1" t="s">
        <v>121</v>
      </c>
      <c r="BD38" s="1" t="s">
        <v>121</v>
      </c>
      <c r="BE38" s="1" t="s">
        <v>121</v>
      </c>
      <c r="BF38" s="1" t="s">
        <v>121</v>
      </c>
      <c r="BG38" s="1" t="s">
        <v>121</v>
      </c>
      <c r="BH38" s="1" t="s">
        <v>121</v>
      </c>
      <c r="BI38" s="1" t="s">
        <v>121</v>
      </c>
      <c r="BJ38" s="1" t="s">
        <v>121</v>
      </c>
      <c r="BK38" s="1" t="s">
        <v>121</v>
      </c>
      <c r="BL38" s="1" t="s">
        <v>121</v>
      </c>
      <c r="BM38" s="1" t="s">
        <v>121</v>
      </c>
      <c r="BN38" s="1" t="s">
        <v>121</v>
      </c>
      <c r="BO38" s="1" t="s">
        <v>121</v>
      </c>
      <c r="BP38" s="1" t="s">
        <v>121</v>
      </c>
      <c r="BQ38" s="1" t="s">
        <v>121</v>
      </c>
    </row>
    <row r="39" spans="1:69" s="39" customFormat="1" ht="15" customHeight="1" x14ac:dyDescent="0.25">
      <c r="A39" s="72">
        <v>39</v>
      </c>
      <c r="B39" s="183" t="s">
        <v>325</v>
      </c>
      <c r="C39" s="150" t="s">
        <v>121</v>
      </c>
      <c r="D39" s="164" t="s">
        <v>121</v>
      </c>
      <c r="E39" s="151" t="s">
        <v>121</v>
      </c>
      <c r="F39" s="290">
        <v>0.15409055388601309</v>
      </c>
      <c r="G39" s="290">
        <v>0.15354412863619565</v>
      </c>
      <c r="H39" s="290">
        <v>0.1633239480332295</v>
      </c>
      <c r="I39" s="290">
        <v>0.16758782762683994</v>
      </c>
      <c r="J39" s="335"/>
      <c r="K39" s="335"/>
      <c r="L39" s="335"/>
      <c r="M39" s="290">
        <v>0.14499715871836341</v>
      </c>
      <c r="N39" s="335"/>
      <c r="O39" s="335"/>
      <c r="P39" s="335"/>
      <c r="Q39" s="335"/>
      <c r="R39" s="335"/>
      <c r="S39" s="335"/>
      <c r="T39" s="335"/>
      <c r="U39" s="290" t="s">
        <v>121</v>
      </c>
      <c r="V39" s="290" t="s">
        <v>121</v>
      </c>
      <c r="W39" s="290" t="s">
        <v>121</v>
      </c>
      <c r="X39" s="127" t="s">
        <v>121</v>
      </c>
      <c r="Y39" s="127" t="s">
        <v>121</v>
      </c>
      <c r="Z39" s="127" t="s">
        <v>121</v>
      </c>
      <c r="AA39" s="127" t="s">
        <v>121</v>
      </c>
      <c r="AB39" s="127" t="s">
        <v>121</v>
      </c>
      <c r="AC39" s="127" t="s">
        <v>121</v>
      </c>
      <c r="AD39" s="127" t="s">
        <v>121</v>
      </c>
      <c r="AE39" s="127" t="s">
        <v>121</v>
      </c>
      <c r="AF39" s="127" t="s">
        <v>121</v>
      </c>
      <c r="AG39" s="39" t="s">
        <v>121</v>
      </c>
      <c r="AH39" s="39" t="s">
        <v>121</v>
      </c>
      <c r="AI39" s="39" t="s">
        <v>121</v>
      </c>
      <c r="AJ39" s="39" t="s">
        <v>121</v>
      </c>
      <c r="AK39" s="39" t="s">
        <v>121</v>
      </c>
      <c r="AL39" s="39" t="s">
        <v>121</v>
      </c>
      <c r="AM39" s="39" t="s">
        <v>121</v>
      </c>
      <c r="AN39" s="39" t="s">
        <v>121</v>
      </c>
      <c r="AO39" s="39" t="s">
        <v>121</v>
      </c>
      <c r="AP39" s="39" t="s">
        <v>121</v>
      </c>
      <c r="AQ39" s="39" t="s">
        <v>121</v>
      </c>
      <c r="AR39" s="39" t="s">
        <v>121</v>
      </c>
      <c r="AS39" s="39" t="s">
        <v>121</v>
      </c>
      <c r="AT39" s="39" t="s">
        <v>121</v>
      </c>
      <c r="AU39" s="39" t="s">
        <v>121</v>
      </c>
      <c r="AV39" s="39" t="s">
        <v>121</v>
      </c>
      <c r="AW39" s="39" t="s">
        <v>121</v>
      </c>
      <c r="AX39" s="39" t="s">
        <v>121</v>
      </c>
      <c r="AY39" s="39" t="s">
        <v>121</v>
      </c>
      <c r="AZ39" s="39" t="s">
        <v>121</v>
      </c>
      <c r="BA39" s="39" t="s">
        <v>121</v>
      </c>
      <c r="BB39" s="39" t="s">
        <v>121</v>
      </c>
      <c r="BC39" s="39" t="s">
        <v>121</v>
      </c>
      <c r="BD39" s="39" t="s">
        <v>121</v>
      </c>
      <c r="BE39" s="39" t="s">
        <v>121</v>
      </c>
      <c r="BF39" s="39" t="s">
        <v>121</v>
      </c>
      <c r="BG39" s="39" t="s">
        <v>121</v>
      </c>
      <c r="BH39" s="39" t="s">
        <v>121</v>
      </c>
      <c r="BI39" s="39" t="s">
        <v>121</v>
      </c>
      <c r="BJ39" s="39" t="s">
        <v>121</v>
      </c>
      <c r="BK39" s="39" t="s">
        <v>121</v>
      </c>
      <c r="BL39" s="39" t="s">
        <v>121</v>
      </c>
      <c r="BM39" s="39" t="s">
        <v>121</v>
      </c>
      <c r="BN39" s="39" t="s">
        <v>121</v>
      </c>
      <c r="BO39" s="39" t="s">
        <v>121</v>
      </c>
      <c r="BP39" s="39" t="s">
        <v>121</v>
      </c>
      <c r="BQ39" s="39" t="s">
        <v>121</v>
      </c>
    </row>
    <row r="40" spans="1:69" s="39" customFormat="1" ht="15" customHeight="1" x14ac:dyDescent="0.25">
      <c r="A40" s="72">
        <v>40</v>
      </c>
      <c r="B40" s="184" t="s">
        <v>19</v>
      </c>
      <c r="C40" s="150" t="s">
        <v>121</v>
      </c>
      <c r="D40" s="164" t="s">
        <v>121</v>
      </c>
      <c r="E40" s="151" t="s">
        <v>121</v>
      </c>
      <c r="F40" s="290">
        <v>0.15168326593976011</v>
      </c>
      <c r="G40" s="290">
        <v>4.1692750865878835E-2</v>
      </c>
      <c r="H40" s="290">
        <v>6.1873281352535281E-2</v>
      </c>
      <c r="I40" s="290">
        <v>7.0451171367894069E-2</v>
      </c>
      <c r="J40" s="335"/>
      <c r="K40" s="335"/>
      <c r="L40" s="335"/>
      <c r="M40" s="290">
        <v>0.10231090906441695</v>
      </c>
      <c r="N40" s="335"/>
      <c r="O40" s="335"/>
      <c r="P40" s="335"/>
      <c r="Q40" s="335"/>
      <c r="R40" s="335"/>
      <c r="S40" s="335"/>
      <c r="T40" s="335"/>
      <c r="U40" s="290" t="s">
        <v>121</v>
      </c>
      <c r="V40" s="290" t="s">
        <v>121</v>
      </c>
      <c r="W40" s="290" t="s">
        <v>121</v>
      </c>
      <c r="X40" s="127" t="s">
        <v>121</v>
      </c>
      <c r="Y40" s="127" t="s">
        <v>121</v>
      </c>
      <c r="Z40" s="127" t="s">
        <v>121</v>
      </c>
      <c r="AA40" s="127" t="s">
        <v>121</v>
      </c>
      <c r="AB40" s="127" t="s">
        <v>121</v>
      </c>
      <c r="AC40" s="127" t="s">
        <v>121</v>
      </c>
      <c r="AD40" s="127" t="s">
        <v>121</v>
      </c>
      <c r="AE40" s="127" t="s">
        <v>121</v>
      </c>
      <c r="AF40" s="127" t="s">
        <v>121</v>
      </c>
      <c r="AG40" s="1" t="s">
        <v>121</v>
      </c>
      <c r="AH40" s="1" t="s">
        <v>121</v>
      </c>
      <c r="AI40" s="1" t="s">
        <v>121</v>
      </c>
      <c r="AJ40" s="1" t="s">
        <v>121</v>
      </c>
      <c r="AK40" s="1" t="s">
        <v>121</v>
      </c>
      <c r="AL40" s="1" t="s">
        <v>121</v>
      </c>
      <c r="AM40" s="1" t="s">
        <v>121</v>
      </c>
      <c r="AN40" s="1" t="s">
        <v>121</v>
      </c>
      <c r="AO40" s="1" t="s">
        <v>121</v>
      </c>
      <c r="AP40" s="1" t="s">
        <v>121</v>
      </c>
      <c r="AQ40" s="1" t="s">
        <v>121</v>
      </c>
      <c r="AR40" s="1" t="s">
        <v>121</v>
      </c>
      <c r="AS40" s="39" t="s">
        <v>121</v>
      </c>
      <c r="AT40" s="39" t="s">
        <v>121</v>
      </c>
      <c r="AU40" s="39" t="s">
        <v>121</v>
      </c>
      <c r="AV40" s="39" t="s">
        <v>121</v>
      </c>
      <c r="AW40" s="39" t="s">
        <v>121</v>
      </c>
      <c r="AX40" s="39" t="s">
        <v>121</v>
      </c>
      <c r="AY40" s="39" t="s">
        <v>121</v>
      </c>
      <c r="AZ40" s="39" t="s">
        <v>121</v>
      </c>
      <c r="BA40" s="39" t="s">
        <v>121</v>
      </c>
      <c r="BB40" s="39" t="s">
        <v>121</v>
      </c>
      <c r="BC40" s="39" t="s">
        <v>121</v>
      </c>
      <c r="BD40" s="39" t="s">
        <v>121</v>
      </c>
      <c r="BE40" s="39" t="s">
        <v>121</v>
      </c>
      <c r="BF40" s="39" t="s">
        <v>121</v>
      </c>
      <c r="BG40" s="39" t="s">
        <v>121</v>
      </c>
      <c r="BH40" s="39" t="s">
        <v>121</v>
      </c>
      <c r="BI40" s="39" t="s">
        <v>121</v>
      </c>
      <c r="BJ40" s="39" t="s">
        <v>121</v>
      </c>
      <c r="BK40" s="39" t="s">
        <v>121</v>
      </c>
      <c r="BL40" s="39" t="s">
        <v>121</v>
      </c>
      <c r="BM40" s="39" t="s">
        <v>121</v>
      </c>
      <c r="BN40" s="39" t="s">
        <v>121</v>
      </c>
      <c r="BO40" s="39" t="s">
        <v>121</v>
      </c>
      <c r="BP40" s="39" t="s">
        <v>121</v>
      </c>
      <c r="BQ40" s="39" t="s">
        <v>121</v>
      </c>
    </row>
    <row r="41" spans="1:69" s="39" customFormat="1" ht="15" customHeight="1" x14ac:dyDescent="0.25">
      <c r="A41" s="72">
        <v>41</v>
      </c>
      <c r="B41" s="184" t="s">
        <v>16</v>
      </c>
      <c r="C41" s="150" t="s">
        <v>121</v>
      </c>
      <c r="D41" s="164" t="s">
        <v>121</v>
      </c>
      <c r="E41" s="151" t="s">
        <v>121</v>
      </c>
      <c r="F41" s="290">
        <v>9.4836655810270051E-2</v>
      </c>
      <c r="G41" s="290">
        <v>9.7951851191246428E-2</v>
      </c>
      <c r="H41" s="290">
        <v>9.0563104855413343E-2</v>
      </c>
      <c r="I41" s="290">
        <v>8.9945342822334212E-2</v>
      </c>
      <c r="J41" s="335"/>
      <c r="K41" s="335"/>
      <c r="L41" s="335"/>
      <c r="M41" s="290">
        <v>9.3989596538007605E-2</v>
      </c>
      <c r="N41" s="335"/>
      <c r="O41" s="335"/>
      <c r="P41" s="335"/>
      <c r="Q41" s="335"/>
      <c r="R41" s="335"/>
      <c r="S41" s="335"/>
      <c r="T41" s="335"/>
      <c r="U41" s="290" t="s">
        <v>121</v>
      </c>
      <c r="V41" s="290" t="s">
        <v>121</v>
      </c>
      <c r="W41" s="290" t="s">
        <v>121</v>
      </c>
      <c r="X41" s="127" t="s">
        <v>121</v>
      </c>
      <c r="Y41" s="127" t="s">
        <v>121</v>
      </c>
      <c r="Z41" s="127" t="s">
        <v>121</v>
      </c>
      <c r="AA41" s="127" t="s">
        <v>121</v>
      </c>
      <c r="AB41" s="127" t="s">
        <v>121</v>
      </c>
      <c r="AC41" s="127" t="s">
        <v>121</v>
      </c>
      <c r="AD41" s="127" t="s">
        <v>121</v>
      </c>
      <c r="AE41" s="127" t="s">
        <v>121</v>
      </c>
      <c r="AF41" s="127" t="s">
        <v>121</v>
      </c>
      <c r="AG41" s="39" t="s">
        <v>121</v>
      </c>
      <c r="AH41" s="39" t="s">
        <v>121</v>
      </c>
      <c r="AI41" s="39" t="s">
        <v>121</v>
      </c>
      <c r="AJ41" s="39" t="s">
        <v>121</v>
      </c>
      <c r="AK41" s="39" t="s">
        <v>121</v>
      </c>
      <c r="AL41" s="39" t="s">
        <v>121</v>
      </c>
      <c r="AM41" s="39" t="s">
        <v>121</v>
      </c>
      <c r="AN41" s="39" t="s">
        <v>121</v>
      </c>
      <c r="AO41" s="39" t="s">
        <v>121</v>
      </c>
      <c r="AP41" s="39" t="s">
        <v>121</v>
      </c>
      <c r="AQ41" s="39" t="s">
        <v>121</v>
      </c>
      <c r="AR41" s="39" t="s">
        <v>121</v>
      </c>
      <c r="AS41" s="39" t="s">
        <v>121</v>
      </c>
      <c r="AT41" s="39" t="s">
        <v>121</v>
      </c>
      <c r="AU41" s="39" t="s">
        <v>121</v>
      </c>
      <c r="AV41" s="39" t="s">
        <v>121</v>
      </c>
      <c r="AW41" s="39" t="s">
        <v>121</v>
      </c>
      <c r="AX41" s="39" t="s">
        <v>121</v>
      </c>
      <c r="AY41" s="39" t="s">
        <v>121</v>
      </c>
      <c r="AZ41" s="39" t="s">
        <v>121</v>
      </c>
      <c r="BA41" s="39" t="s">
        <v>121</v>
      </c>
      <c r="BB41" s="39" t="s">
        <v>121</v>
      </c>
      <c r="BC41" s="39" t="s">
        <v>121</v>
      </c>
      <c r="BD41" s="39" t="s">
        <v>121</v>
      </c>
      <c r="BE41" s="39" t="s">
        <v>121</v>
      </c>
      <c r="BF41" s="39" t="s">
        <v>121</v>
      </c>
      <c r="BG41" s="39" t="s">
        <v>121</v>
      </c>
      <c r="BH41" s="39" t="s">
        <v>121</v>
      </c>
      <c r="BI41" s="39" t="s">
        <v>121</v>
      </c>
      <c r="BJ41" s="39" t="s">
        <v>121</v>
      </c>
      <c r="BK41" s="39" t="s">
        <v>121</v>
      </c>
      <c r="BL41" s="39" t="s">
        <v>121</v>
      </c>
      <c r="BM41" s="39" t="s">
        <v>121</v>
      </c>
      <c r="BN41" s="39" t="s">
        <v>121</v>
      </c>
      <c r="BO41" s="39" t="s">
        <v>121</v>
      </c>
      <c r="BP41" s="39" t="s">
        <v>121</v>
      </c>
      <c r="BQ41" s="39" t="s">
        <v>121</v>
      </c>
    </row>
    <row r="42" spans="1:69" s="39" customFormat="1" ht="15" customHeight="1" x14ac:dyDescent="0.25">
      <c r="A42" s="72">
        <v>42</v>
      </c>
      <c r="B42" s="184" t="s">
        <v>326</v>
      </c>
      <c r="C42" s="150" t="s">
        <v>121</v>
      </c>
      <c r="D42" s="164" t="s">
        <v>121</v>
      </c>
      <c r="E42" s="151" t="s">
        <v>121</v>
      </c>
      <c r="F42" s="290">
        <v>9.1867142879619862E-2</v>
      </c>
      <c r="G42" s="290">
        <v>0.11725707304391822</v>
      </c>
      <c r="H42" s="290">
        <v>6.3217294903137655E-2</v>
      </c>
      <c r="I42" s="290">
        <v>4.759768056507932E-2</v>
      </c>
      <c r="J42" s="335"/>
      <c r="K42" s="335"/>
      <c r="L42" s="335"/>
      <c r="M42" s="290">
        <v>4.4130203552330577E-2</v>
      </c>
      <c r="N42" s="335"/>
      <c r="O42" s="335"/>
      <c r="P42" s="335"/>
      <c r="Q42" s="335"/>
      <c r="R42" s="335"/>
      <c r="S42" s="335"/>
      <c r="T42" s="335"/>
      <c r="U42" s="290" t="s">
        <v>121</v>
      </c>
      <c r="V42" s="290" t="s">
        <v>121</v>
      </c>
      <c r="W42" s="290" t="s">
        <v>121</v>
      </c>
      <c r="X42" s="127" t="s">
        <v>121</v>
      </c>
      <c r="Y42" s="127" t="s">
        <v>121</v>
      </c>
      <c r="Z42" s="127" t="s">
        <v>121</v>
      </c>
      <c r="AA42" s="127" t="s">
        <v>121</v>
      </c>
      <c r="AB42" s="127" t="s">
        <v>121</v>
      </c>
      <c r="AC42" s="127" t="s">
        <v>121</v>
      </c>
      <c r="AD42" s="127" t="s">
        <v>121</v>
      </c>
      <c r="AE42" s="127" t="s">
        <v>121</v>
      </c>
      <c r="AF42" s="127" t="s">
        <v>121</v>
      </c>
      <c r="AG42" s="39" t="s">
        <v>121</v>
      </c>
      <c r="AH42" s="39" t="s">
        <v>121</v>
      </c>
      <c r="AI42" s="39" t="s">
        <v>121</v>
      </c>
      <c r="AJ42" s="39" t="s">
        <v>121</v>
      </c>
      <c r="AK42" s="39" t="s">
        <v>121</v>
      </c>
      <c r="AL42" s="39" t="s">
        <v>121</v>
      </c>
      <c r="AM42" s="39" t="s">
        <v>121</v>
      </c>
      <c r="AN42" s="39" t="s">
        <v>121</v>
      </c>
      <c r="AO42" s="39" t="s">
        <v>121</v>
      </c>
      <c r="AP42" s="39" t="s">
        <v>121</v>
      </c>
      <c r="AQ42" s="39" t="s">
        <v>121</v>
      </c>
      <c r="AR42" s="39" t="s">
        <v>121</v>
      </c>
      <c r="AS42" s="39" t="s">
        <v>121</v>
      </c>
      <c r="AT42" s="39" t="s">
        <v>121</v>
      </c>
      <c r="AU42" s="39" t="s">
        <v>121</v>
      </c>
      <c r="AV42" s="39" t="s">
        <v>121</v>
      </c>
      <c r="AW42" s="39" t="s">
        <v>121</v>
      </c>
      <c r="AX42" s="39" t="s">
        <v>121</v>
      </c>
      <c r="AY42" s="39" t="s">
        <v>121</v>
      </c>
      <c r="AZ42" s="39" t="s">
        <v>121</v>
      </c>
      <c r="BA42" s="39" t="s">
        <v>121</v>
      </c>
      <c r="BB42" s="39" t="s">
        <v>121</v>
      </c>
      <c r="BC42" s="39" t="s">
        <v>121</v>
      </c>
      <c r="BD42" s="39" t="s">
        <v>121</v>
      </c>
      <c r="BE42" s="39" t="s">
        <v>121</v>
      </c>
      <c r="BF42" s="39" t="s">
        <v>121</v>
      </c>
      <c r="BG42" s="39" t="s">
        <v>121</v>
      </c>
      <c r="BH42" s="39" t="s">
        <v>121</v>
      </c>
      <c r="BI42" s="39" t="s">
        <v>121</v>
      </c>
      <c r="BJ42" s="39" t="s">
        <v>121</v>
      </c>
      <c r="BK42" s="39" t="s">
        <v>121</v>
      </c>
      <c r="BL42" s="39" t="s">
        <v>121</v>
      </c>
      <c r="BM42" s="39" t="s">
        <v>121</v>
      </c>
      <c r="BN42" s="39" t="s">
        <v>121</v>
      </c>
      <c r="BO42" s="39" t="s">
        <v>121</v>
      </c>
      <c r="BP42" s="39" t="s">
        <v>121</v>
      </c>
      <c r="BQ42" s="39" t="s">
        <v>121</v>
      </c>
    </row>
    <row r="43" spans="1:69" s="39" customFormat="1" ht="15" customHeight="1" x14ac:dyDescent="0.25">
      <c r="A43" s="72">
        <v>43</v>
      </c>
      <c r="B43" s="5" t="s">
        <v>327</v>
      </c>
      <c r="C43" s="91" t="s">
        <v>121</v>
      </c>
      <c r="D43" s="86" t="s">
        <v>121</v>
      </c>
      <c r="E43" s="92" t="s">
        <v>121</v>
      </c>
      <c r="F43" s="290">
        <v>8.6071820046047909E-2</v>
      </c>
      <c r="G43" s="290">
        <v>0.11984858923827144</v>
      </c>
      <c r="H43" s="290">
        <v>0.12521024869511013</v>
      </c>
      <c r="I43" s="290">
        <v>0.11334607114087704</v>
      </c>
      <c r="J43" s="335"/>
      <c r="K43" s="335"/>
      <c r="L43" s="335"/>
      <c r="M43" s="290">
        <v>0.10981189258498346</v>
      </c>
      <c r="N43" s="335"/>
      <c r="O43" s="335"/>
      <c r="P43" s="335"/>
      <c r="Q43" s="335"/>
      <c r="R43" s="335"/>
      <c r="S43" s="335"/>
      <c r="T43" s="335"/>
      <c r="U43" s="290" t="s">
        <v>121</v>
      </c>
      <c r="V43" s="290" t="s">
        <v>121</v>
      </c>
      <c r="W43" s="290" t="s">
        <v>121</v>
      </c>
      <c r="X43" s="127" t="s">
        <v>121</v>
      </c>
      <c r="Y43" s="127" t="s">
        <v>121</v>
      </c>
      <c r="Z43" s="127" t="s">
        <v>121</v>
      </c>
      <c r="AA43" s="127" t="s">
        <v>121</v>
      </c>
      <c r="AB43" s="127" t="s">
        <v>121</v>
      </c>
      <c r="AC43" s="127" t="s">
        <v>121</v>
      </c>
      <c r="AD43" s="127" t="s">
        <v>121</v>
      </c>
      <c r="AE43" s="127" t="s">
        <v>121</v>
      </c>
      <c r="AF43" s="127" t="s">
        <v>121</v>
      </c>
      <c r="AG43" s="39" t="s">
        <v>121</v>
      </c>
      <c r="AH43" s="39" t="s">
        <v>121</v>
      </c>
      <c r="AI43" s="39" t="s">
        <v>121</v>
      </c>
      <c r="AJ43" s="39" t="s">
        <v>121</v>
      </c>
      <c r="AK43" s="39" t="s">
        <v>121</v>
      </c>
      <c r="AL43" s="39" t="s">
        <v>121</v>
      </c>
      <c r="AM43" s="39" t="s">
        <v>121</v>
      </c>
      <c r="AN43" s="39" t="s">
        <v>121</v>
      </c>
      <c r="AO43" s="39" t="s">
        <v>121</v>
      </c>
      <c r="AP43" s="39" t="s">
        <v>121</v>
      </c>
      <c r="AQ43" s="39" t="s">
        <v>121</v>
      </c>
      <c r="AR43" s="39" t="s">
        <v>121</v>
      </c>
      <c r="AS43" s="39" t="s">
        <v>121</v>
      </c>
      <c r="AT43" s="39" t="s">
        <v>121</v>
      </c>
      <c r="AU43" s="39" t="s">
        <v>121</v>
      </c>
      <c r="AV43" s="39" t="s">
        <v>121</v>
      </c>
      <c r="AW43" s="39" t="s">
        <v>121</v>
      </c>
      <c r="AX43" s="39" t="s">
        <v>121</v>
      </c>
      <c r="AY43" s="39" t="s">
        <v>121</v>
      </c>
      <c r="AZ43" s="39" t="s">
        <v>121</v>
      </c>
      <c r="BA43" s="39" t="s">
        <v>121</v>
      </c>
      <c r="BB43" s="39" t="s">
        <v>121</v>
      </c>
      <c r="BC43" s="39" t="s">
        <v>121</v>
      </c>
      <c r="BD43" s="39" t="s">
        <v>121</v>
      </c>
      <c r="BE43" s="39" t="s">
        <v>121</v>
      </c>
      <c r="BF43" s="39" t="s">
        <v>121</v>
      </c>
      <c r="BG43" s="39" t="s">
        <v>121</v>
      </c>
      <c r="BH43" s="39" t="s">
        <v>121</v>
      </c>
      <c r="BI43" s="39" t="s">
        <v>121</v>
      </c>
      <c r="BJ43" s="39" t="s">
        <v>121</v>
      </c>
      <c r="BK43" s="39" t="s">
        <v>121</v>
      </c>
      <c r="BL43" s="39" t="s">
        <v>121</v>
      </c>
      <c r="BM43" s="39" t="s">
        <v>121</v>
      </c>
      <c r="BN43" s="39" t="s">
        <v>121</v>
      </c>
      <c r="BO43" s="39" t="s">
        <v>121</v>
      </c>
      <c r="BP43" s="39" t="s">
        <v>121</v>
      </c>
      <c r="BQ43" s="39" t="s">
        <v>121</v>
      </c>
    </row>
    <row r="44" spans="1:69" s="39" customFormat="1" ht="15" customHeight="1" x14ac:dyDescent="0.25">
      <c r="A44" s="72">
        <v>44</v>
      </c>
      <c r="B44" s="5" t="s">
        <v>328</v>
      </c>
      <c r="C44" s="91" t="s">
        <v>121</v>
      </c>
      <c r="D44" s="86" t="s">
        <v>121</v>
      </c>
      <c r="E44" s="92" t="s">
        <v>121</v>
      </c>
      <c r="F44" s="290">
        <v>7.2423179193479875E-2</v>
      </c>
      <c r="G44" s="290">
        <v>9.66858203378647E-2</v>
      </c>
      <c r="H44" s="290">
        <v>8.7792227603828987E-2</v>
      </c>
      <c r="I44" s="290">
        <v>8.8000053259125618E-2</v>
      </c>
      <c r="J44" s="335"/>
      <c r="K44" s="335"/>
      <c r="L44" s="335"/>
      <c r="M44" s="290">
        <v>0.10566507846308519</v>
      </c>
      <c r="N44" s="335"/>
      <c r="O44" s="335"/>
      <c r="P44" s="335"/>
      <c r="Q44" s="335"/>
      <c r="R44" s="335"/>
      <c r="S44" s="335"/>
      <c r="T44" s="335"/>
      <c r="U44" s="290" t="s">
        <v>121</v>
      </c>
      <c r="V44" s="290" t="s">
        <v>121</v>
      </c>
      <c r="W44" s="290" t="s">
        <v>121</v>
      </c>
      <c r="X44" s="127" t="s">
        <v>121</v>
      </c>
      <c r="Y44" s="127" t="s">
        <v>121</v>
      </c>
      <c r="Z44" s="127" t="s">
        <v>121</v>
      </c>
      <c r="AA44" s="127" t="s">
        <v>121</v>
      </c>
      <c r="AB44" s="127" t="s">
        <v>121</v>
      </c>
      <c r="AC44" s="127" t="s">
        <v>121</v>
      </c>
      <c r="AD44" s="127" t="s">
        <v>121</v>
      </c>
      <c r="AE44" s="127" t="s">
        <v>121</v>
      </c>
      <c r="AF44" s="127" t="s">
        <v>121</v>
      </c>
      <c r="AG44" s="39" t="s">
        <v>121</v>
      </c>
      <c r="AH44" s="39" t="s">
        <v>121</v>
      </c>
      <c r="AI44" s="39" t="s">
        <v>121</v>
      </c>
      <c r="AJ44" s="39" t="s">
        <v>121</v>
      </c>
      <c r="AK44" s="39" t="s">
        <v>121</v>
      </c>
      <c r="AL44" s="39" t="s">
        <v>121</v>
      </c>
      <c r="AM44" s="39" t="s">
        <v>121</v>
      </c>
      <c r="AN44" s="39" t="s">
        <v>121</v>
      </c>
      <c r="AO44" s="39" t="s">
        <v>121</v>
      </c>
      <c r="AP44" s="39" t="s">
        <v>121</v>
      </c>
      <c r="AQ44" s="39" t="s">
        <v>121</v>
      </c>
      <c r="AR44" s="39" t="s">
        <v>121</v>
      </c>
      <c r="AS44" s="39" t="s">
        <v>121</v>
      </c>
      <c r="AT44" s="39" t="s">
        <v>121</v>
      </c>
      <c r="AU44" s="39" t="s">
        <v>121</v>
      </c>
      <c r="AV44" s="39" t="s">
        <v>121</v>
      </c>
      <c r="AW44" s="39" t="s">
        <v>121</v>
      </c>
      <c r="AX44" s="39" t="s">
        <v>121</v>
      </c>
      <c r="AY44" s="39" t="s">
        <v>121</v>
      </c>
      <c r="AZ44" s="39" t="s">
        <v>121</v>
      </c>
      <c r="BA44" s="39" t="s">
        <v>121</v>
      </c>
      <c r="BB44" s="39" t="s">
        <v>121</v>
      </c>
      <c r="BC44" s="39" t="s">
        <v>121</v>
      </c>
      <c r="BD44" s="39" t="s">
        <v>121</v>
      </c>
      <c r="BE44" s="39" t="s">
        <v>121</v>
      </c>
      <c r="BF44" s="39" t="s">
        <v>121</v>
      </c>
      <c r="BG44" s="39" t="s">
        <v>121</v>
      </c>
      <c r="BH44" s="39" t="s">
        <v>121</v>
      </c>
      <c r="BI44" s="39" t="s">
        <v>121</v>
      </c>
      <c r="BJ44" s="39" t="s">
        <v>121</v>
      </c>
      <c r="BK44" s="39" t="s">
        <v>121</v>
      </c>
      <c r="BL44" s="39" t="s">
        <v>121</v>
      </c>
      <c r="BM44" s="39" t="s">
        <v>121</v>
      </c>
      <c r="BN44" s="39" t="s">
        <v>121</v>
      </c>
      <c r="BO44" s="39" t="s">
        <v>121</v>
      </c>
      <c r="BP44" s="39" t="s">
        <v>121</v>
      </c>
      <c r="BQ44" s="39" t="s">
        <v>121</v>
      </c>
    </row>
    <row r="45" spans="1:69" s="39" customFormat="1" ht="15" customHeight="1" x14ac:dyDescent="0.25">
      <c r="A45" s="72">
        <v>45</v>
      </c>
      <c r="B45" s="5" t="s">
        <v>329</v>
      </c>
      <c r="C45" s="91" t="s">
        <v>121</v>
      </c>
      <c r="D45" s="86" t="s">
        <v>121</v>
      </c>
      <c r="E45" s="92" t="s">
        <v>121</v>
      </c>
      <c r="F45" s="290">
        <v>4.914538655589995E-2</v>
      </c>
      <c r="G45" s="290">
        <v>3.932156600788763E-2</v>
      </c>
      <c r="H45" s="290">
        <v>3.9118421796690991E-2</v>
      </c>
      <c r="I45" s="290">
        <v>5.4321645174390351E-2</v>
      </c>
      <c r="J45" s="335"/>
      <c r="K45" s="335"/>
      <c r="L45" s="335"/>
      <c r="M45" s="290">
        <v>5.9774737363582055E-2</v>
      </c>
      <c r="N45" s="335"/>
      <c r="O45" s="335"/>
      <c r="P45" s="335"/>
      <c r="Q45" s="335"/>
      <c r="R45" s="335"/>
      <c r="S45" s="335"/>
      <c r="T45" s="335"/>
      <c r="U45" s="290" t="s">
        <v>121</v>
      </c>
      <c r="V45" s="290" t="s">
        <v>121</v>
      </c>
      <c r="W45" s="290" t="s">
        <v>121</v>
      </c>
      <c r="X45" s="127" t="s">
        <v>121</v>
      </c>
      <c r="Y45" s="127" t="s">
        <v>121</v>
      </c>
      <c r="Z45" s="127" t="s">
        <v>121</v>
      </c>
      <c r="AA45" s="127" t="s">
        <v>121</v>
      </c>
      <c r="AB45" s="127" t="s">
        <v>121</v>
      </c>
      <c r="AC45" s="127" t="s">
        <v>121</v>
      </c>
      <c r="AD45" s="127" t="s">
        <v>121</v>
      </c>
      <c r="AE45" s="127" t="s">
        <v>121</v>
      </c>
      <c r="AF45" s="127" t="s">
        <v>121</v>
      </c>
      <c r="AG45" s="39" t="s">
        <v>121</v>
      </c>
      <c r="AH45" s="39" t="s">
        <v>121</v>
      </c>
      <c r="AI45" s="39" t="s">
        <v>121</v>
      </c>
      <c r="AJ45" s="39" t="s">
        <v>121</v>
      </c>
      <c r="AK45" s="39" t="s">
        <v>121</v>
      </c>
      <c r="AL45" s="39" t="s">
        <v>121</v>
      </c>
      <c r="AM45" s="39" t="s">
        <v>121</v>
      </c>
      <c r="AN45" s="39" t="s">
        <v>121</v>
      </c>
      <c r="AO45" s="39" t="s">
        <v>121</v>
      </c>
      <c r="AP45" s="39" t="s">
        <v>121</v>
      </c>
      <c r="AQ45" s="39" t="s">
        <v>121</v>
      </c>
      <c r="AR45" s="39" t="s">
        <v>121</v>
      </c>
      <c r="AS45" s="39" t="s">
        <v>121</v>
      </c>
      <c r="AT45" s="39" t="s">
        <v>121</v>
      </c>
      <c r="AU45" s="39" t="s">
        <v>121</v>
      </c>
      <c r="AV45" s="39" t="s">
        <v>121</v>
      </c>
      <c r="AW45" s="39" t="s">
        <v>121</v>
      </c>
      <c r="AX45" s="39" t="s">
        <v>121</v>
      </c>
      <c r="AY45" s="39" t="s">
        <v>121</v>
      </c>
      <c r="AZ45" s="39" t="s">
        <v>121</v>
      </c>
      <c r="BA45" s="39" t="s">
        <v>121</v>
      </c>
      <c r="BB45" s="39" t="s">
        <v>121</v>
      </c>
      <c r="BC45" s="39" t="s">
        <v>121</v>
      </c>
      <c r="BD45" s="39" t="s">
        <v>121</v>
      </c>
      <c r="BE45" s="39" t="s">
        <v>121</v>
      </c>
      <c r="BF45" s="39" t="s">
        <v>121</v>
      </c>
      <c r="BG45" s="39" t="s">
        <v>121</v>
      </c>
      <c r="BH45" s="39" t="s">
        <v>121</v>
      </c>
      <c r="BI45" s="39" t="s">
        <v>121</v>
      </c>
      <c r="BJ45" s="39" t="s">
        <v>121</v>
      </c>
      <c r="BK45" s="39" t="s">
        <v>121</v>
      </c>
      <c r="BL45" s="39" t="s">
        <v>121</v>
      </c>
      <c r="BM45" s="39" t="s">
        <v>121</v>
      </c>
      <c r="BN45" s="39" t="s">
        <v>121</v>
      </c>
      <c r="BO45" s="39" t="s">
        <v>121</v>
      </c>
      <c r="BP45" s="39" t="s">
        <v>121</v>
      </c>
      <c r="BQ45" s="39" t="s">
        <v>121</v>
      </c>
    </row>
    <row r="46" spans="1:69" ht="15" customHeight="1" x14ac:dyDescent="0.25">
      <c r="A46" s="72">
        <v>46</v>
      </c>
      <c r="B46" s="5" t="s">
        <v>330</v>
      </c>
      <c r="C46" s="91" t="s">
        <v>121</v>
      </c>
      <c r="D46" s="86" t="s">
        <v>121</v>
      </c>
      <c r="E46" s="92" t="s">
        <v>121</v>
      </c>
      <c r="F46" s="290">
        <v>4.6752783590582735E-2</v>
      </c>
      <c r="G46" s="290">
        <v>5.1760377431076511E-2</v>
      </c>
      <c r="H46" s="290">
        <v>5.6868080204205897E-2</v>
      </c>
      <c r="I46" s="290">
        <v>4.729144059277407E-2</v>
      </c>
      <c r="J46" s="335"/>
      <c r="K46" s="335"/>
      <c r="L46" s="335"/>
      <c r="M46" s="290">
        <v>4.8670425900831989E-2</v>
      </c>
      <c r="N46" s="335"/>
      <c r="O46" s="335"/>
      <c r="P46" s="335"/>
      <c r="Q46" s="335"/>
      <c r="R46" s="335"/>
      <c r="S46" s="335"/>
      <c r="T46" s="335"/>
      <c r="U46" s="290" t="s">
        <v>121</v>
      </c>
      <c r="V46" s="290" t="s">
        <v>121</v>
      </c>
      <c r="W46" s="290" t="s">
        <v>121</v>
      </c>
      <c r="X46" s="127" t="s">
        <v>121</v>
      </c>
      <c r="Y46" s="127" t="s">
        <v>121</v>
      </c>
      <c r="Z46" s="127" t="s">
        <v>121</v>
      </c>
      <c r="AA46" s="127" t="s">
        <v>121</v>
      </c>
      <c r="AB46" s="127" t="s">
        <v>121</v>
      </c>
      <c r="AC46" s="127" t="s">
        <v>121</v>
      </c>
      <c r="AD46" s="127" t="s">
        <v>121</v>
      </c>
      <c r="AE46" s="127" t="s">
        <v>121</v>
      </c>
      <c r="AF46" s="127" t="s">
        <v>121</v>
      </c>
      <c r="AG46" s="39" t="s">
        <v>121</v>
      </c>
      <c r="AH46" s="39" t="s">
        <v>121</v>
      </c>
      <c r="AI46" s="39" t="s">
        <v>121</v>
      </c>
      <c r="AJ46" s="39" t="s">
        <v>121</v>
      </c>
      <c r="AK46" s="39" t="s">
        <v>121</v>
      </c>
      <c r="AL46" s="39" t="s">
        <v>121</v>
      </c>
      <c r="AM46" s="39" t="s">
        <v>121</v>
      </c>
      <c r="AN46" s="39" t="s">
        <v>121</v>
      </c>
      <c r="AO46" s="39" t="s">
        <v>121</v>
      </c>
      <c r="AP46" s="39" t="s">
        <v>121</v>
      </c>
      <c r="AQ46" s="39" t="s">
        <v>121</v>
      </c>
      <c r="AR46" s="39" t="s">
        <v>121</v>
      </c>
      <c r="AS46" s="39" t="s">
        <v>121</v>
      </c>
      <c r="AT46" s="39" t="s">
        <v>121</v>
      </c>
      <c r="AU46" s="39" t="s">
        <v>121</v>
      </c>
      <c r="AV46" s="39" t="s">
        <v>121</v>
      </c>
      <c r="AW46" s="39" t="s">
        <v>121</v>
      </c>
      <c r="AX46" s="39" t="s">
        <v>121</v>
      </c>
      <c r="AY46" s="39" t="s">
        <v>121</v>
      </c>
      <c r="AZ46" s="39" t="s">
        <v>121</v>
      </c>
      <c r="BA46" s="39" t="s">
        <v>121</v>
      </c>
      <c r="BB46" s="39" t="s">
        <v>121</v>
      </c>
      <c r="BC46" s="39" t="s">
        <v>121</v>
      </c>
      <c r="BD46" s="39" t="s">
        <v>121</v>
      </c>
      <c r="BE46" s="39" t="s">
        <v>121</v>
      </c>
      <c r="BF46" s="39" t="s">
        <v>121</v>
      </c>
      <c r="BG46" s="39" t="s">
        <v>121</v>
      </c>
      <c r="BH46" s="39" t="s">
        <v>121</v>
      </c>
      <c r="BI46" s="39" t="s">
        <v>121</v>
      </c>
      <c r="BJ46" s="39" t="s">
        <v>121</v>
      </c>
      <c r="BK46" s="39" t="s">
        <v>121</v>
      </c>
      <c r="BL46" s="39" t="s">
        <v>121</v>
      </c>
      <c r="BM46" s="39" t="s">
        <v>121</v>
      </c>
      <c r="BN46" s="39" t="s">
        <v>121</v>
      </c>
      <c r="BO46" s="39" t="s">
        <v>121</v>
      </c>
      <c r="BP46" s="39" t="s">
        <v>121</v>
      </c>
      <c r="BQ46" s="39" t="s">
        <v>121</v>
      </c>
    </row>
    <row r="47" spans="1:69" ht="15" customHeight="1" x14ac:dyDescent="0.25">
      <c r="A47" s="72">
        <v>47</v>
      </c>
      <c r="B47" s="5" t="s">
        <v>331</v>
      </c>
      <c r="C47" s="91" t="s">
        <v>121</v>
      </c>
      <c r="D47" s="86" t="s">
        <v>121</v>
      </c>
      <c r="E47" s="92" t="s">
        <v>121</v>
      </c>
      <c r="F47" s="290">
        <v>2.7727341861111549E-2</v>
      </c>
      <c r="G47" s="290">
        <v>3.1164643465427216E-2</v>
      </c>
      <c r="H47" s="290">
        <v>2.4918169037978246E-2</v>
      </c>
      <c r="I47" s="290">
        <v>3.8102909945475973E-2</v>
      </c>
      <c r="J47" s="335"/>
      <c r="K47" s="335"/>
      <c r="L47" s="335"/>
      <c r="M47" s="290">
        <v>8.0575833078346524E-4</v>
      </c>
      <c r="N47" s="335"/>
      <c r="O47" s="335"/>
      <c r="P47" s="335"/>
      <c r="Q47" s="335"/>
      <c r="R47" s="335"/>
      <c r="S47" s="335"/>
      <c r="T47" s="335"/>
      <c r="U47" s="290" t="s">
        <v>121</v>
      </c>
      <c r="V47" s="290" t="s">
        <v>121</v>
      </c>
      <c r="W47" s="290" t="s">
        <v>121</v>
      </c>
      <c r="X47" s="127" t="s">
        <v>121</v>
      </c>
      <c r="Y47" s="127" t="s">
        <v>121</v>
      </c>
      <c r="Z47" s="127" t="s">
        <v>121</v>
      </c>
      <c r="AA47" s="127" t="s">
        <v>121</v>
      </c>
      <c r="AB47" s="127" t="s">
        <v>121</v>
      </c>
      <c r="AC47" s="127" t="s">
        <v>121</v>
      </c>
      <c r="AD47" s="127" t="s">
        <v>121</v>
      </c>
      <c r="AE47" s="127" t="s">
        <v>121</v>
      </c>
      <c r="AF47" s="127" t="s">
        <v>121</v>
      </c>
      <c r="AG47" s="39" t="s">
        <v>121</v>
      </c>
      <c r="AH47" s="39" t="s">
        <v>121</v>
      </c>
      <c r="AI47" s="39" t="s">
        <v>121</v>
      </c>
      <c r="AJ47" s="39" t="s">
        <v>121</v>
      </c>
      <c r="AK47" s="39" t="s">
        <v>121</v>
      </c>
      <c r="AL47" s="39" t="s">
        <v>121</v>
      </c>
      <c r="AM47" s="39" t="s">
        <v>121</v>
      </c>
      <c r="AN47" s="39" t="s">
        <v>121</v>
      </c>
      <c r="AO47" s="39" t="s">
        <v>121</v>
      </c>
      <c r="AP47" s="39" t="s">
        <v>121</v>
      </c>
      <c r="AQ47" s="39" t="s">
        <v>121</v>
      </c>
      <c r="AR47" s="39" t="s">
        <v>121</v>
      </c>
      <c r="AS47" s="39" t="s">
        <v>121</v>
      </c>
      <c r="AT47" s="39" t="s">
        <v>121</v>
      </c>
      <c r="AU47" s="39" t="s">
        <v>121</v>
      </c>
      <c r="AV47" s="39" t="s">
        <v>121</v>
      </c>
      <c r="AW47" s="39" t="s">
        <v>121</v>
      </c>
      <c r="AX47" s="39" t="s">
        <v>121</v>
      </c>
      <c r="AY47" s="39" t="s">
        <v>121</v>
      </c>
      <c r="AZ47" s="39" t="s">
        <v>121</v>
      </c>
      <c r="BA47" s="39" t="s">
        <v>121</v>
      </c>
      <c r="BB47" s="39" t="s">
        <v>121</v>
      </c>
      <c r="BC47" s="39" t="s">
        <v>121</v>
      </c>
      <c r="BD47" s="39" t="s">
        <v>121</v>
      </c>
      <c r="BE47" s="39" t="s">
        <v>121</v>
      </c>
      <c r="BF47" s="39" t="s">
        <v>121</v>
      </c>
      <c r="BG47" s="39" t="s">
        <v>121</v>
      </c>
      <c r="BH47" s="39" t="s">
        <v>121</v>
      </c>
      <c r="BI47" s="39" t="s">
        <v>121</v>
      </c>
      <c r="BJ47" s="39" t="s">
        <v>121</v>
      </c>
      <c r="BK47" s="39" t="s">
        <v>121</v>
      </c>
      <c r="BL47" s="39" t="s">
        <v>121</v>
      </c>
      <c r="BM47" s="39" t="s">
        <v>121</v>
      </c>
      <c r="BN47" s="39" t="s">
        <v>121</v>
      </c>
      <c r="BO47" s="39" t="s">
        <v>121</v>
      </c>
      <c r="BP47" s="39" t="s">
        <v>121</v>
      </c>
      <c r="BQ47" s="39" t="s">
        <v>121</v>
      </c>
    </row>
    <row r="48" spans="1:69" ht="15" customHeight="1" x14ac:dyDescent="0.25">
      <c r="A48" s="72">
        <v>48</v>
      </c>
      <c r="B48" s="5" t="s">
        <v>332</v>
      </c>
      <c r="C48" s="91" t="s">
        <v>121</v>
      </c>
      <c r="D48" s="86" t="s">
        <v>121</v>
      </c>
      <c r="E48" s="92" t="s">
        <v>121</v>
      </c>
      <c r="F48" s="290">
        <v>1.4310513921886391E-2</v>
      </c>
      <c r="G48" s="290">
        <v>2.3856404588953821E-2</v>
      </c>
      <c r="H48" s="290">
        <v>2.7098574582888946E-2</v>
      </c>
      <c r="I48" s="290">
        <v>2.7911776258413276E-2</v>
      </c>
      <c r="J48" s="335"/>
      <c r="K48" s="335"/>
      <c r="L48" s="335"/>
      <c r="M48" s="290">
        <v>1.19785519663126E-2</v>
      </c>
      <c r="N48" s="335"/>
      <c r="O48" s="335"/>
      <c r="P48" s="335"/>
      <c r="Q48" s="335"/>
      <c r="R48" s="335"/>
      <c r="S48" s="335"/>
      <c r="T48" s="335"/>
      <c r="U48" s="290" t="s">
        <v>121</v>
      </c>
      <c r="V48" s="290" t="s">
        <v>121</v>
      </c>
      <c r="W48" s="290" t="s">
        <v>121</v>
      </c>
      <c r="X48" s="127" t="s">
        <v>121</v>
      </c>
      <c r="Y48" s="127" t="s">
        <v>121</v>
      </c>
      <c r="Z48" s="127" t="s">
        <v>121</v>
      </c>
      <c r="AA48" s="127" t="s">
        <v>121</v>
      </c>
      <c r="AB48" s="127" t="s">
        <v>121</v>
      </c>
      <c r="AC48" s="127" t="s">
        <v>121</v>
      </c>
      <c r="AD48" s="127" t="s">
        <v>121</v>
      </c>
      <c r="AE48" s="127" t="s">
        <v>121</v>
      </c>
      <c r="AF48" s="127" t="s">
        <v>121</v>
      </c>
      <c r="AG48" s="39" t="s">
        <v>121</v>
      </c>
      <c r="AH48" s="39" t="s">
        <v>121</v>
      </c>
      <c r="AI48" s="39" t="s">
        <v>121</v>
      </c>
      <c r="AJ48" s="39" t="s">
        <v>121</v>
      </c>
      <c r="AK48" s="39" t="s">
        <v>121</v>
      </c>
      <c r="AL48" s="39" t="s">
        <v>121</v>
      </c>
      <c r="AM48" s="39" t="s">
        <v>121</v>
      </c>
      <c r="AN48" s="39" t="s">
        <v>121</v>
      </c>
      <c r="AO48" s="39" t="s">
        <v>121</v>
      </c>
      <c r="AP48" s="39" t="s">
        <v>121</v>
      </c>
      <c r="AQ48" s="39" t="s">
        <v>121</v>
      </c>
      <c r="AR48" s="39" t="s">
        <v>121</v>
      </c>
      <c r="AS48" s="39" t="s">
        <v>121</v>
      </c>
      <c r="AT48" s="39" t="s">
        <v>121</v>
      </c>
      <c r="AU48" s="39" t="s">
        <v>121</v>
      </c>
      <c r="AV48" s="39" t="s">
        <v>121</v>
      </c>
      <c r="AW48" s="39" t="s">
        <v>121</v>
      </c>
      <c r="AX48" s="39" t="s">
        <v>121</v>
      </c>
      <c r="AY48" s="39" t="s">
        <v>121</v>
      </c>
      <c r="AZ48" s="39" t="s">
        <v>121</v>
      </c>
      <c r="BA48" s="39" t="s">
        <v>121</v>
      </c>
      <c r="BB48" s="39" t="s">
        <v>121</v>
      </c>
      <c r="BC48" s="39" t="s">
        <v>121</v>
      </c>
      <c r="BD48" s="39" t="s">
        <v>121</v>
      </c>
      <c r="BE48" s="39" t="s">
        <v>121</v>
      </c>
      <c r="BF48" s="39" t="s">
        <v>121</v>
      </c>
      <c r="BG48" s="39" t="s">
        <v>121</v>
      </c>
      <c r="BH48" s="39" t="s">
        <v>121</v>
      </c>
      <c r="BI48" s="39" t="s">
        <v>121</v>
      </c>
      <c r="BJ48" s="39" t="s">
        <v>121</v>
      </c>
      <c r="BK48" s="39" t="s">
        <v>121</v>
      </c>
      <c r="BL48" s="39" t="s">
        <v>121</v>
      </c>
      <c r="BM48" s="39" t="s">
        <v>121</v>
      </c>
      <c r="BN48" s="39" t="s">
        <v>121</v>
      </c>
      <c r="BO48" s="39" t="s">
        <v>121</v>
      </c>
      <c r="BP48" s="39" t="s">
        <v>121</v>
      </c>
      <c r="BQ48" s="39" t="s">
        <v>121</v>
      </c>
    </row>
    <row r="49" spans="1:69" ht="15" customHeight="1" x14ac:dyDescent="0.25">
      <c r="A49" s="72">
        <v>49</v>
      </c>
      <c r="B49" s="5" t="s">
        <v>20</v>
      </c>
      <c r="C49" s="91" t="s">
        <v>121</v>
      </c>
      <c r="D49" s="86" t="s">
        <v>121</v>
      </c>
      <c r="E49" s="92" t="s">
        <v>121</v>
      </c>
      <c r="F49" s="290">
        <v>1.0235431712216331E-2</v>
      </c>
      <c r="G49" s="290">
        <v>1.5477984935864929E-2</v>
      </c>
      <c r="H49" s="290">
        <v>2.8485985831309204E-2</v>
      </c>
      <c r="I49" s="290">
        <v>2.7906450345851447E-2</v>
      </c>
      <c r="J49" s="335"/>
      <c r="K49" s="335"/>
      <c r="L49" s="335"/>
      <c r="M49" s="290">
        <v>3.3307106118226459E-2</v>
      </c>
      <c r="N49" s="335"/>
      <c r="O49" s="335"/>
      <c r="P49" s="335"/>
      <c r="Q49" s="335"/>
      <c r="R49" s="335"/>
      <c r="S49" s="335"/>
      <c r="T49" s="335"/>
      <c r="U49" s="290" t="s">
        <v>121</v>
      </c>
      <c r="V49" s="290" t="s">
        <v>121</v>
      </c>
      <c r="W49" s="290" t="s">
        <v>121</v>
      </c>
      <c r="X49" s="127" t="s">
        <v>121</v>
      </c>
      <c r="Y49" s="127" t="s">
        <v>121</v>
      </c>
      <c r="Z49" s="127" t="s">
        <v>121</v>
      </c>
      <c r="AA49" s="127" t="s">
        <v>121</v>
      </c>
      <c r="AB49" s="127" t="s">
        <v>121</v>
      </c>
      <c r="AC49" s="127" t="s">
        <v>121</v>
      </c>
      <c r="AD49" s="127" t="s">
        <v>121</v>
      </c>
      <c r="AE49" s="127" t="s">
        <v>121</v>
      </c>
      <c r="AF49" s="127" t="s">
        <v>121</v>
      </c>
      <c r="AG49" s="39" t="s">
        <v>121</v>
      </c>
      <c r="AH49" s="39" t="s">
        <v>121</v>
      </c>
      <c r="AI49" s="39" t="s">
        <v>121</v>
      </c>
      <c r="AJ49" s="39" t="s">
        <v>121</v>
      </c>
      <c r="AK49" s="39" t="s">
        <v>121</v>
      </c>
      <c r="AL49" s="39" t="s">
        <v>121</v>
      </c>
      <c r="AM49" s="39" t="s">
        <v>121</v>
      </c>
      <c r="AN49" s="39" t="s">
        <v>121</v>
      </c>
      <c r="AO49" s="39" t="s">
        <v>121</v>
      </c>
      <c r="AP49" s="39" t="s">
        <v>121</v>
      </c>
      <c r="AQ49" s="39" t="s">
        <v>121</v>
      </c>
      <c r="AR49" s="39" t="s">
        <v>121</v>
      </c>
      <c r="AS49" s="39" t="s">
        <v>121</v>
      </c>
      <c r="AT49" s="39" t="s">
        <v>121</v>
      </c>
      <c r="AU49" s="39" t="s">
        <v>121</v>
      </c>
      <c r="AV49" s="39" t="s">
        <v>121</v>
      </c>
      <c r="AW49" s="39" t="s">
        <v>121</v>
      </c>
      <c r="AX49" s="39" t="s">
        <v>121</v>
      </c>
      <c r="AY49" s="39" t="s">
        <v>121</v>
      </c>
      <c r="AZ49" s="39" t="s">
        <v>121</v>
      </c>
      <c r="BA49" s="39" t="s">
        <v>121</v>
      </c>
      <c r="BB49" s="39" t="s">
        <v>121</v>
      </c>
      <c r="BC49" s="39" t="s">
        <v>121</v>
      </c>
      <c r="BD49" s="39" t="s">
        <v>121</v>
      </c>
      <c r="BE49" s="39" t="s">
        <v>121</v>
      </c>
      <c r="BF49" s="39" t="s">
        <v>121</v>
      </c>
      <c r="BG49" s="39" t="s">
        <v>121</v>
      </c>
      <c r="BH49" s="39" t="s">
        <v>121</v>
      </c>
      <c r="BI49" s="39" t="s">
        <v>121</v>
      </c>
      <c r="BJ49" s="39" t="s">
        <v>121</v>
      </c>
      <c r="BK49" s="39" t="s">
        <v>121</v>
      </c>
      <c r="BL49" s="39" t="s">
        <v>121</v>
      </c>
      <c r="BM49" s="39" t="s">
        <v>121</v>
      </c>
      <c r="BN49" s="39" t="s">
        <v>121</v>
      </c>
      <c r="BO49" s="39" t="s">
        <v>121</v>
      </c>
      <c r="BP49" s="39" t="s">
        <v>121</v>
      </c>
      <c r="BQ49" s="39" t="s">
        <v>121</v>
      </c>
    </row>
    <row r="50" spans="1:69" ht="15" customHeight="1" x14ac:dyDescent="0.25">
      <c r="A50" s="72">
        <v>50</v>
      </c>
      <c r="B50" s="5" t="s">
        <v>7</v>
      </c>
      <c r="C50" s="91" t="s">
        <v>121</v>
      </c>
      <c r="D50" s="86" t="s">
        <v>121</v>
      </c>
      <c r="E50" s="92" t="s">
        <v>121</v>
      </c>
      <c r="F50" s="290">
        <v>5.4449811455334054E-3</v>
      </c>
      <c r="G50" s="290">
        <v>6.5260043436749168E-3</v>
      </c>
      <c r="H50" s="290">
        <v>6.1558976813792096E-3</v>
      </c>
      <c r="I50" s="290">
        <v>1.0273685331771221E-2</v>
      </c>
      <c r="J50" s="335"/>
      <c r="K50" s="335"/>
      <c r="L50" s="335"/>
      <c r="M50" s="290">
        <v>1.3075723798283406E-2</v>
      </c>
      <c r="N50" s="335"/>
      <c r="O50" s="335"/>
      <c r="P50" s="335"/>
      <c r="Q50" s="335"/>
      <c r="R50" s="335"/>
      <c r="S50" s="335"/>
      <c r="T50" s="335"/>
      <c r="U50" s="290" t="s">
        <v>121</v>
      </c>
      <c r="V50" s="290" t="s">
        <v>121</v>
      </c>
      <c r="W50" s="290" t="s">
        <v>121</v>
      </c>
      <c r="X50" s="127" t="s">
        <v>121</v>
      </c>
      <c r="Y50" s="127" t="s">
        <v>121</v>
      </c>
      <c r="Z50" s="127" t="s">
        <v>121</v>
      </c>
      <c r="AA50" s="127" t="s">
        <v>121</v>
      </c>
      <c r="AB50" s="127" t="s">
        <v>121</v>
      </c>
      <c r="AC50" s="127" t="s">
        <v>121</v>
      </c>
      <c r="AD50" s="127" t="s">
        <v>121</v>
      </c>
      <c r="AE50" s="127" t="s">
        <v>121</v>
      </c>
      <c r="AF50" s="127" t="s">
        <v>121</v>
      </c>
      <c r="AG50" s="39" t="s">
        <v>121</v>
      </c>
      <c r="AH50" s="39" t="s">
        <v>121</v>
      </c>
      <c r="AI50" s="39" t="s">
        <v>121</v>
      </c>
      <c r="AJ50" s="39" t="s">
        <v>121</v>
      </c>
      <c r="AK50" s="39" t="s">
        <v>121</v>
      </c>
      <c r="AL50" s="39" t="s">
        <v>121</v>
      </c>
      <c r="AM50" s="39" t="s">
        <v>121</v>
      </c>
      <c r="AN50" s="39" t="s">
        <v>121</v>
      </c>
      <c r="AO50" s="39" t="s">
        <v>121</v>
      </c>
      <c r="AP50" s="39" t="s">
        <v>121</v>
      </c>
      <c r="AQ50" s="39" t="s">
        <v>121</v>
      </c>
      <c r="AR50" s="39" t="s">
        <v>121</v>
      </c>
      <c r="AS50" s="39" t="s">
        <v>121</v>
      </c>
      <c r="AT50" s="39" t="s">
        <v>121</v>
      </c>
      <c r="AU50" s="39" t="s">
        <v>121</v>
      </c>
      <c r="AV50" s="39" t="s">
        <v>121</v>
      </c>
      <c r="AW50" s="39" t="s">
        <v>121</v>
      </c>
      <c r="AX50" s="39" t="s">
        <v>121</v>
      </c>
      <c r="AY50" s="39" t="s">
        <v>121</v>
      </c>
      <c r="AZ50" s="39" t="s">
        <v>121</v>
      </c>
      <c r="BA50" s="39" t="s">
        <v>121</v>
      </c>
      <c r="BB50" s="39" t="s">
        <v>121</v>
      </c>
      <c r="BC50" s="39" t="s">
        <v>121</v>
      </c>
      <c r="BD50" s="39" t="s">
        <v>121</v>
      </c>
      <c r="BE50" s="39" t="s">
        <v>121</v>
      </c>
      <c r="BF50" s="39" t="s">
        <v>121</v>
      </c>
      <c r="BG50" s="39" t="s">
        <v>121</v>
      </c>
      <c r="BH50" s="39" t="s">
        <v>121</v>
      </c>
      <c r="BI50" s="39" t="s">
        <v>121</v>
      </c>
      <c r="BJ50" s="39" t="s">
        <v>121</v>
      </c>
      <c r="BK50" s="39" t="s">
        <v>121</v>
      </c>
      <c r="BL50" s="39" t="s">
        <v>121</v>
      </c>
      <c r="BM50" s="39" t="s">
        <v>121</v>
      </c>
      <c r="BN50" s="39" t="s">
        <v>121</v>
      </c>
      <c r="BO50" s="39" t="s">
        <v>121</v>
      </c>
      <c r="BP50" s="39" t="s">
        <v>121</v>
      </c>
      <c r="BQ50" s="39" t="s">
        <v>121</v>
      </c>
    </row>
    <row r="51" spans="1:69" ht="15" customHeight="1" x14ac:dyDescent="0.25">
      <c r="A51" s="72">
        <v>51</v>
      </c>
      <c r="B51" s="5" t="s">
        <v>121</v>
      </c>
      <c r="C51" s="91" t="s">
        <v>121</v>
      </c>
      <c r="D51" s="86" t="s">
        <v>121</v>
      </c>
      <c r="E51" s="92" t="s">
        <v>121</v>
      </c>
      <c r="F51" s="290" t="s">
        <v>121</v>
      </c>
      <c r="G51" s="290" t="s">
        <v>121</v>
      </c>
      <c r="H51" s="290" t="s">
        <v>121</v>
      </c>
      <c r="I51" s="290" t="s">
        <v>121</v>
      </c>
      <c r="J51" s="290" t="s">
        <v>121</v>
      </c>
      <c r="K51" s="290" t="s">
        <v>121</v>
      </c>
      <c r="L51" s="290" t="s">
        <v>121</v>
      </c>
      <c r="M51" s="290" t="s">
        <v>121</v>
      </c>
      <c r="N51" s="290" t="s">
        <v>121</v>
      </c>
      <c r="O51" s="290" t="s">
        <v>121</v>
      </c>
      <c r="P51" s="290" t="s">
        <v>121</v>
      </c>
      <c r="Q51" s="290" t="s">
        <v>121</v>
      </c>
      <c r="R51" s="290" t="s">
        <v>121</v>
      </c>
      <c r="S51" s="290" t="s">
        <v>121</v>
      </c>
      <c r="T51" s="290" t="s">
        <v>121</v>
      </c>
      <c r="U51" s="290" t="s">
        <v>121</v>
      </c>
      <c r="V51" s="290" t="s">
        <v>121</v>
      </c>
      <c r="W51" s="290" t="s">
        <v>121</v>
      </c>
      <c r="X51" s="127" t="s">
        <v>121</v>
      </c>
      <c r="Y51" s="127" t="s">
        <v>121</v>
      </c>
      <c r="Z51" s="127" t="s">
        <v>121</v>
      </c>
      <c r="AA51" s="127" t="s">
        <v>121</v>
      </c>
      <c r="AB51" s="127" t="s">
        <v>121</v>
      </c>
      <c r="AC51" s="127" t="s">
        <v>121</v>
      </c>
      <c r="AD51" s="127" t="s">
        <v>121</v>
      </c>
      <c r="AE51" s="127" t="s">
        <v>121</v>
      </c>
      <c r="AF51" s="127" t="s">
        <v>121</v>
      </c>
      <c r="AG51" s="39" t="s">
        <v>121</v>
      </c>
      <c r="AH51" s="39" t="s">
        <v>121</v>
      </c>
      <c r="AI51" s="39" t="s">
        <v>121</v>
      </c>
      <c r="AJ51" s="39" t="s">
        <v>121</v>
      </c>
      <c r="AK51" s="39" t="s">
        <v>121</v>
      </c>
      <c r="AL51" s="39" t="s">
        <v>121</v>
      </c>
      <c r="AM51" s="39" t="s">
        <v>121</v>
      </c>
      <c r="AN51" s="39" t="s">
        <v>121</v>
      </c>
      <c r="AO51" s="39" t="s">
        <v>121</v>
      </c>
      <c r="AP51" s="39" t="s">
        <v>121</v>
      </c>
      <c r="AQ51" s="39" t="s">
        <v>121</v>
      </c>
      <c r="AR51" s="39" t="s">
        <v>121</v>
      </c>
      <c r="AS51" s="39" t="s">
        <v>121</v>
      </c>
      <c r="AT51" s="39" t="s">
        <v>121</v>
      </c>
      <c r="AU51" s="39" t="s">
        <v>121</v>
      </c>
      <c r="AV51" s="39" t="s">
        <v>121</v>
      </c>
      <c r="AW51" s="39" t="s">
        <v>121</v>
      </c>
      <c r="AX51" s="39" t="s">
        <v>121</v>
      </c>
      <c r="AY51" s="39" t="s">
        <v>121</v>
      </c>
      <c r="AZ51" s="39" t="s">
        <v>121</v>
      </c>
      <c r="BA51" s="39" t="s">
        <v>121</v>
      </c>
      <c r="BB51" s="39" t="s">
        <v>121</v>
      </c>
      <c r="BC51" s="39" t="s">
        <v>121</v>
      </c>
      <c r="BD51" s="39" t="s">
        <v>121</v>
      </c>
      <c r="BE51" s="39" t="s">
        <v>121</v>
      </c>
      <c r="BF51" s="39" t="s">
        <v>121</v>
      </c>
      <c r="BG51" s="39" t="s">
        <v>121</v>
      </c>
      <c r="BH51" s="39" t="s">
        <v>121</v>
      </c>
      <c r="BI51" s="39" t="s">
        <v>121</v>
      </c>
      <c r="BJ51" s="39" t="s">
        <v>121</v>
      </c>
      <c r="BK51" s="39" t="s">
        <v>121</v>
      </c>
      <c r="BL51" s="39" t="s">
        <v>121</v>
      </c>
      <c r="BM51" s="39" t="s">
        <v>121</v>
      </c>
      <c r="BN51" s="39" t="s">
        <v>121</v>
      </c>
      <c r="BO51" s="39" t="s">
        <v>121</v>
      </c>
      <c r="BP51" s="39" t="s">
        <v>121</v>
      </c>
      <c r="BQ51" s="39" t="s">
        <v>121</v>
      </c>
    </row>
    <row r="52" spans="1:69" s="39" customFormat="1" ht="15" customHeight="1" x14ac:dyDescent="0.25">
      <c r="A52" s="72">
        <v>52</v>
      </c>
      <c r="B52" s="5" t="s">
        <v>121</v>
      </c>
      <c r="C52" s="91" t="s">
        <v>121</v>
      </c>
      <c r="D52" s="86" t="s">
        <v>121</v>
      </c>
      <c r="E52" s="92" t="s">
        <v>121</v>
      </c>
      <c r="F52" s="290" t="s">
        <v>121</v>
      </c>
      <c r="G52" s="290" t="s">
        <v>121</v>
      </c>
      <c r="H52" s="290" t="s">
        <v>121</v>
      </c>
      <c r="I52" s="290" t="s">
        <v>121</v>
      </c>
      <c r="J52" s="290" t="s">
        <v>121</v>
      </c>
      <c r="K52" s="290" t="s">
        <v>121</v>
      </c>
      <c r="L52" s="290" t="s">
        <v>121</v>
      </c>
      <c r="M52" s="290" t="s">
        <v>121</v>
      </c>
      <c r="N52" s="290" t="s">
        <v>121</v>
      </c>
      <c r="O52" s="290" t="s">
        <v>121</v>
      </c>
      <c r="P52" s="290" t="s">
        <v>121</v>
      </c>
      <c r="Q52" s="290" t="s">
        <v>121</v>
      </c>
      <c r="R52" s="290" t="s">
        <v>121</v>
      </c>
      <c r="S52" s="290" t="s">
        <v>121</v>
      </c>
      <c r="T52" s="290" t="s">
        <v>121</v>
      </c>
      <c r="U52" s="290" t="s">
        <v>121</v>
      </c>
      <c r="V52" s="290" t="s">
        <v>121</v>
      </c>
      <c r="W52" s="290" t="s">
        <v>121</v>
      </c>
      <c r="X52" s="127" t="s">
        <v>121</v>
      </c>
      <c r="Y52" s="127" t="s">
        <v>121</v>
      </c>
      <c r="Z52" s="127" t="s">
        <v>121</v>
      </c>
      <c r="AA52" s="127" t="s">
        <v>121</v>
      </c>
      <c r="AB52" s="127" t="s">
        <v>121</v>
      </c>
      <c r="AC52" s="127" t="s">
        <v>121</v>
      </c>
      <c r="AD52" s="127" t="s">
        <v>121</v>
      </c>
      <c r="AE52" s="127" t="s">
        <v>121</v>
      </c>
      <c r="AF52" s="127" t="s">
        <v>121</v>
      </c>
      <c r="AG52" s="39" t="s">
        <v>121</v>
      </c>
      <c r="AH52" s="39" t="s">
        <v>121</v>
      </c>
      <c r="AI52" s="39" t="s">
        <v>121</v>
      </c>
      <c r="AJ52" s="39" t="s">
        <v>121</v>
      </c>
      <c r="AK52" s="39" t="s">
        <v>121</v>
      </c>
      <c r="AL52" s="39" t="s">
        <v>121</v>
      </c>
      <c r="AM52" s="39" t="s">
        <v>121</v>
      </c>
      <c r="AN52" s="39" t="s">
        <v>121</v>
      </c>
      <c r="AO52" s="39" t="s">
        <v>121</v>
      </c>
      <c r="AP52" s="39" t="s">
        <v>121</v>
      </c>
      <c r="AQ52" s="39" t="s">
        <v>121</v>
      </c>
      <c r="AR52" s="39" t="s">
        <v>121</v>
      </c>
      <c r="AS52" s="39" t="s">
        <v>121</v>
      </c>
      <c r="AT52" s="39" t="s">
        <v>121</v>
      </c>
      <c r="AU52" s="39" t="s">
        <v>121</v>
      </c>
      <c r="AV52" s="39" t="s">
        <v>121</v>
      </c>
      <c r="AW52" s="39" t="s">
        <v>121</v>
      </c>
      <c r="AX52" s="39" t="s">
        <v>121</v>
      </c>
      <c r="AY52" s="39" t="s">
        <v>121</v>
      </c>
      <c r="AZ52" s="39" t="s">
        <v>121</v>
      </c>
      <c r="BA52" s="39" t="s">
        <v>121</v>
      </c>
      <c r="BB52" s="39" t="s">
        <v>121</v>
      </c>
      <c r="BC52" s="39" t="s">
        <v>121</v>
      </c>
      <c r="BD52" s="39" t="s">
        <v>121</v>
      </c>
      <c r="BE52" s="39" t="s">
        <v>121</v>
      </c>
      <c r="BF52" s="39" t="s">
        <v>121</v>
      </c>
      <c r="BG52" s="39" t="s">
        <v>121</v>
      </c>
      <c r="BH52" s="39" t="s">
        <v>121</v>
      </c>
      <c r="BI52" s="39" t="s">
        <v>121</v>
      </c>
      <c r="BJ52" s="39" t="s">
        <v>121</v>
      </c>
      <c r="BK52" s="39" t="s">
        <v>121</v>
      </c>
      <c r="BL52" s="39" t="s">
        <v>121</v>
      </c>
      <c r="BM52" s="39" t="s">
        <v>121</v>
      </c>
      <c r="BN52" s="39" t="s">
        <v>121</v>
      </c>
      <c r="BO52" s="39" t="s">
        <v>121</v>
      </c>
      <c r="BP52" s="39" t="s">
        <v>121</v>
      </c>
      <c r="BQ52" s="39" t="s">
        <v>121</v>
      </c>
    </row>
    <row r="53" spans="1:69" s="39" customFormat="1" ht="15" customHeight="1" x14ac:dyDescent="0.25">
      <c r="A53" s="72">
        <v>53</v>
      </c>
      <c r="B53" s="5" t="s">
        <v>121</v>
      </c>
      <c r="C53" s="91" t="s">
        <v>121</v>
      </c>
      <c r="D53" s="86" t="s">
        <v>121</v>
      </c>
      <c r="E53" s="92" t="s">
        <v>121</v>
      </c>
      <c r="F53" s="290" t="s">
        <v>121</v>
      </c>
      <c r="G53" s="290" t="s">
        <v>121</v>
      </c>
      <c r="H53" s="290" t="s">
        <v>121</v>
      </c>
      <c r="I53" s="290" t="s">
        <v>121</v>
      </c>
      <c r="J53" s="290" t="s">
        <v>121</v>
      </c>
      <c r="K53" s="290" t="s">
        <v>121</v>
      </c>
      <c r="L53" s="290" t="s">
        <v>121</v>
      </c>
      <c r="M53" s="290" t="s">
        <v>121</v>
      </c>
      <c r="N53" s="290" t="s">
        <v>121</v>
      </c>
      <c r="O53" s="290" t="s">
        <v>121</v>
      </c>
      <c r="P53" s="290" t="s">
        <v>121</v>
      </c>
      <c r="Q53" s="290" t="s">
        <v>121</v>
      </c>
      <c r="R53" s="290" t="s">
        <v>121</v>
      </c>
      <c r="S53" s="290" t="s">
        <v>121</v>
      </c>
      <c r="T53" s="290" t="s">
        <v>121</v>
      </c>
      <c r="U53" s="290" t="s">
        <v>121</v>
      </c>
      <c r="V53" s="290" t="s">
        <v>121</v>
      </c>
      <c r="W53" s="290" t="s">
        <v>121</v>
      </c>
      <c r="X53" s="127" t="s">
        <v>121</v>
      </c>
      <c r="Y53" s="127" t="s">
        <v>121</v>
      </c>
      <c r="Z53" s="127" t="s">
        <v>121</v>
      </c>
      <c r="AA53" s="127" t="s">
        <v>121</v>
      </c>
      <c r="AB53" s="127" t="s">
        <v>121</v>
      </c>
      <c r="AC53" s="127" t="s">
        <v>121</v>
      </c>
      <c r="AD53" s="127" t="s">
        <v>121</v>
      </c>
      <c r="AE53" s="127" t="s">
        <v>121</v>
      </c>
      <c r="AF53" s="127" t="s">
        <v>121</v>
      </c>
      <c r="AG53" s="39" t="s">
        <v>121</v>
      </c>
      <c r="AH53" s="39" t="s">
        <v>121</v>
      </c>
      <c r="AI53" s="39" t="s">
        <v>121</v>
      </c>
      <c r="AJ53" s="39" t="s">
        <v>121</v>
      </c>
      <c r="AK53" s="39" t="s">
        <v>121</v>
      </c>
      <c r="AL53" s="39" t="s">
        <v>121</v>
      </c>
      <c r="AM53" s="39" t="s">
        <v>121</v>
      </c>
      <c r="AN53" s="39" t="s">
        <v>121</v>
      </c>
      <c r="AO53" s="39" t="s">
        <v>121</v>
      </c>
      <c r="AP53" s="39" t="s">
        <v>121</v>
      </c>
      <c r="AQ53" s="39" t="s">
        <v>121</v>
      </c>
      <c r="AR53" s="39" t="s">
        <v>121</v>
      </c>
      <c r="AS53" s="39" t="s">
        <v>121</v>
      </c>
      <c r="AT53" s="39" t="s">
        <v>121</v>
      </c>
      <c r="AU53" s="39" t="s">
        <v>121</v>
      </c>
      <c r="AV53" s="39" t="s">
        <v>121</v>
      </c>
      <c r="AW53" s="39" t="s">
        <v>121</v>
      </c>
      <c r="AX53" s="39" t="s">
        <v>121</v>
      </c>
      <c r="AY53" s="39" t="s">
        <v>121</v>
      </c>
      <c r="AZ53" s="39" t="s">
        <v>121</v>
      </c>
      <c r="BA53" s="39" t="s">
        <v>121</v>
      </c>
      <c r="BB53" s="39" t="s">
        <v>121</v>
      </c>
      <c r="BC53" s="39" t="s">
        <v>121</v>
      </c>
      <c r="BD53" s="39" t="s">
        <v>121</v>
      </c>
      <c r="BE53" s="39" t="s">
        <v>121</v>
      </c>
      <c r="BF53" s="39" t="s">
        <v>121</v>
      </c>
      <c r="BG53" s="39" t="s">
        <v>121</v>
      </c>
      <c r="BH53" s="39" t="s">
        <v>121</v>
      </c>
      <c r="BI53" s="39" t="s">
        <v>121</v>
      </c>
      <c r="BJ53" s="39" t="s">
        <v>121</v>
      </c>
      <c r="BK53" s="39" t="s">
        <v>121</v>
      </c>
      <c r="BL53" s="39" t="s">
        <v>121</v>
      </c>
      <c r="BM53" s="39" t="s">
        <v>121</v>
      </c>
      <c r="BN53" s="39" t="s">
        <v>121</v>
      </c>
      <c r="BO53" s="39" t="s">
        <v>121</v>
      </c>
      <c r="BP53" s="39" t="s">
        <v>121</v>
      </c>
      <c r="BQ53" s="39" t="s">
        <v>121</v>
      </c>
    </row>
    <row r="54" spans="1:69" s="19" customFormat="1" ht="26.1" customHeight="1" x14ac:dyDescent="0.25">
      <c r="A54" s="72">
        <v>54</v>
      </c>
      <c r="B54" s="19" t="s">
        <v>121</v>
      </c>
      <c r="C54" s="91" t="s">
        <v>121</v>
      </c>
      <c r="D54" s="86" t="s">
        <v>121</v>
      </c>
      <c r="E54" s="92" t="s">
        <v>121</v>
      </c>
      <c r="F54" s="291" t="s">
        <v>121</v>
      </c>
      <c r="G54" s="291" t="s">
        <v>121</v>
      </c>
      <c r="H54" s="291" t="s">
        <v>121</v>
      </c>
      <c r="I54" s="291" t="s">
        <v>121</v>
      </c>
      <c r="J54" s="291" t="s">
        <v>121</v>
      </c>
      <c r="K54" s="291" t="s">
        <v>121</v>
      </c>
      <c r="L54" s="291" t="s">
        <v>121</v>
      </c>
      <c r="M54" s="291" t="s">
        <v>121</v>
      </c>
      <c r="N54" s="291" t="s">
        <v>121</v>
      </c>
      <c r="O54" s="291" t="s">
        <v>121</v>
      </c>
      <c r="P54" s="291" t="s">
        <v>121</v>
      </c>
      <c r="Q54" s="291" t="s">
        <v>121</v>
      </c>
      <c r="R54" s="291" t="s">
        <v>121</v>
      </c>
      <c r="S54" s="291" t="s">
        <v>121</v>
      </c>
      <c r="T54" s="291" t="s">
        <v>121</v>
      </c>
      <c r="U54" s="291" t="s">
        <v>121</v>
      </c>
      <c r="V54" s="291" t="s">
        <v>121</v>
      </c>
      <c r="W54" s="291" t="s">
        <v>121</v>
      </c>
      <c r="X54" s="20" t="s">
        <v>121</v>
      </c>
      <c r="Y54" s="20" t="s">
        <v>121</v>
      </c>
      <c r="Z54" s="20" t="s">
        <v>121</v>
      </c>
      <c r="AA54" s="20" t="s">
        <v>121</v>
      </c>
      <c r="AB54" s="20" t="s">
        <v>121</v>
      </c>
      <c r="AC54" s="20" t="s">
        <v>121</v>
      </c>
      <c r="AD54" s="20" t="s">
        <v>121</v>
      </c>
      <c r="AE54" s="20" t="s">
        <v>121</v>
      </c>
      <c r="AF54" s="20" t="s">
        <v>121</v>
      </c>
      <c r="AG54" s="19" t="s">
        <v>121</v>
      </c>
      <c r="AH54" s="19" t="s">
        <v>121</v>
      </c>
      <c r="AI54" s="19" t="s">
        <v>121</v>
      </c>
      <c r="AJ54" s="19" t="s">
        <v>121</v>
      </c>
      <c r="AK54" s="19" t="s">
        <v>121</v>
      </c>
      <c r="AL54" s="19" t="s">
        <v>121</v>
      </c>
      <c r="AM54" s="19" t="s">
        <v>121</v>
      </c>
      <c r="AN54" s="19" t="s">
        <v>121</v>
      </c>
      <c r="AO54" s="19" t="s">
        <v>121</v>
      </c>
      <c r="AP54" s="19" t="s">
        <v>121</v>
      </c>
      <c r="AQ54" s="19" t="s">
        <v>121</v>
      </c>
      <c r="AR54" s="19" t="s">
        <v>121</v>
      </c>
      <c r="AS54" s="19" t="s">
        <v>121</v>
      </c>
      <c r="AT54" s="19" t="s">
        <v>121</v>
      </c>
      <c r="AU54" s="19" t="s">
        <v>121</v>
      </c>
      <c r="AV54" s="19" t="s">
        <v>121</v>
      </c>
      <c r="AW54" s="19" t="s">
        <v>121</v>
      </c>
      <c r="AX54" s="19" t="s">
        <v>121</v>
      </c>
      <c r="AY54" s="19" t="s">
        <v>121</v>
      </c>
      <c r="AZ54" s="19" t="s">
        <v>121</v>
      </c>
      <c r="BA54" s="19" t="s">
        <v>121</v>
      </c>
      <c r="BB54" s="19" t="s">
        <v>121</v>
      </c>
      <c r="BC54" s="19" t="s">
        <v>121</v>
      </c>
      <c r="BD54" s="19" t="s">
        <v>121</v>
      </c>
      <c r="BE54" s="19" t="s">
        <v>121</v>
      </c>
      <c r="BF54" s="19" t="s">
        <v>121</v>
      </c>
      <c r="BG54" s="19" t="s">
        <v>121</v>
      </c>
      <c r="BH54" s="19" t="s">
        <v>121</v>
      </c>
      <c r="BI54" s="19" t="s">
        <v>121</v>
      </c>
      <c r="BJ54" s="19" t="s">
        <v>121</v>
      </c>
      <c r="BK54" s="19" t="s">
        <v>121</v>
      </c>
      <c r="BL54" s="19" t="s">
        <v>121</v>
      </c>
      <c r="BM54" s="19" t="s">
        <v>121</v>
      </c>
      <c r="BN54" s="19" t="s">
        <v>121</v>
      </c>
      <c r="BO54" s="19" t="s">
        <v>121</v>
      </c>
      <c r="BP54" s="19" t="s">
        <v>121</v>
      </c>
      <c r="BQ54" s="19" t="s">
        <v>121</v>
      </c>
    </row>
    <row r="55" spans="1:69" x14ac:dyDescent="0.25">
      <c r="A55" s="72">
        <v>55</v>
      </c>
      <c r="B55" s="19" t="s">
        <v>57</v>
      </c>
      <c r="C55" s="91">
        <v>0.11139672580639526</v>
      </c>
      <c r="D55" s="86">
        <v>0.28890454166289237</v>
      </c>
      <c r="E55" s="92">
        <v>0.26937134259598294</v>
      </c>
      <c r="F55" s="291">
        <v>953355</v>
      </c>
      <c r="G55" s="291">
        <v>857799</v>
      </c>
      <c r="H55" s="291">
        <v>760409</v>
      </c>
      <c r="I55" s="291">
        <v>751045</v>
      </c>
      <c r="J55" s="291">
        <v>739663</v>
      </c>
      <c r="K55" s="291">
        <v>716341</v>
      </c>
      <c r="L55" s="291">
        <v>705750</v>
      </c>
      <c r="M55" s="291">
        <v>686310</v>
      </c>
      <c r="N55" s="291">
        <v>660295</v>
      </c>
      <c r="O55" s="291">
        <v>575790</v>
      </c>
      <c r="P55" s="291">
        <v>597588</v>
      </c>
      <c r="Q55" s="291">
        <v>557845</v>
      </c>
      <c r="R55" s="336" t="s">
        <v>121</v>
      </c>
      <c r="S55" s="336" t="s">
        <v>121</v>
      </c>
      <c r="T55" s="336" t="s">
        <v>121</v>
      </c>
      <c r="U55" s="291">
        <v>513914</v>
      </c>
      <c r="V55" s="291">
        <v>515308.64</v>
      </c>
      <c r="W55" s="291">
        <v>507319.48700000002</v>
      </c>
      <c r="X55" s="291">
        <v>482693.64899999998</v>
      </c>
      <c r="Y55" s="291">
        <v>459272.58100000001</v>
      </c>
      <c r="Z55" s="291">
        <v>468654.17300000001</v>
      </c>
      <c r="AA55" s="20">
        <v>417219.90100000001</v>
      </c>
      <c r="AB55" s="20">
        <v>434348.51799999998</v>
      </c>
      <c r="AC55" s="20">
        <v>401446.239</v>
      </c>
      <c r="AD55" s="20">
        <v>390770.47600000002</v>
      </c>
      <c r="AE55" s="20">
        <v>365681.66499999998</v>
      </c>
      <c r="AF55" s="20">
        <v>372095.28499999997</v>
      </c>
      <c r="AG55" s="20">
        <v>375283.86599999998</v>
      </c>
      <c r="AH55" s="20">
        <v>376237.58500000002</v>
      </c>
      <c r="AI55" s="1">
        <v>355085.39399999997</v>
      </c>
      <c r="AJ55" s="1">
        <v>345779.74699999997</v>
      </c>
      <c r="AK55" s="1" t="s">
        <v>121</v>
      </c>
      <c r="AL55" s="1" t="s">
        <v>121</v>
      </c>
      <c r="AM55" s="1" t="s">
        <v>121</v>
      </c>
      <c r="AN55" s="1" t="s">
        <v>121</v>
      </c>
      <c r="AO55" s="1" t="s">
        <v>121</v>
      </c>
      <c r="AP55" s="1" t="s">
        <v>121</v>
      </c>
      <c r="AQ55" s="1" t="s">
        <v>121</v>
      </c>
      <c r="AR55" s="1" t="s">
        <v>121</v>
      </c>
      <c r="AS55" s="1" t="s">
        <v>121</v>
      </c>
      <c r="AT55" s="1" t="s">
        <v>121</v>
      </c>
      <c r="AU55" s="1" t="s">
        <v>121</v>
      </c>
      <c r="AV55" s="1" t="s">
        <v>121</v>
      </c>
      <c r="AW55" s="1" t="s">
        <v>121</v>
      </c>
      <c r="AX55" s="1" t="s">
        <v>121</v>
      </c>
      <c r="AY55" s="1" t="s">
        <v>121</v>
      </c>
      <c r="AZ55" s="1" t="s">
        <v>121</v>
      </c>
      <c r="BA55" s="1" t="s">
        <v>121</v>
      </c>
      <c r="BB55" s="1" t="s">
        <v>121</v>
      </c>
      <c r="BC55" s="1" t="s">
        <v>121</v>
      </c>
      <c r="BD55" s="1" t="s">
        <v>121</v>
      </c>
      <c r="BE55" s="1" t="s">
        <v>121</v>
      </c>
      <c r="BF55" s="1" t="s">
        <v>121</v>
      </c>
      <c r="BG55" s="1" t="s">
        <v>121</v>
      </c>
      <c r="BH55" s="1" t="s">
        <v>121</v>
      </c>
      <c r="BI55" s="1" t="s">
        <v>121</v>
      </c>
      <c r="BJ55" s="1" t="s">
        <v>121</v>
      </c>
      <c r="BK55" s="1" t="s">
        <v>121</v>
      </c>
      <c r="BL55" s="1" t="s">
        <v>121</v>
      </c>
      <c r="BM55" s="1" t="s">
        <v>121</v>
      </c>
      <c r="BN55" s="1" t="s">
        <v>121</v>
      </c>
      <c r="BO55" s="1" t="s">
        <v>121</v>
      </c>
      <c r="BP55" s="1" t="s">
        <v>121</v>
      </c>
      <c r="BQ55" s="1" t="s">
        <v>121</v>
      </c>
    </row>
    <row r="56" spans="1:69" x14ac:dyDescent="0.25">
      <c r="A56" s="72">
        <v>56</v>
      </c>
      <c r="B56" s="1" t="s">
        <v>121</v>
      </c>
      <c r="C56" s="1" t="s">
        <v>121</v>
      </c>
      <c r="D56" s="1" t="s">
        <v>121</v>
      </c>
      <c r="E56" s="249" t="s">
        <v>121</v>
      </c>
      <c r="F56" s="249" t="s">
        <v>121</v>
      </c>
      <c r="G56" s="249" t="s">
        <v>121</v>
      </c>
      <c r="H56" s="249" t="s">
        <v>121</v>
      </c>
      <c r="I56" s="249" t="s">
        <v>121</v>
      </c>
      <c r="J56" s="249" t="s">
        <v>121</v>
      </c>
      <c r="K56" s="292" t="s">
        <v>121</v>
      </c>
      <c r="L56" s="292" t="s">
        <v>121</v>
      </c>
      <c r="M56" s="292" t="s">
        <v>121</v>
      </c>
      <c r="N56" s="292" t="s">
        <v>121</v>
      </c>
      <c r="O56" s="292" t="s">
        <v>121</v>
      </c>
      <c r="P56" s="292" t="s">
        <v>121</v>
      </c>
      <c r="Q56" s="292" t="s">
        <v>121</v>
      </c>
      <c r="R56" s="292" t="s">
        <v>121</v>
      </c>
      <c r="S56" s="292" t="s">
        <v>121</v>
      </c>
      <c r="T56" s="292" t="s">
        <v>121</v>
      </c>
      <c r="U56" s="292" t="s">
        <v>121</v>
      </c>
      <c r="V56" s="292" t="s">
        <v>121</v>
      </c>
      <c r="W56" s="292" t="s">
        <v>121</v>
      </c>
      <c r="X56" s="292" t="s">
        <v>121</v>
      </c>
      <c r="Y56" s="292" t="s">
        <v>121</v>
      </c>
      <c r="Z56" s="292" t="s">
        <v>121</v>
      </c>
      <c r="AA56" s="249" t="s">
        <v>121</v>
      </c>
      <c r="AB56" s="1" t="s">
        <v>121</v>
      </c>
      <c r="AC56" s="1" t="s">
        <v>121</v>
      </c>
      <c r="AD56" s="1" t="s">
        <v>121</v>
      </c>
      <c r="AE56" s="1" t="s">
        <v>121</v>
      </c>
      <c r="AF56" s="1" t="s">
        <v>121</v>
      </c>
      <c r="AG56" s="1" t="s">
        <v>121</v>
      </c>
      <c r="AH56" s="1" t="s">
        <v>121</v>
      </c>
      <c r="AI56" s="1" t="s">
        <v>121</v>
      </c>
      <c r="AJ56" s="1" t="s">
        <v>121</v>
      </c>
      <c r="AK56" s="1" t="s">
        <v>121</v>
      </c>
      <c r="AL56" s="1" t="s">
        <v>121</v>
      </c>
      <c r="AM56" s="1" t="s">
        <v>121</v>
      </c>
      <c r="AN56" s="1" t="s">
        <v>121</v>
      </c>
      <c r="AO56" s="1" t="s">
        <v>121</v>
      </c>
      <c r="AP56" s="1" t="s">
        <v>121</v>
      </c>
      <c r="AQ56" s="1" t="s">
        <v>121</v>
      </c>
      <c r="AR56" s="1" t="s">
        <v>121</v>
      </c>
      <c r="AS56" s="1" t="s">
        <v>121</v>
      </c>
      <c r="AT56" s="1" t="s">
        <v>121</v>
      </c>
      <c r="AU56" s="1" t="s">
        <v>121</v>
      </c>
      <c r="AV56" s="1" t="s">
        <v>121</v>
      </c>
      <c r="AW56" s="1" t="s">
        <v>121</v>
      </c>
      <c r="AX56" s="1" t="s">
        <v>121</v>
      </c>
      <c r="AY56" s="1" t="s">
        <v>121</v>
      </c>
      <c r="AZ56" s="1" t="s">
        <v>121</v>
      </c>
      <c r="BA56" s="1" t="s">
        <v>121</v>
      </c>
      <c r="BB56" s="1" t="s">
        <v>121</v>
      </c>
      <c r="BC56" s="1" t="s">
        <v>121</v>
      </c>
      <c r="BD56" s="1" t="s">
        <v>121</v>
      </c>
      <c r="BE56" s="1" t="s">
        <v>121</v>
      </c>
      <c r="BF56" s="1" t="s">
        <v>121</v>
      </c>
      <c r="BG56" s="1" t="s">
        <v>121</v>
      </c>
      <c r="BH56" s="1" t="s">
        <v>121</v>
      </c>
      <c r="BI56" s="1" t="s">
        <v>121</v>
      </c>
      <c r="BJ56" s="1" t="s">
        <v>121</v>
      </c>
      <c r="BK56" s="1" t="s">
        <v>121</v>
      </c>
      <c r="BL56" s="1" t="s">
        <v>121</v>
      </c>
      <c r="BM56" s="1" t="s">
        <v>121</v>
      </c>
      <c r="BN56" s="1" t="s">
        <v>121</v>
      </c>
      <c r="BO56" s="1" t="s">
        <v>121</v>
      </c>
      <c r="BP56" s="1" t="s">
        <v>121</v>
      </c>
      <c r="BQ56" s="1" t="s">
        <v>121</v>
      </c>
    </row>
    <row r="57" spans="1:69" x14ac:dyDescent="0.25">
      <c r="A57" s="72">
        <v>57</v>
      </c>
      <c r="B57" s="1" t="s">
        <v>121</v>
      </c>
      <c r="C57" s="1" t="s">
        <v>121</v>
      </c>
      <c r="D57" s="1" t="s">
        <v>121</v>
      </c>
      <c r="E57" s="1" t="s">
        <v>121</v>
      </c>
      <c r="F57" s="1" t="s">
        <v>121</v>
      </c>
      <c r="G57" s="1" t="s">
        <v>121</v>
      </c>
      <c r="H57" s="1" t="s">
        <v>121</v>
      </c>
      <c r="I57" s="1" t="s">
        <v>121</v>
      </c>
      <c r="J57" s="1" t="s">
        <v>121</v>
      </c>
      <c r="K57" s="284" t="s">
        <v>121</v>
      </c>
      <c r="L57" s="284" t="s">
        <v>121</v>
      </c>
      <c r="M57" s="284" t="s">
        <v>121</v>
      </c>
      <c r="N57" s="284" t="s">
        <v>121</v>
      </c>
      <c r="O57" s="284" t="s">
        <v>121</v>
      </c>
      <c r="P57" s="284" t="s">
        <v>121</v>
      </c>
      <c r="Q57" s="284" t="s">
        <v>121</v>
      </c>
      <c r="R57" s="284" t="s">
        <v>121</v>
      </c>
      <c r="S57" s="284" t="s">
        <v>121</v>
      </c>
      <c r="T57" s="284" t="s">
        <v>121</v>
      </c>
      <c r="U57" s="284" t="s">
        <v>121</v>
      </c>
      <c r="V57" s="284" t="s">
        <v>121</v>
      </c>
      <c r="W57" s="284" t="s">
        <v>121</v>
      </c>
      <c r="X57" s="284" t="s">
        <v>121</v>
      </c>
      <c r="Y57" s="284" t="s">
        <v>121</v>
      </c>
      <c r="Z57" s="284" t="s">
        <v>121</v>
      </c>
      <c r="AA57" s="1" t="s">
        <v>121</v>
      </c>
      <c r="AB57" s="1" t="s">
        <v>121</v>
      </c>
      <c r="AC57" s="1" t="s">
        <v>121</v>
      </c>
      <c r="AD57" s="1" t="s">
        <v>121</v>
      </c>
      <c r="AE57" s="1" t="s">
        <v>121</v>
      </c>
      <c r="AF57" s="1" t="s">
        <v>121</v>
      </c>
      <c r="AG57" s="1" t="s">
        <v>121</v>
      </c>
      <c r="AH57" s="1" t="s">
        <v>121</v>
      </c>
      <c r="AI57" s="1" t="s">
        <v>121</v>
      </c>
      <c r="AJ57" s="1" t="s">
        <v>121</v>
      </c>
      <c r="AK57" s="1" t="s">
        <v>121</v>
      </c>
      <c r="AL57" s="1" t="s">
        <v>121</v>
      </c>
      <c r="AM57" s="1" t="s">
        <v>121</v>
      </c>
      <c r="AN57" s="1" t="s">
        <v>121</v>
      </c>
      <c r="AO57" s="1" t="s">
        <v>121</v>
      </c>
      <c r="AP57" s="1" t="s">
        <v>121</v>
      </c>
      <c r="AQ57" s="1" t="s">
        <v>121</v>
      </c>
      <c r="AR57" s="1" t="s">
        <v>121</v>
      </c>
      <c r="AS57" s="1" t="s">
        <v>121</v>
      </c>
      <c r="AT57" s="1" t="s">
        <v>121</v>
      </c>
      <c r="AU57" s="1" t="s">
        <v>121</v>
      </c>
      <c r="AV57" s="1" t="s">
        <v>121</v>
      </c>
      <c r="AW57" s="1" t="s">
        <v>121</v>
      </c>
      <c r="AX57" s="1" t="s">
        <v>121</v>
      </c>
      <c r="AY57" s="1" t="s">
        <v>121</v>
      </c>
      <c r="AZ57" s="1" t="s">
        <v>121</v>
      </c>
      <c r="BA57" s="1" t="s">
        <v>121</v>
      </c>
      <c r="BB57" s="1" t="s">
        <v>121</v>
      </c>
      <c r="BC57" s="1" t="s">
        <v>121</v>
      </c>
      <c r="BD57" s="1" t="s">
        <v>121</v>
      </c>
      <c r="BE57" s="1" t="s">
        <v>121</v>
      </c>
      <c r="BF57" s="1" t="s">
        <v>121</v>
      </c>
      <c r="BG57" s="1" t="s">
        <v>121</v>
      </c>
      <c r="BH57" s="1" t="s">
        <v>121</v>
      </c>
      <c r="BI57" s="1" t="s">
        <v>121</v>
      </c>
      <c r="BJ57" s="1" t="s">
        <v>121</v>
      </c>
      <c r="BK57" s="1" t="s">
        <v>121</v>
      </c>
      <c r="BL57" s="1" t="s">
        <v>121</v>
      </c>
      <c r="BM57" s="1" t="s">
        <v>121</v>
      </c>
      <c r="BN57" s="1" t="s">
        <v>121</v>
      </c>
      <c r="BO57" s="1" t="s">
        <v>121</v>
      </c>
      <c r="BP57" s="1" t="s">
        <v>121</v>
      </c>
      <c r="BQ57" s="1" t="s">
        <v>121</v>
      </c>
    </row>
    <row r="58" spans="1:69" ht="15.75" customHeight="1" x14ac:dyDescent="0.25">
      <c r="A58" s="72">
        <v>58</v>
      </c>
      <c r="B58" s="1" t="s">
        <v>121</v>
      </c>
      <c r="C58" s="1" t="s">
        <v>121</v>
      </c>
      <c r="D58" s="1" t="s">
        <v>121</v>
      </c>
      <c r="E58" s="1" t="s">
        <v>121</v>
      </c>
      <c r="F58" s="1" t="s">
        <v>121</v>
      </c>
      <c r="G58" s="1" t="s">
        <v>121</v>
      </c>
      <c r="H58" s="1" t="s">
        <v>121</v>
      </c>
      <c r="I58" s="1" t="s">
        <v>121</v>
      </c>
      <c r="J58" s="1" t="s">
        <v>121</v>
      </c>
      <c r="K58" s="284" t="s">
        <v>121</v>
      </c>
      <c r="L58" s="284" t="s">
        <v>121</v>
      </c>
      <c r="M58" s="284" t="s">
        <v>121</v>
      </c>
      <c r="N58" s="284" t="s">
        <v>121</v>
      </c>
      <c r="O58" s="284" t="s">
        <v>121</v>
      </c>
      <c r="P58" s="284" t="s">
        <v>121</v>
      </c>
      <c r="Q58" s="284" t="s">
        <v>121</v>
      </c>
      <c r="R58" s="284" t="s">
        <v>121</v>
      </c>
      <c r="S58" s="284" t="s">
        <v>121</v>
      </c>
      <c r="T58" s="284" t="s">
        <v>121</v>
      </c>
      <c r="U58" s="284" t="s">
        <v>121</v>
      </c>
      <c r="V58" s="284" t="s">
        <v>121</v>
      </c>
      <c r="W58" s="284" t="s">
        <v>121</v>
      </c>
      <c r="X58" s="284" t="s">
        <v>121</v>
      </c>
      <c r="Y58" s="284" t="s">
        <v>121</v>
      </c>
      <c r="Z58" s="284" t="s">
        <v>121</v>
      </c>
      <c r="AA58" s="1" t="s">
        <v>121</v>
      </c>
      <c r="AB58" s="1" t="s">
        <v>121</v>
      </c>
      <c r="AC58" s="1" t="s">
        <v>121</v>
      </c>
      <c r="AD58" s="1" t="s">
        <v>121</v>
      </c>
      <c r="AE58" s="1" t="s">
        <v>121</v>
      </c>
      <c r="AF58" s="1" t="s">
        <v>121</v>
      </c>
      <c r="AG58" s="1" t="s">
        <v>121</v>
      </c>
      <c r="AH58" s="1" t="s">
        <v>121</v>
      </c>
      <c r="AI58" s="1" t="s">
        <v>121</v>
      </c>
      <c r="AJ58" s="1" t="s">
        <v>121</v>
      </c>
      <c r="AK58" s="1" t="s">
        <v>121</v>
      </c>
      <c r="AL58" s="1" t="s">
        <v>121</v>
      </c>
      <c r="AM58" s="1" t="s">
        <v>121</v>
      </c>
      <c r="AN58" s="1" t="s">
        <v>121</v>
      </c>
      <c r="AO58" s="1" t="s">
        <v>121</v>
      </c>
      <c r="AP58" s="1" t="s">
        <v>121</v>
      </c>
      <c r="AQ58" s="1" t="s">
        <v>121</v>
      </c>
      <c r="AR58" s="1" t="s">
        <v>121</v>
      </c>
      <c r="AS58" s="1" t="s">
        <v>121</v>
      </c>
      <c r="AT58" s="1" t="s">
        <v>121</v>
      </c>
      <c r="AU58" s="1" t="s">
        <v>121</v>
      </c>
      <c r="AV58" s="1" t="s">
        <v>121</v>
      </c>
      <c r="AW58" s="1" t="s">
        <v>121</v>
      </c>
      <c r="AX58" s="1" t="s">
        <v>121</v>
      </c>
      <c r="AY58" s="1" t="s">
        <v>121</v>
      </c>
      <c r="AZ58" s="1" t="s">
        <v>121</v>
      </c>
      <c r="BA58" s="1" t="s">
        <v>121</v>
      </c>
      <c r="BB58" s="1" t="s">
        <v>121</v>
      </c>
      <c r="BC58" s="1" t="s">
        <v>121</v>
      </c>
      <c r="BD58" s="1" t="s">
        <v>121</v>
      </c>
      <c r="BE58" s="1" t="s">
        <v>121</v>
      </c>
      <c r="BF58" s="1" t="s">
        <v>121</v>
      </c>
      <c r="BG58" s="1" t="s">
        <v>121</v>
      </c>
      <c r="BH58" s="1" t="s">
        <v>121</v>
      </c>
      <c r="BI58" s="1" t="s">
        <v>121</v>
      </c>
      <c r="BJ58" s="1" t="s">
        <v>121</v>
      </c>
      <c r="BK58" s="1" t="s">
        <v>121</v>
      </c>
      <c r="BL58" s="1" t="s">
        <v>121</v>
      </c>
      <c r="BM58" s="1" t="s">
        <v>121</v>
      </c>
      <c r="BN58" s="1" t="s">
        <v>121</v>
      </c>
      <c r="BO58" s="1" t="s">
        <v>121</v>
      </c>
      <c r="BP58" s="1" t="s">
        <v>121</v>
      </c>
      <c r="BQ58" s="1" t="s">
        <v>121</v>
      </c>
    </row>
    <row r="59" spans="1:69" x14ac:dyDescent="0.25">
      <c r="A59" s="72">
        <v>59</v>
      </c>
      <c r="B59" s="426" t="s">
        <v>45</v>
      </c>
      <c r="C59" s="436" t="s">
        <v>64</v>
      </c>
      <c r="D59" s="438" t="s">
        <v>265</v>
      </c>
      <c r="E59" s="434" t="s">
        <v>79</v>
      </c>
      <c r="F59" s="416">
        <v>45930</v>
      </c>
      <c r="G59" s="416">
        <v>45838</v>
      </c>
      <c r="H59" s="416">
        <v>45747</v>
      </c>
      <c r="I59" s="416">
        <v>45657</v>
      </c>
      <c r="J59" s="416">
        <v>45565</v>
      </c>
      <c r="K59" s="416">
        <v>45473</v>
      </c>
      <c r="L59" s="416">
        <v>45382</v>
      </c>
      <c r="M59" s="416">
        <v>45291</v>
      </c>
      <c r="N59" s="416">
        <v>45199</v>
      </c>
      <c r="O59" s="416">
        <v>45107</v>
      </c>
      <c r="P59" s="416">
        <v>45016</v>
      </c>
      <c r="Q59" s="416">
        <v>44926</v>
      </c>
      <c r="R59" s="416">
        <v>44834</v>
      </c>
      <c r="S59" s="416">
        <v>44742</v>
      </c>
      <c r="T59" s="449">
        <v>44651</v>
      </c>
      <c r="U59" s="449">
        <v>44561</v>
      </c>
      <c r="V59" s="449">
        <v>44469</v>
      </c>
      <c r="W59" s="449">
        <v>44377</v>
      </c>
      <c r="X59" s="416">
        <v>44286</v>
      </c>
      <c r="Y59" s="429">
        <v>44196</v>
      </c>
      <c r="Z59" s="429">
        <v>44104</v>
      </c>
      <c r="AA59" s="429">
        <v>44012</v>
      </c>
      <c r="AB59" s="416">
        <v>43921</v>
      </c>
      <c r="AC59" s="416">
        <v>43830</v>
      </c>
      <c r="AD59" s="416">
        <v>43738</v>
      </c>
      <c r="AE59" s="416">
        <v>43646</v>
      </c>
      <c r="AF59" s="416">
        <v>43555</v>
      </c>
      <c r="AG59" s="1">
        <v>43465</v>
      </c>
      <c r="AH59" s="1">
        <v>43373</v>
      </c>
      <c r="AI59" s="1">
        <v>43281</v>
      </c>
      <c r="AJ59" s="1">
        <v>43190</v>
      </c>
      <c r="AK59" s="1" t="s">
        <v>121</v>
      </c>
      <c r="AL59" s="1" t="s">
        <v>121</v>
      </c>
      <c r="AM59" s="1" t="s">
        <v>121</v>
      </c>
      <c r="AN59" s="1" t="s">
        <v>121</v>
      </c>
      <c r="AO59" s="1" t="s">
        <v>121</v>
      </c>
      <c r="AP59" s="1" t="s">
        <v>121</v>
      </c>
      <c r="AQ59" s="1" t="s">
        <v>121</v>
      </c>
      <c r="AR59" s="1" t="s">
        <v>121</v>
      </c>
      <c r="AS59" s="1" t="s">
        <v>121</v>
      </c>
      <c r="AT59" s="1" t="s">
        <v>121</v>
      </c>
      <c r="AU59" s="1" t="s">
        <v>121</v>
      </c>
      <c r="AV59" s="1" t="s">
        <v>121</v>
      </c>
      <c r="AW59" s="1" t="s">
        <v>121</v>
      </c>
      <c r="AX59" s="1" t="s">
        <v>121</v>
      </c>
      <c r="AY59" s="1" t="s">
        <v>121</v>
      </c>
      <c r="AZ59" s="1" t="s">
        <v>121</v>
      </c>
      <c r="BA59" s="1" t="s">
        <v>121</v>
      </c>
      <c r="BB59" s="1" t="s">
        <v>121</v>
      </c>
      <c r="BC59" s="1" t="s">
        <v>121</v>
      </c>
      <c r="BD59" s="1" t="s">
        <v>121</v>
      </c>
      <c r="BE59" s="1" t="s">
        <v>121</v>
      </c>
      <c r="BF59" s="1" t="s">
        <v>121</v>
      </c>
      <c r="BG59" s="1" t="s">
        <v>121</v>
      </c>
      <c r="BH59" s="1" t="s">
        <v>121</v>
      </c>
      <c r="BI59" s="1" t="s">
        <v>121</v>
      </c>
      <c r="BJ59" s="1" t="s">
        <v>121</v>
      </c>
      <c r="BK59" s="1" t="s">
        <v>121</v>
      </c>
      <c r="BL59" s="1" t="s">
        <v>121</v>
      </c>
      <c r="BM59" s="1" t="s">
        <v>121</v>
      </c>
      <c r="BN59" s="1" t="s">
        <v>121</v>
      </c>
      <c r="BO59" s="1" t="s">
        <v>121</v>
      </c>
      <c r="BP59" s="1" t="s">
        <v>121</v>
      </c>
      <c r="BQ59" s="1" t="s">
        <v>121</v>
      </c>
    </row>
    <row r="60" spans="1:69" x14ac:dyDescent="0.25">
      <c r="A60" s="72">
        <v>60</v>
      </c>
      <c r="B60" s="427"/>
      <c r="C60" s="437"/>
      <c r="D60" s="451"/>
      <c r="E60" s="444"/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50"/>
      <c r="U60" s="450"/>
      <c r="V60" s="450"/>
      <c r="W60" s="450"/>
      <c r="X60" s="417"/>
      <c r="Y60" s="430"/>
      <c r="Z60" s="430"/>
      <c r="AA60" s="430"/>
      <c r="AB60" s="417"/>
      <c r="AC60" s="417"/>
      <c r="AD60" s="417"/>
      <c r="AE60" s="417"/>
      <c r="AF60" s="417"/>
    </row>
    <row r="61" spans="1:69" ht="30" customHeight="1" x14ac:dyDescent="0.25">
      <c r="A61" s="72">
        <v>61</v>
      </c>
      <c r="B61" s="8" t="s">
        <v>4</v>
      </c>
      <c r="C61" s="87" t="s">
        <v>121</v>
      </c>
      <c r="D61" s="56" t="s">
        <v>121</v>
      </c>
      <c r="E61" s="88" t="s">
        <v>121</v>
      </c>
      <c r="F61" s="56" t="s">
        <v>121</v>
      </c>
      <c r="G61" s="56" t="s">
        <v>121</v>
      </c>
      <c r="H61" s="56" t="s">
        <v>121</v>
      </c>
      <c r="I61" s="56" t="s">
        <v>121</v>
      </c>
      <c r="J61" s="56" t="s">
        <v>121</v>
      </c>
      <c r="K61" s="286" t="s">
        <v>121</v>
      </c>
      <c r="L61" s="286" t="s">
        <v>121</v>
      </c>
      <c r="M61" s="286" t="s">
        <v>121</v>
      </c>
      <c r="N61" s="286" t="s">
        <v>121</v>
      </c>
      <c r="O61" s="286" t="s">
        <v>121</v>
      </c>
      <c r="P61" s="286" t="s">
        <v>121</v>
      </c>
      <c r="Q61" s="286" t="s">
        <v>121</v>
      </c>
      <c r="R61" s="286" t="s">
        <v>121</v>
      </c>
      <c r="S61" s="286" t="s">
        <v>121</v>
      </c>
      <c r="T61" s="286" t="s">
        <v>121</v>
      </c>
      <c r="U61" s="286" t="s">
        <v>121</v>
      </c>
      <c r="V61" s="286" t="s">
        <v>121</v>
      </c>
      <c r="W61" s="286" t="s">
        <v>121</v>
      </c>
      <c r="X61" s="286" t="s">
        <v>121</v>
      </c>
      <c r="Y61" s="286" t="s">
        <v>121</v>
      </c>
      <c r="Z61" s="286" t="s">
        <v>121</v>
      </c>
      <c r="AA61" s="56" t="s">
        <v>121</v>
      </c>
      <c r="AB61" s="56" t="s">
        <v>121</v>
      </c>
      <c r="AC61" s="56" t="s">
        <v>121</v>
      </c>
      <c r="AD61" s="56" t="s">
        <v>121</v>
      </c>
      <c r="AE61" s="56" t="s">
        <v>121</v>
      </c>
      <c r="AF61" s="56" t="s">
        <v>121</v>
      </c>
      <c r="AG61" s="56" t="s">
        <v>121</v>
      </c>
      <c r="AH61" s="56" t="s">
        <v>121</v>
      </c>
      <c r="AI61" s="1" t="s">
        <v>121</v>
      </c>
      <c r="AJ61" s="1" t="s">
        <v>121</v>
      </c>
      <c r="AK61" s="1" t="s">
        <v>121</v>
      </c>
      <c r="AL61" s="1" t="s">
        <v>121</v>
      </c>
      <c r="AM61" s="1" t="s">
        <v>121</v>
      </c>
      <c r="AN61" s="1" t="s">
        <v>121</v>
      </c>
      <c r="AO61" s="1" t="s">
        <v>121</v>
      </c>
      <c r="AP61" s="1" t="s">
        <v>121</v>
      </c>
      <c r="AQ61" s="1" t="s">
        <v>121</v>
      </c>
      <c r="AR61" s="1" t="s">
        <v>121</v>
      </c>
      <c r="AS61" s="1" t="s">
        <v>121</v>
      </c>
      <c r="AT61" s="1" t="s">
        <v>121</v>
      </c>
      <c r="AU61" s="1" t="s">
        <v>121</v>
      </c>
      <c r="AV61" s="1" t="s">
        <v>121</v>
      </c>
      <c r="AW61" s="1" t="s">
        <v>121</v>
      </c>
      <c r="AX61" s="1" t="s">
        <v>121</v>
      </c>
      <c r="AY61" s="1" t="s">
        <v>121</v>
      </c>
      <c r="AZ61" s="1" t="s">
        <v>121</v>
      </c>
      <c r="BA61" s="1" t="s">
        <v>121</v>
      </c>
      <c r="BB61" s="1" t="s">
        <v>121</v>
      </c>
      <c r="BC61" s="1" t="s">
        <v>121</v>
      </c>
      <c r="BD61" s="1" t="s">
        <v>121</v>
      </c>
      <c r="BE61" s="1" t="s">
        <v>121</v>
      </c>
      <c r="BF61" s="1" t="s">
        <v>121</v>
      </c>
      <c r="BG61" s="1" t="s">
        <v>121</v>
      </c>
      <c r="BH61" s="1" t="s">
        <v>121</v>
      </c>
      <c r="BI61" s="1" t="s">
        <v>121</v>
      </c>
      <c r="BJ61" s="1" t="s">
        <v>121</v>
      </c>
      <c r="BK61" s="1" t="s">
        <v>121</v>
      </c>
      <c r="BL61" s="1" t="s">
        <v>121</v>
      </c>
      <c r="BM61" s="1" t="s">
        <v>121</v>
      </c>
      <c r="BN61" s="1" t="s">
        <v>121</v>
      </c>
      <c r="BO61" s="1" t="s">
        <v>121</v>
      </c>
      <c r="BP61" s="1" t="s">
        <v>121</v>
      </c>
      <c r="BQ61" s="1" t="s">
        <v>121</v>
      </c>
    </row>
    <row r="62" spans="1:69" ht="15" customHeight="1" x14ac:dyDescent="0.25">
      <c r="A62" s="72">
        <v>62</v>
      </c>
      <c r="B62" s="238" t="s">
        <v>333</v>
      </c>
      <c r="C62" s="89" t="s">
        <v>121</v>
      </c>
      <c r="D62" s="122" t="s">
        <v>121</v>
      </c>
      <c r="E62" s="90" t="s">
        <v>121</v>
      </c>
      <c r="F62" s="122" t="s">
        <v>121</v>
      </c>
      <c r="G62" s="122" t="s">
        <v>121</v>
      </c>
      <c r="H62" s="122" t="s">
        <v>121</v>
      </c>
      <c r="I62" s="122" t="s">
        <v>121</v>
      </c>
      <c r="J62" s="122" t="s">
        <v>121</v>
      </c>
      <c r="K62" s="293" t="s">
        <v>121</v>
      </c>
      <c r="L62" s="293" t="s">
        <v>121</v>
      </c>
      <c r="M62" s="293" t="s">
        <v>121</v>
      </c>
      <c r="N62" s="293" t="s">
        <v>121</v>
      </c>
      <c r="O62" s="293" t="s">
        <v>121</v>
      </c>
      <c r="P62" s="293" t="s">
        <v>121</v>
      </c>
      <c r="Q62" s="293" t="s">
        <v>121</v>
      </c>
      <c r="R62" s="293" t="s">
        <v>121</v>
      </c>
      <c r="S62" s="293" t="s">
        <v>121</v>
      </c>
      <c r="T62" s="293" t="s">
        <v>121</v>
      </c>
      <c r="U62" s="293" t="s">
        <v>121</v>
      </c>
      <c r="V62" s="293" t="s">
        <v>121</v>
      </c>
      <c r="W62" s="293" t="s">
        <v>121</v>
      </c>
      <c r="X62" s="293" t="s">
        <v>121</v>
      </c>
      <c r="Y62" s="293" t="s">
        <v>121</v>
      </c>
      <c r="Z62" s="293" t="s">
        <v>121</v>
      </c>
      <c r="AA62" s="122" t="s">
        <v>121</v>
      </c>
      <c r="AB62" s="122" t="s">
        <v>121</v>
      </c>
      <c r="AC62" s="122" t="s">
        <v>121</v>
      </c>
      <c r="AD62" s="122" t="s">
        <v>121</v>
      </c>
      <c r="AE62" s="122" t="s">
        <v>121</v>
      </c>
      <c r="AF62" s="122" t="s">
        <v>121</v>
      </c>
      <c r="AG62" s="122" t="s">
        <v>121</v>
      </c>
      <c r="AH62" s="122" t="s">
        <v>121</v>
      </c>
      <c r="AI62" s="1" t="s">
        <v>121</v>
      </c>
      <c r="AJ62" s="1" t="s">
        <v>121</v>
      </c>
      <c r="AK62" s="1" t="s">
        <v>121</v>
      </c>
      <c r="AL62" s="1" t="s">
        <v>121</v>
      </c>
      <c r="AM62" s="1" t="s">
        <v>121</v>
      </c>
      <c r="AN62" s="1" t="s">
        <v>121</v>
      </c>
      <c r="AO62" s="1" t="s">
        <v>121</v>
      </c>
      <c r="AP62" s="1" t="s">
        <v>121</v>
      </c>
      <c r="AQ62" s="1" t="s">
        <v>121</v>
      </c>
      <c r="AR62" s="1" t="s">
        <v>121</v>
      </c>
      <c r="AS62" s="1" t="s">
        <v>121</v>
      </c>
      <c r="AT62" s="1" t="s">
        <v>121</v>
      </c>
      <c r="AU62" s="1" t="s">
        <v>121</v>
      </c>
      <c r="AV62" s="1" t="s">
        <v>121</v>
      </c>
      <c r="AW62" s="1" t="s">
        <v>121</v>
      </c>
      <c r="AX62" s="1" t="s">
        <v>121</v>
      </c>
      <c r="AY62" s="1" t="s">
        <v>121</v>
      </c>
      <c r="AZ62" s="1" t="s">
        <v>121</v>
      </c>
      <c r="BA62" s="1" t="s">
        <v>121</v>
      </c>
      <c r="BB62" s="1" t="s">
        <v>121</v>
      </c>
      <c r="BC62" s="1" t="s">
        <v>121</v>
      </c>
      <c r="BD62" s="1" t="s">
        <v>121</v>
      </c>
      <c r="BE62" s="1" t="s">
        <v>121</v>
      </c>
      <c r="BF62" s="1" t="s">
        <v>121</v>
      </c>
      <c r="BG62" s="1" t="s">
        <v>121</v>
      </c>
      <c r="BH62" s="1" t="s">
        <v>121</v>
      </c>
      <c r="BI62" s="1" t="s">
        <v>121</v>
      </c>
      <c r="BJ62" s="1" t="s">
        <v>121</v>
      </c>
      <c r="BK62" s="1" t="s">
        <v>121</v>
      </c>
      <c r="BL62" s="1" t="s">
        <v>121</v>
      </c>
      <c r="BM62" s="1" t="s">
        <v>121</v>
      </c>
      <c r="BN62" s="1" t="s">
        <v>121</v>
      </c>
      <c r="BO62" s="1" t="s">
        <v>121</v>
      </c>
      <c r="BP62" s="1" t="s">
        <v>121</v>
      </c>
      <c r="BQ62" s="1" t="s">
        <v>121</v>
      </c>
    </row>
    <row r="63" spans="1:69" ht="15" customHeight="1" x14ac:dyDescent="0.25">
      <c r="A63" s="72">
        <v>63</v>
      </c>
      <c r="B63" s="228" t="s">
        <v>334</v>
      </c>
      <c r="C63" s="223" t="s">
        <v>121</v>
      </c>
      <c r="D63" s="216" t="s">
        <v>121</v>
      </c>
      <c r="E63" s="224" t="s">
        <v>121</v>
      </c>
      <c r="F63" s="216" t="s">
        <v>121</v>
      </c>
      <c r="G63" s="216" t="s">
        <v>121</v>
      </c>
      <c r="H63" s="216" t="s">
        <v>121</v>
      </c>
      <c r="I63" s="216" t="s">
        <v>121</v>
      </c>
      <c r="J63" s="216" t="s">
        <v>121</v>
      </c>
      <c r="K63" s="293" t="s">
        <v>121</v>
      </c>
      <c r="L63" s="293" t="s">
        <v>121</v>
      </c>
      <c r="M63" s="293" t="s">
        <v>121</v>
      </c>
      <c r="N63" s="293" t="s">
        <v>121</v>
      </c>
      <c r="O63" s="293" t="s">
        <v>121</v>
      </c>
      <c r="P63" s="293" t="s">
        <v>121</v>
      </c>
      <c r="Q63" s="293" t="s">
        <v>121</v>
      </c>
      <c r="R63" s="293" t="s">
        <v>121</v>
      </c>
      <c r="S63" s="293" t="s">
        <v>121</v>
      </c>
      <c r="T63" s="293" t="s">
        <v>121</v>
      </c>
      <c r="U63" s="293" t="s">
        <v>121</v>
      </c>
      <c r="V63" s="293" t="s">
        <v>121</v>
      </c>
      <c r="W63" s="293" t="s">
        <v>121</v>
      </c>
      <c r="X63" s="293" t="s">
        <v>121</v>
      </c>
      <c r="Y63" s="293" t="s">
        <v>121</v>
      </c>
      <c r="Z63" s="293" t="s">
        <v>121</v>
      </c>
      <c r="AA63" s="216" t="s">
        <v>121</v>
      </c>
      <c r="AB63" s="216" t="s">
        <v>121</v>
      </c>
      <c r="AC63" s="216" t="s">
        <v>121</v>
      </c>
      <c r="AD63" s="216" t="s">
        <v>121</v>
      </c>
      <c r="AE63" s="216" t="s">
        <v>121</v>
      </c>
      <c r="AF63" s="216" t="s">
        <v>121</v>
      </c>
      <c r="AG63" s="216" t="s">
        <v>121</v>
      </c>
      <c r="AH63" s="216" t="s">
        <v>121</v>
      </c>
      <c r="AI63" s="1" t="s">
        <v>121</v>
      </c>
      <c r="AJ63" s="1" t="s">
        <v>121</v>
      </c>
      <c r="AK63" s="1" t="s">
        <v>121</v>
      </c>
      <c r="AL63" s="1" t="s">
        <v>121</v>
      </c>
      <c r="AM63" s="1" t="s">
        <v>121</v>
      </c>
      <c r="AN63" s="1" t="s">
        <v>121</v>
      </c>
      <c r="AO63" s="1" t="s">
        <v>121</v>
      </c>
      <c r="AP63" s="1" t="s">
        <v>121</v>
      </c>
      <c r="AQ63" s="1" t="s">
        <v>121</v>
      </c>
      <c r="AR63" s="1" t="s">
        <v>121</v>
      </c>
      <c r="AS63" s="1" t="s">
        <v>121</v>
      </c>
      <c r="AT63" s="1" t="s">
        <v>121</v>
      </c>
      <c r="AU63" s="1" t="s">
        <v>121</v>
      </c>
      <c r="AV63" s="1" t="s">
        <v>121</v>
      </c>
      <c r="AW63" s="1" t="s">
        <v>121</v>
      </c>
      <c r="AX63" s="1" t="s">
        <v>121</v>
      </c>
      <c r="AY63" s="1" t="s">
        <v>121</v>
      </c>
      <c r="AZ63" s="1" t="s">
        <v>121</v>
      </c>
      <c r="BA63" s="1" t="s">
        <v>121</v>
      </c>
      <c r="BB63" s="1" t="s">
        <v>121</v>
      </c>
      <c r="BC63" s="1" t="s">
        <v>121</v>
      </c>
      <c r="BD63" s="1" t="s">
        <v>121</v>
      </c>
      <c r="BE63" s="1" t="s">
        <v>121</v>
      </c>
      <c r="BF63" s="1" t="s">
        <v>121</v>
      </c>
      <c r="BG63" s="1" t="s">
        <v>121</v>
      </c>
      <c r="BH63" s="1" t="s">
        <v>121</v>
      </c>
      <c r="BI63" s="1" t="s">
        <v>121</v>
      </c>
      <c r="BJ63" s="1" t="s">
        <v>121</v>
      </c>
      <c r="BK63" s="1" t="s">
        <v>121</v>
      </c>
      <c r="BL63" s="1" t="s">
        <v>121</v>
      </c>
      <c r="BM63" s="1" t="s">
        <v>121</v>
      </c>
      <c r="BN63" s="1" t="s">
        <v>121</v>
      </c>
      <c r="BO63" s="1" t="s">
        <v>121</v>
      </c>
      <c r="BP63" s="1" t="s">
        <v>121</v>
      </c>
      <c r="BQ63" s="1" t="s">
        <v>121</v>
      </c>
    </row>
    <row r="64" spans="1:69" ht="15" customHeight="1" x14ac:dyDescent="0.25">
      <c r="A64" s="72">
        <v>64</v>
      </c>
      <c r="B64" s="217" t="s">
        <v>335</v>
      </c>
      <c r="C64" s="223" t="s">
        <v>121</v>
      </c>
      <c r="D64" s="216" t="s">
        <v>121</v>
      </c>
      <c r="E64" s="224" t="s">
        <v>121</v>
      </c>
      <c r="F64" s="244">
        <v>521698</v>
      </c>
      <c r="G64" s="244">
        <v>478422</v>
      </c>
      <c r="H64" s="244">
        <v>466410</v>
      </c>
      <c r="I64" s="244">
        <v>464395</v>
      </c>
      <c r="J64" s="244">
        <v>463359</v>
      </c>
      <c r="K64" s="244">
        <v>418453</v>
      </c>
      <c r="L64" s="244">
        <v>404882</v>
      </c>
      <c r="M64" s="244">
        <v>389783</v>
      </c>
      <c r="N64" s="244">
        <v>345077</v>
      </c>
      <c r="O64" s="244">
        <v>276931</v>
      </c>
      <c r="P64" s="244">
        <v>314757</v>
      </c>
      <c r="Q64" s="244">
        <v>259774</v>
      </c>
      <c r="R64" s="406"/>
      <c r="S64" s="406"/>
      <c r="T64" s="406"/>
      <c r="U64" s="244">
        <v>179427</v>
      </c>
      <c r="V64" s="244">
        <v>193088.64300000001</v>
      </c>
      <c r="W64" s="250">
        <v>176526.58300000001</v>
      </c>
      <c r="X64" s="250">
        <v>156752.19899999999</v>
      </c>
      <c r="Y64" s="250">
        <v>150081.93299999999</v>
      </c>
      <c r="Z64" s="250">
        <v>130852.52</v>
      </c>
      <c r="AA64" s="165">
        <v>93964.938999999998</v>
      </c>
      <c r="AB64" s="165">
        <v>105053.66499999999</v>
      </c>
      <c r="AC64" s="165">
        <v>94343.376000000004</v>
      </c>
      <c r="AD64" s="165">
        <v>85323.231</v>
      </c>
      <c r="AE64" s="165">
        <v>74608.004000000001</v>
      </c>
      <c r="AF64" s="165">
        <v>90348.680999999997</v>
      </c>
      <c r="AG64" s="165">
        <v>89831.91</v>
      </c>
      <c r="AH64" s="165">
        <v>67378.202999999994</v>
      </c>
      <c r="AI64" s="1">
        <v>56808.057999999997</v>
      </c>
      <c r="AJ64" s="1">
        <v>42992.9406921111</v>
      </c>
      <c r="AK64" s="1" t="s">
        <v>121</v>
      </c>
      <c r="AL64" s="1" t="s">
        <v>121</v>
      </c>
      <c r="AM64" s="1" t="s">
        <v>121</v>
      </c>
      <c r="AN64" s="1" t="s">
        <v>121</v>
      </c>
      <c r="AO64" s="1" t="s">
        <v>121</v>
      </c>
      <c r="AP64" s="1" t="s">
        <v>121</v>
      </c>
      <c r="AQ64" s="1" t="s">
        <v>121</v>
      </c>
      <c r="AR64" s="1" t="s">
        <v>121</v>
      </c>
      <c r="AS64" s="1" t="s">
        <v>121</v>
      </c>
      <c r="AT64" s="1" t="s">
        <v>121</v>
      </c>
      <c r="AU64" s="1" t="s">
        <v>121</v>
      </c>
      <c r="AV64" s="1" t="s">
        <v>121</v>
      </c>
      <c r="AW64" s="1" t="s">
        <v>121</v>
      </c>
      <c r="AX64" s="1" t="s">
        <v>121</v>
      </c>
      <c r="AY64" s="1" t="s">
        <v>121</v>
      </c>
      <c r="AZ64" s="1" t="s">
        <v>121</v>
      </c>
      <c r="BA64" s="1" t="s">
        <v>121</v>
      </c>
      <c r="BB64" s="1" t="s">
        <v>121</v>
      </c>
      <c r="BC64" s="1" t="s">
        <v>121</v>
      </c>
      <c r="BD64" s="1" t="s">
        <v>121</v>
      </c>
      <c r="BE64" s="1" t="s">
        <v>121</v>
      </c>
      <c r="BF64" s="1" t="s">
        <v>121</v>
      </c>
      <c r="BG64" s="1" t="s">
        <v>121</v>
      </c>
      <c r="BH64" s="1" t="s">
        <v>121</v>
      </c>
      <c r="BI64" s="1" t="s">
        <v>121</v>
      </c>
      <c r="BJ64" s="1" t="s">
        <v>121</v>
      </c>
      <c r="BK64" s="1" t="s">
        <v>121</v>
      </c>
      <c r="BL64" s="1" t="s">
        <v>121</v>
      </c>
      <c r="BM64" s="1" t="s">
        <v>121</v>
      </c>
      <c r="BN64" s="1" t="s">
        <v>121</v>
      </c>
      <c r="BO64" s="1" t="s">
        <v>121</v>
      </c>
      <c r="BP64" s="1" t="s">
        <v>121</v>
      </c>
      <c r="BQ64" s="1" t="s">
        <v>121</v>
      </c>
    </row>
    <row r="65" spans="1:69" ht="15" customHeight="1" x14ac:dyDescent="0.25">
      <c r="A65" s="72">
        <v>65</v>
      </c>
      <c r="B65" s="217" t="s">
        <v>336</v>
      </c>
      <c r="C65" s="223" t="s">
        <v>121</v>
      </c>
      <c r="D65" s="216" t="s">
        <v>121</v>
      </c>
      <c r="E65" s="224" t="s">
        <v>121</v>
      </c>
      <c r="F65" s="244">
        <v>167515</v>
      </c>
      <c r="G65" s="244">
        <v>120500</v>
      </c>
      <c r="H65" s="244">
        <v>60415</v>
      </c>
      <c r="I65" s="244">
        <v>56816</v>
      </c>
      <c r="J65" s="244">
        <v>68978</v>
      </c>
      <c r="K65" s="244">
        <v>94361</v>
      </c>
      <c r="L65" s="244">
        <v>95183</v>
      </c>
      <c r="M65" s="244">
        <v>87341</v>
      </c>
      <c r="N65" s="244">
        <v>101903</v>
      </c>
      <c r="O65" s="244">
        <v>89651</v>
      </c>
      <c r="P65" s="244">
        <v>80517</v>
      </c>
      <c r="Q65" s="244">
        <v>89243</v>
      </c>
      <c r="R65" s="406"/>
      <c r="S65" s="406"/>
      <c r="T65" s="406"/>
      <c r="U65" s="244">
        <v>116016</v>
      </c>
      <c r="V65" s="244">
        <v>105367.432</v>
      </c>
      <c r="W65" s="250">
        <v>114297.058</v>
      </c>
      <c r="X65" s="250">
        <v>104562.197</v>
      </c>
      <c r="Y65" s="250">
        <v>91167.921000000002</v>
      </c>
      <c r="Z65" s="250">
        <v>105644.42600000001</v>
      </c>
      <c r="AA65" s="165">
        <v>97414.404999999999</v>
      </c>
      <c r="AB65" s="165">
        <v>107042.883</v>
      </c>
      <c r="AC65" s="165">
        <v>95287.061000000002</v>
      </c>
      <c r="AD65" s="165">
        <v>90070.587</v>
      </c>
      <c r="AE65" s="165">
        <v>78302.922999999995</v>
      </c>
      <c r="AF65" s="165">
        <v>72391.369000000006</v>
      </c>
      <c r="AG65" s="165">
        <v>73991.343999999997</v>
      </c>
      <c r="AH65" s="165">
        <v>92997.25</v>
      </c>
      <c r="AI65" s="1">
        <v>87545.264999999999</v>
      </c>
      <c r="AJ65" s="1">
        <v>112525.838195875</v>
      </c>
      <c r="AK65" s="1" t="s">
        <v>121</v>
      </c>
      <c r="AL65" s="1" t="s">
        <v>121</v>
      </c>
      <c r="AM65" s="1" t="s">
        <v>121</v>
      </c>
      <c r="AN65" s="1" t="s">
        <v>121</v>
      </c>
      <c r="AO65" s="1" t="s">
        <v>121</v>
      </c>
      <c r="AP65" s="1" t="s">
        <v>121</v>
      </c>
      <c r="AQ65" s="1" t="s">
        <v>121</v>
      </c>
      <c r="AR65" s="1" t="s">
        <v>121</v>
      </c>
      <c r="AS65" s="1" t="s">
        <v>121</v>
      </c>
      <c r="AT65" s="1" t="s">
        <v>121</v>
      </c>
      <c r="AU65" s="1" t="s">
        <v>121</v>
      </c>
      <c r="AV65" s="1" t="s">
        <v>121</v>
      </c>
      <c r="AW65" s="1" t="s">
        <v>121</v>
      </c>
      <c r="AX65" s="1" t="s">
        <v>121</v>
      </c>
      <c r="AY65" s="1" t="s">
        <v>121</v>
      </c>
      <c r="AZ65" s="1" t="s">
        <v>121</v>
      </c>
      <c r="BA65" s="1" t="s">
        <v>121</v>
      </c>
      <c r="BB65" s="1" t="s">
        <v>121</v>
      </c>
      <c r="BC65" s="1" t="s">
        <v>121</v>
      </c>
      <c r="BD65" s="1" t="s">
        <v>121</v>
      </c>
      <c r="BE65" s="1" t="s">
        <v>121</v>
      </c>
      <c r="BF65" s="1" t="s">
        <v>121</v>
      </c>
      <c r="BG65" s="1" t="s">
        <v>121</v>
      </c>
      <c r="BH65" s="1" t="s">
        <v>121</v>
      </c>
      <c r="BI65" s="1" t="s">
        <v>121</v>
      </c>
      <c r="BJ65" s="1" t="s">
        <v>121</v>
      </c>
      <c r="BK65" s="1" t="s">
        <v>121</v>
      </c>
      <c r="BL65" s="1" t="s">
        <v>121</v>
      </c>
      <c r="BM65" s="1" t="s">
        <v>121</v>
      </c>
      <c r="BN65" s="1" t="s">
        <v>121</v>
      </c>
      <c r="BO65" s="1" t="s">
        <v>121</v>
      </c>
      <c r="BP65" s="1" t="s">
        <v>121</v>
      </c>
      <c r="BQ65" s="1" t="s">
        <v>121</v>
      </c>
    </row>
    <row r="66" spans="1:69" ht="15" customHeight="1" x14ac:dyDescent="0.25">
      <c r="A66" s="72">
        <v>66</v>
      </c>
      <c r="B66" s="217" t="s">
        <v>337</v>
      </c>
      <c r="C66" s="150" t="s">
        <v>121</v>
      </c>
      <c r="D66" s="164" t="s">
        <v>121</v>
      </c>
      <c r="E66" s="151" t="s">
        <v>121</v>
      </c>
      <c r="F66" s="244">
        <v>10008</v>
      </c>
      <c r="G66" s="244">
        <v>9670</v>
      </c>
      <c r="H66" s="244">
        <v>12263</v>
      </c>
      <c r="I66" s="244">
        <v>7758</v>
      </c>
      <c r="J66" s="244">
        <v>1033</v>
      </c>
      <c r="K66" s="244">
        <v>1030</v>
      </c>
      <c r="L66" s="244">
        <v>1012</v>
      </c>
      <c r="M66" s="244">
        <v>1097</v>
      </c>
      <c r="N66" s="244">
        <v>1222</v>
      </c>
      <c r="O66" s="244">
        <v>1355</v>
      </c>
      <c r="P66" s="244">
        <v>491</v>
      </c>
      <c r="Q66" s="244">
        <v>2970</v>
      </c>
      <c r="R66" s="406"/>
      <c r="S66" s="406"/>
      <c r="T66" s="406"/>
      <c r="U66" s="244">
        <v>11935</v>
      </c>
      <c r="V66" s="244">
        <v>16479.588</v>
      </c>
      <c r="W66" s="250">
        <v>20175.897000000001</v>
      </c>
      <c r="X66" s="250">
        <v>23899.975999999999</v>
      </c>
      <c r="Y66" s="250">
        <v>22156.987000000001</v>
      </c>
      <c r="Z66" s="250">
        <v>34886.436000000002</v>
      </c>
      <c r="AA66" s="165">
        <v>38953.81</v>
      </c>
      <c r="AB66" s="165">
        <v>39091.275000000001</v>
      </c>
      <c r="AC66" s="165">
        <v>33755.972999999998</v>
      </c>
      <c r="AD66" s="165">
        <v>33643.271000000001</v>
      </c>
      <c r="AE66" s="165">
        <v>30070.272000000001</v>
      </c>
      <c r="AF66" s="165">
        <v>33266.339</v>
      </c>
      <c r="AG66" s="165">
        <v>42668.271999999997</v>
      </c>
      <c r="AH66" s="165">
        <v>27776.754000000001</v>
      </c>
      <c r="AI66" s="1">
        <v>22738.966</v>
      </c>
      <c r="AJ66" s="1">
        <v>21769.737774626399</v>
      </c>
      <c r="AK66" s="1" t="s">
        <v>121</v>
      </c>
      <c r="AL66" s="1" t="s">
        <v>121</v>
      </c>
      <c r="AM66" s="1" t="s">
        <v>121</v>
      </c>
      <c r="AN66" s="1" t="s">
        <v>121</v>
      </c>
      <c r="AO66" s="1" t="s">
        <v>121</v>
      </c>
      <c r="AP66" s="1" t="s">
        <v>121</v>
      </c>
      <c r="AQ66" s="1" t="s">
        <v>121</v>
      </c>
      <c r="AR66" s="1" t="s">
        <v>121</v>
      </c>
      <c r="AS66" s="1" t="s">
        <v>121</v>
      </c>
      <c r="AT66" s="1" t="s">
        <v>121</v>
      </c>
      <c r="AU66" s="1" t="s">
        <v>121</v>
      </c>
      <c r="AV66" s="1" t="s">
        <v>121</v>
      </c>
      <c r="AW66" s="1" t="s">
        <v>121</v>
      </c>
      <c r="AX66" s="1" t="s">
        <v>121</v>
      </c>
      <c r="AY66" s="1" t="s">
        <v>121</v>
      </c>
      <c r="AZ66" s="1" t="s">
        <v>121</v>
      </c>
      <c r="BA66" s="1" t="s">
        <v>121</v>
      </c>
      <c r="BB66" s="1" t="s">
        <v>121</v>
      </c>
      <c r="BC66" s="1" t="s">
        <v>121</v>
      </c>
      <c r="BD66" s="1" t="s">
        <v>121</v>
      </c>
      <c r="BE66" s="1" t="s">
        <v>121</v>
      </c>
      <c r="BF66" s="1" t="s">
        <v>121</v>
      </c>
      <c r="BG66" s="1" t="s">
        <v>121</v>
      </c>
      <c r="BH66" s="1" t="s">
        <v>121</v>
      </c>
      <c r="BI66" s="1" t="s">
        <v>121</v>
      </c>
      <c r="BJ66" s="1" t="s">
        <v>121</v>
      </c>
      <c r="BK66" s="1" t="s">
        <v>121</v>
      </c>
      <c r="BL66" s="1" t="s">
        <v>121</v>
      </c>
      <c r="BM66" s="1" t="s">
        <v>121</v>
      </c>
      <c r="BN66" s="1" t="s">
        <v>121</v>
      </c>
      <c r="BO66" s="1" t="s">
        <v>121</v>
      </c>
      <c r="BP66" s="1" t="s">
        <v>121</v>
      </c>
      <c r="BQ66" s="1" t="s">
        <v>121</v>
      </c>
    </row>
    <row r="67" spans="1:69" ht="15" customHeight="1" x14ac:dyDescent="0.25">
      <c r="A67" s="72">
        <v>67</v>
      </c>
      <c r="B67" s="217" t="s">
        <v>338</v>
      </c>
      <c r="C67" s="150" t="s">
        <v>121</v>
      </c>
      <c r="D67" s="164" t="s">
        <v>121</v>
      </c>
      <c r="E67" s="151" t="s">
        <v>121</v>
      </c>
      <c r="F67" s="244" t="s">
        <v>121</v>
      </c>
      <c r="G67" s="244" t="s">
        <v>121</v>
      </c>
      <c r="H67" s="244" t="s">
        <v>121</v>
      </c>
      <c r="I67" s="244" t="s">
        <v>121</v>
      </c>
      <c r="J67" s="244" t="s">
        <v>121</v>
      </c>
      <c r="K67" s="244" t="s">
        <v>121</v>
      </c>
      <c r="L67" s="244" t="s">
        <v>121</v>
      </c>
      <c r="M67" s="244" t="s">
        <v>121</v>
      </c>
      <c r="N67" s="244" t="s">
        <v>121</v>
      </c>
      <c r="O67" s="244" t="s">
        <v>121</v>
      </c>
      <c r="P67" s="244" t="s">
        <v>121</v>
      </c>
      <c r="Q67" s="244" t="s">
        <v>121</v>
      </c>
      <c r="R67" s="406"/>
      <c r="S67" s="406"/>
      <c r="T67" s="406"/>
      <c r="U67" s="244" t="s">
        <v>121</v>
      </c>
      <c r="V67" s="244" t="s">
        <v>121</v>
      </c>
      <c r="W67" s="250" t="s">
        <v>121</v>
      </c>
      <c r="X67" s="250" t="s">
        <v>121</v>
      </c>
      <c r="Y67" s="250" t="s">
        <v>121</v>
      </c>
      <c r="Z67" s="250" t="s">
        <v>121</v>
      </c>
      <c r="AA67" s="165" t="s">
        <v>121</v>
      </c>
      <c r="AB67" s="165" t="s">
        <v>121</v>
      </c>
      <c r="AC67" s="165" t="s">
        <v>121</v>
      </c>
      <c r="AD67" s="165" t="s">
        <v>121</v>
      </c>
      <c r="AE67" s="165" t="s">
        <v>121</v>
      </c>
      <c r="AF67" s="165" t="s">
        <v>121</v>
      </c>
      <c r="AG67" s="165" t="s">
        <v>121</v>
      </c>
      <c r="AH67" s="165">
        <v>18545.731</v>
      </c>
      <c r="AI67" s="1">
        <v>15647.134</v>
      </c>
      <c r="AJ67" s="1">
        <v>10634.4053179128</v>
      </c>
      <c r="AK67" s="1" t="s">
        <v>121</v>
      </c>
      <c r="AL67" s="1" t="s">
        <v>121</v>
      </c>
      <c r="AM67" s="1" t="s">
        <v>121</v>
      </c>
      <c r="AN67" s="1" t="s">
        <v>121</v>
      </c>
      <c r="AO67" s="1" t="s">
        <v>121</v>
      </c>
      <c r="AP67" s="1" t="s">
        <v>121</v>
      </c>
      <c r="AQ67" s="1" t="s">
        <v>121</v>
      </c>
      <c r="AR67" s="1" t="s">
        <v>121</v>
      </c>
      <c r="AS67" s="1" t="s">
        <v>121</v>
      </c>
      <c r="AT67" s="1" t="s">
        <v>121</v>
      </c>
      <c r="AU67" s="1" t="s">
        <v>121</v>
      </c>
      <c r="AV67" s="1" t="s">
        <v>121</v>
      </c>
      <c r="AW67" s="1" t="s">
        <v>121</v>
      </c>
      <c r="AX67" s="1" t="s">
        <v>121</v>
      </c>
      <c r="AY67" s="1" t="s">
        <v>121</v>
      </c>
      <c r="AZ67" s="1" t="s">
        <v>121</v>
      </c>
      <c r="BA67" s="1" t="s">
        <v>121</v>
      </c>
      <c r="BB67" s="1" t="s">
        <v>121</v>
      </c>
      <c r="BC67" s="1" t="s">
        <v>121</v>
      </c>
      <c r="BD67" s="1" t="s">
        <v>121</v>
      </c>
      <c r="BE67" s="1" t="s">
        <v>121</v>
      </c>
      <c r="BF67" s="1" t="s">
        <v>121</v>
      </c>
      <c r="BG67" s="1" t="s">
        <v>121</v>
      </c>
      <c r="BH67" s="1" t="s">
        <v>121</v>
      </c>
      <c r="BI67" s="1" t="s">
        <v>121</v>
      </c>
      <c r="BJ67" s="1" t="s">
        <v>121</v>
      </c>
      <c r="BK67" s="1" t="s">
        <v>121</v>
      </c>
      <c r="BL67" s="1" t="s">
        <v>121</v>
      </c>
      <c r="BM67" s="1" t="s">
        <v>121</v>
      </c>
      <c r="BN67" s="1" t="s">
        <v>121</v>
      </c>
      <c r="BO67" s="1" t="s">
        <v>121</v>
      </c>
      <c r="BP67" s="1" t="s">
        <v>121</v>
      </c>
      <c r="BQ67" s="1" t="s">
        <v>121</v>
      </c>
    </row>
    <row r="68" spans="1:69" ht="15" customHeight="1" x14ac:dyDescent="0.25">
      <c r="A68" s="72">
        <v>68</v>
      </c>
      <c r="B68" s="217" t="s">
        <v>339</v>
      </c>
      <c r="C68" s="150" t="s">
        <v>121</v>
      </c>
      <c r="D68" s="164" t="s">
        <v>121</v>
      </c>
      <c r="E68" s="151" t="s">
        <v>121</v>
      </c>
      <c r="F68" s="244" t="s">
        <v>121</v>
      </c>
      <c r="G68" s="244" t="s">
        <v>121</v>
      </c>
      <c r="H68" s="244" t="s">
        <v>121</v>
      </c>
      <c r="I68" s="244" t="s">
        <v>121</v>
      </c>
      <c r="J68" s="244" t="s">
        <v>121</v>
      </c>
      <c r="K68" s="244" t="s">
        <v>121</v>
      </c>
      <c r="L68" s="244" t="s">
        <v>121</v>
      </c>
      <c r="M68" s="244" t="s">
        <v>121</v>
      </c>
      <c r="N68" s="244" t="s">
        <v>121</v>
      </c>
      <c r="O68" s="244" t="s">
        <v>121</v>
      </c>
      <c r="P68" s="244" t="s">
        <v>121</v>
      </c>
      <c r="Q68" s="244" t="s">
        <v>121</v>
      </c>
      <c r="R68" s="406"/>
      <c r="S68" s="406"/>
      <c r="T68" s="406"/>
      <c r="U68" s="244" t="s">
        <v>121</v>
      </c>
      <c r="V68" s="244" t="s">
        <v>121</v>
      </c>
      <c r="W68" s="250" t="s">
        <v>121</v>
      </c>
      <c r="X68" s="250" t="s">
        <v>121</v>
      </c>
      <c r="Y68" s="250" t="s">
        <v>121</v>
      </c>
      <c r="Z68" s="250" t="s">
        <v>121</v>
      </c>
      <c r="AA68" s="165" t="s">
        <v>121</v>
      </c>
      <c r="AB68" s="165" t="s">
        <v>121</v>
      </c>
      <c r="AC68" s="165" t="s">
        <v>121</v>
      </c>
      <c r="AD68" s="165" t="s">
        <v>121</v>
      </c>
      <c r="AE68" s="165" t="s">
        <v>121</v>
      </c>
      <c r="AF68" s="165" t="s">
        <v>121</v>
      </c>
      <c r="AG68" s="165" t="s">
        <v>121</v>
      </c>
      <c r="AH68" s="165" t="s">
        <v>121</v>
      </c>
      <c r="AI68" s="1" t="s">
        <v>121</v>
      </c>
      <c r="AJ68" s="1">
        <v>81.152552986720806</v>
      </c>
      <c r="AK68" s="1" t="s">
        <v>121</v>
      </c>
      <c r="AL68" s="1" t="s">
        <v>121</v>
      </c>
      <c r="AM68" s="1" t="s">
        <v>121</v>
      </c>
      <c r="AN68" s="1" t="s">
        <v>121</v>
      </c>
      <c r="AO68" s="1" t="s">
        <v>121</v>
      </c>
      <c r="AP68" s="1" t="s">
        <v>121</v>
      </c>
      <c r="AQ68" s="1" t="s">
        <v>121</v>
      </c>
      <c r="AR68" s="1" t="s">
        <v>121</v>
      </c>
      <c r="AS68" s="1" t="s">
        <v>121</v>
      </c>
      <c r="AT68" s="1" t="s">
        <v>121</v>
      </c>
      <c r="AU68" s="1" t="s">
        <v>121</v>
      </c>
      <c r="AV68" s="1" t="s">
        <v>121</v>
      </c>
      <c r="AW68" s="1" t="s">
        <v>121</v>
      </c>
      <c r="AX68" s="1" t="s">
        <v>121</v>
      </c>
      <c r="AY68" s="1" t="s">
        <v>121</v>
      </c>
      <c r="AZ68" s="1" t="s">
        <v>121</v>
      </c>
      <c r="BA68" s="1" t="s">
        <v>121</v>
      </c>
      <c r="BB68" s="1" t="s">
        <v>121</v>
      </c>
      <c r="BC68" s="1" t="s">
        <v>121</v>
      </c>
      <c r="BD68" s="1" t="s">
        <v>121</v>
      </c>
      <c r="BE68" s="1" t="s">
        <v>121</v>
      </c>
      <c r="BF68" s="1" t="s">
        <v>121</v>
      </c>
      <c r="BG68" s="1" t="s">
        <v>121</v>
      </c>
      <c r="BH68" s="1" t="s">
        <v>121</v>
      </c>
      <c r="BI68" s="1" t="s">
        <v>121</v>
      </c>
      <c r="BJ68" s="1" t="s">
        <v>121</v>
      </c>
      <c r="BK68" s="1" t="s">
        <v>121</v>
      </c>
      <c r="BL68" s="1" t="s">
        <v>121</v>
      </c>
      <c r="BM68" s="1" t="s">
        <v>121</v>
      </c>
      <c r="BN68" s="1" t="s">
        <v>121</v>
      </c>
      <c r="BO68" s="1" t="s">
        <v>121</v>
      </c>
      <c r="BP68" s="1" t="s">
        <v>121</v>
      </c>
      <c r="BQ68" s="1" t="s">
        <v>121</v>
      </c>
    </row>
    <row r="69" spans="1:69" ht="15" customHeight="1" x14ac:dyDescent="0.25">
      <c r="A69" s="72">
        <v>69</v>
      </c>
      <c r="B69" s="230" t="s">
        <v>340</v>
      </c>
      <c r="C69" s="150" t="s">
        <v>121</v>
      </c>
      <c r="D69" s="164" t="s">
        <v>121</v>
      </c>
      <c r="E69" s="151" t="s">
        <v>121</v>
      </c>
      <c r="F69" s="312">
        <v>699221</v>
      </c>
      <c r="G69" s="312">
        <v>608592</v>
      </c>
      <c r="H69" s="312">
        <v>539088</v>
      </c>
      <c r="I69" s="312">
        <v>528969</v>
      </c>
      <c r="J69" s="312">
        <v>533370</v>
      </c>
      <c r="K69" s="312">
        <v>513844</v>
      </c>
      <c r="L69" s="312">
        <v>501077</v>
      </c>
      <c r="M69" s="312">
        <v>478221</v>
      </c>
      <c r="N69" s="312">
        <v>448202</v>
      </c>
      <c r="O69" s="312">
        <v>367937</v>
      </c>
      <c r="P69" s="312">
        <v>395765</v>
      </c>
      <c r="Q69" s="312">
        <v>351987</v>
      </c>
      <c r="R69" s="406"/>
      <c r="S69" s="406"/>
      <c r="T69" s="406"/>
      <c r="U69" s="312">
        <v>307378</v>
      </c>
      <c r="V69" s="312">
        <v>314935.663</v>
      </c>
      <c r="W69" s="294">
        <v>310999.538</v>
      </c>
      <c r="X69" s="294">
        <v>285214.37200000003</v>
      </c>
      <c r="Y69" s="294">
        <v>263406.84100000001</v>
      </c>
      <c r="Z69" s="294">
        <v>271383.38199999998</v>
      </c>
      <c r="AA69" s="212">
        <v>230333.15399999998</v>
      </c>
      <c r="AB69" s="212">
        <v>251187.823</v>
      </c>
      <c r="AC69" s="212">
        <v>223386.41</v>
      </c>
      <c r="AD69" s="212">
        <v>209037.08900000001</v>
      </c>
      <c r="AE69" s="212">
        <v>182981.19899999999</v>
      </c>
      <c r="AF69" s="212">
        <v>196006.389</v>
      </c>
      <c r="AG69" s="212">
        <v>206491.52600000001</v>
      </c>
      <c r="AH69" s="212">
        <v>206697.93799999999</v>
      </c>
      <c r="AI69" s="1">
        <v>182739.42299999998</v>
      </c>
      <c r="AJ69" s="1">
        <v>188004.07453351203</v>
      </c>
      <c r="AK69" s="1" t="s">
        <v>121</v>
      </c>
      <c r="AL69" s="1" t="s">
        <v>121</v>
      </c>
      <c r="AM69" s="1" t="s">
        <v>121</v>
      </c>
      <c r="AN69" s="1" t="s">
        <v>121</v>
      </c>
      <c r="AO69" s="1" t="s">
        <v>121</v>
      </c>
      <c r="AP69" s="1" t="s">
        <v>121</v>
      </c>
      <c r="AQ69" s="1" t="s">
        <v>121</v>
      </c>
      <c r="AR69" s="1" t="s">
        <v>121</v>
      </c>
      <c r="AS69" s="1" t="s">
        <v>121</v>
      </c>
      <c r="AT69" s="1" t="s">
        <v>121</v>
      </c>
      <c r="AU69" s="1" t="s">
        <v>121</v>
      </c>
      <c r="AV69" s="1" t="s">
        <v>121</v>
      </c>
      <c r="AW69" s="1" t="s">
        <v>121</v>
      </c>
      <c r="AX69" s="1" t="s">
        <v>121</v>
      </c>
      <c r="AY69" s="1" t="s">
        <v>121</v>
      </c>
      <c r="AZ69" s="1" t="s">
        <v>121</v>
      </c>
      <c r="BA69" s="1" t="s">
        <v>121</v>
      </c>
      <c r="BB69" s="1" t="s">
        <v>121</v>
      </c>
      <c r="BC69" s="1" t="s">
        <v>121</v>
      </c>
      <c r="BD69" s="1" t="s">
        <v>121</v>
      </c>
      <c r="BE69" s="1" t="s">
        <v>121</v>
      </c>
      <c r="BF69" s="1" t="s">
        <v>121</v>
      </c>
      <c r="BG69" s="1" t="s">
        <v>121</v>
      </c>
      <c r="BH69" s="1" t="s">
        <v>121</v>
      </c>
      <c r="BI69" s="1" t="s">
        <v>121</v>
      </c>
      <c r="BJ69" s="1" t="s">
        <v>121</v>
      </c>
      <c r="BK69" s="1" t="s">
        <v>121</v>
      </c>
      <c r="BL69" s="1" t="s">
        <v>121</v>
      </c>
      <c r="BM69" s="1" t="s">
        <v>121</v>
      </c>
      <c r="BN69" s="1" t="s">
        <v>121</v>
      </c>
      <c r="BO69" s="1" t="s">
        <v>121</v>
      </c>
      <c r="BP69" s="1" t="s">
        <v>121</v>
      </c>
      <c r="BQ69" s="1" t="s">
        <v>121</v>
      </c>
    </row>
    <row r="70" spans="1:69" ht="15" customHeight="1" x14ac:dyDescent="0.25">
      <c r="A70" s="72">
        <v>70</v>
      </c>
      <c r="B70" s="231" t="s">
        <v>14</v>
      </c>
      <c r="C70" s="150" t="s">
        <v>121</v>
      </c>
      <c r="D70" s="164" t="s">
        <v>121</v>
      </c>
      <c r="E70" s="151" t="s">
        <v>121</v>
      </c>
      <c r="F70" s="244">
        <v>-2977</v>
      </c>
      <c r="G70" s="244">
        <v>-3371</v>
      </c>
      <c r="H70" s="244">
        <v>-3264</v>
      </c>
      <c r="I70" s="244">
        <v>-3330</v>
      </c>
      <c r="J70" s="244">
        <v>-2548</v>
      </c>
      <c r="K70" s="244">
        <v>-2897</v>
      </c>
      <c r="L70" s="244">
        <v>-2728</v>
      </c>
      <c r="M70" s="244">
        <v>-2946</v>
      </c>
      <c r="N70" s="244">
        <v>-2998</v>
      </c>
      <c r="O70" s="244">
        <v>-2645</v>
      </c>
      <c r="P70" s="244">
        <v>-2668</v>
      </c>
      <c r="Q70" s="244">
        <v>-3139</v>
      </c>
      <c r="R70" s="406"/>
      <c r="S70" s="406"/>
      <c r="T70" s="406"/>
      <c r="U70" s="244">
        <v>-1707</v>
      </c>
      <c r="V70" s="244">
        <v>-2655.92</v>
      </c>
      <c r="W70" s="250">
        <v>-3659.42</v>
      </c>
      <c r="X70" s="250">
        <v>-3326.598</v>
      </c>
      <c r="Y70" s="250">
        <v>-4703.2209999999995</v>
      </c>
      <c r="Z70" s="250">
        <v>-4784.3459999999995</v>
      </c>
      <c r="AA70" s="165">
        <v>-3735.3490000000002</v>
      </c>
      <c r="AB70" s="165">
        <v>-3583.9090000000001</v>
      </c>
      <c r="AC70" s="165">
        <v>-2543.8440000000001</v>
      </c>
      <c r="AD70" s="165">
        <v>-3714.1410000000001</v>
      </c>
      <c r="AE70" s="165">
        <v>-3042.9369999999999</v>
      </c>
      <c r="AF70" s="165">
        <v>-3390.6149999999998</v>
      </c>
      <c r="AG70" s="165">
        <v>-4369.8549999999996</v>
      </c>
      <c r="AH70" s="165">
        <v>-5483.223</v>
      </c>
      <c r="AI70" s="1">
        <v>-4882.5649999999996</v>
      </c>
      <c r="AJ70" s="1">
        <v>-5199.2280000000001</v>
      </c>
      <c r="AK70" s="1" t="s">
        <v>121</v>
      </c>
      <c r="AL70" s="1" t="s">
        <v>121</v>
      </c>
      <c r="AM70" s="1" t="s">
        <v>121</v>
      </c>
      <c r="AN70" s="1" t="s">
        <v>121</v>
      </c>
      <c r="AO70" s="1" t="s">
        <v>121</v>
      </c>
      <c r="AP70" s="1" t="s">
        <v>121</v>
      </c>
      <c r="AQ70" s="1" t="s">
        <v>121</v>
      </c>
      <c r="AR70" s="1" t="s">
        <v>121</v>
      </c>
      <c r="AS70" s="1" t="s">
        <v>121</v>
      </c>
      <c r="AT70" s="1" t="s">
        <v>121</v>
      </c>
      <c r="AU70" s="1" t="s">
        <v>121</v>
      </c>
      <c r="AV70" s="1" t="s">
        <v>121</v>
      </c>
      <c r="AW70" s="1" t="s">
        <v>121</v>
      </c>
      <c r="AX70" s="1" t="s">
        <v>121</v>
      </c>
      <c r="AY70" s="1" t="s">
        <v>121</v>
      </c>
      <c r="AZ70" s="1" t="s">
        <v>121</v>
      </c>
      <c r="BA70" s="1" t="s">
        <v>121</v>
      </c>
      <c r="BB70" s="1" t="s">
        <v>121</v>
      </c>
      <c r="BC70" s="1" t="s">
        <v>121</v>
      </c>
      <c r="BD70" s="1" t="s">
        <v>121</v>
      </c>
      <c r="BE70" s="1" t="s">
        <v>121</v>
      </c>
      <c r="BF70" s="1" t="s">
        <v>121</v>
      </c>
      <c r="BG70" s="1" t="s">
        <v>121</v>
      </c>
      <c r="BH70" s="1" t="s">
        <v>121</v>
      </c>
      <c r="BI70" s="1" t="s">
        <v>121</v>
      </c>
      <c r="BJ70" s="1" t="s">
        <v>121</v>
      </c>
      <c r="BK70" s="1" t="s">
        <v>121</v>
      </c>
      <c r="BL70" s="1" t="s">
        <v>121</v>
      </c>
      <c r="BM70" s="1" t="s">
        <v>121</v>
      </c>
      <c r="BN70" s="1" t="s">
        <v>121</v>
      </c>
      <c r="BO70" s="1" t="s">
        <v>121</v>
      </c>
      <c r="BP70" s="1" t="s">
        <v>121</v>
      </c>
      <c r="BQ70" s="1" t="s">
        <v>121</v>
      </c>
    </row>
    <row r="71" spans="1:69" ht="21" customHeight="1" x14ac:dyDescent="0.25">
      <c r="A71" s="72">
        <v>71</v>
      </c>
      <c r="B71" s="230" t="s">
        <v>341</v>
      </c>
      <c r="C71" s="150" t="s">
        <v>121</v>
      </c>
      <c r="D71" s="164" t="s">
        <v>121</v>
      </c>
      <c r="E71" s="151" t="s">
        <v>121</v>
      </c>
      <c r="F71" s="312">
        <v>696244</v>
      </c>
      <c r="G71" s="312">
        <v>605221</v>
      </c>
      <c r="H71" s="312">
        <v>535824</v>
      </c>
      <c r="I71" s="312">
        <v>525639</v>
      </c>
      <c r="J71" s="312">
        <v>530822</v>
      </c>
      <c r="K71" s="312">
        <v>510947</v>
      </c>
      <c r="L71" s="312">
        <v>498349</v>
      </c>
      <c r="M71" s="312">
        <v>475275</v>
      </c>
      <c r="N71" s="312">
        <v>445204</v>
      </c>
      <c r="O71" s="312">
        <v>365292</v>
      </c>
      <c r="P71" s="312">
        <v>393097</v>
      </c>
      <c r="Q71" s="312">
        <v>348848</v>
      </c>
      <c r="R71" s="406"/>
      <c r="S71" s="406"/>
      <c r="T71" s="406"/>
      <c r="U71" s="312">
        <v>305671</v>
      </c>
      <c r="V71" s="312">
        <v>312279.74300000002</v>
      </c>
      <c r="W71" s="294">
        <v>307340.11800000002</v>
      </c>
      <c r="X71" s="294">
        <v>281887.77400000003</v>
      </c>
      <c r="Y71" s="294">
        <v>258703.62000000002</v>
      </c>
      <c r="Z71" s="294">
        <v>266599.03599999996</v>
      </c>
      <c r="AA71" s="212">
        <v>226597.80499999999</v>
      </c>
      <c r="AB71" s="212">
        <v>247603.91399999999</v>
      </c>
      <c r="AC71" s="212">
        <v>220842.56599999999</v>
      </c>
      <c r="AD71" s="212">
        <v>205322.948</v>
      </c>
      <c r="AE71" s="212">
        <v>179938.26199999999</v>
      </c>
      <c r="AF71" s="212">
        <v>192615.774</v>
      </c>
      <c r="AG71" s="212">
        <v>202121.671</v>
      </c>
      <c r="AH71" s="212">
        <v>201214.715</v>
      </c>
      <c r="AI71" s="1">
        <v>177856.85799999998</v>
      </c>
      <c r="AJ71" s="1">
        <v>182804.84653351203</v>
      </c>
      <c r="AK71" s="1" t="s">
        <v>121</v>
      </c>
      <c r="AL71" s="1" t="s">
        <v>121</v>
      </c>
      <c r="AM71" s="1" t="s">
        <v>121</v>
      </c>
      <c r="AN71" s="1" t="s">
        <v>121</v>
      </c>
      <c r="AO71" s="1" t="s">
        <v>121</v>
      </c>
      <c r="AP71" s="1" t="s">
        <v>121</v>
      </c>
      <c r="AQ71" s="1" t="s">
        <v>121</v>
      </c>
      <c r="AR71" s="1" t="s">
        <v>121</v>
      </c>
      <c r="AS71" s="1" t="s">
        <v>121</v>
      </c>
      <c r="AT71" s="1" t="s">
        <v>121</v>
      </c>
      <c r="AU71" s="1" t="s">
        <v>121</v>
      </c>
      <c r="AV71" s="1" t="s">
        <v>121</v>
      </c>
      <c r="AW71" s="1" t="s">
        <v>121</v>
      </c>
      <c r="AX71" s="1" t="s">
        <v>121</v>
      </c>
      <c r="AY71" s="1" t="s">
        <v>121</v>
      </c>
      <c r="AZ71" s="1" t="s">
        <v>121</v>
      </c>
      <c r="BA71" s="1" t="s">
        <v>121</v>
      </c>
      <c r="BB71" s="1" t="s">
        <v>121</v>
      </c>
      <c r="BC71" s="1" t="s">
        <v>121</v>
      </c>
      <c r="BD71" s="1" t="s">
        <v>121</v>
      </c>
      <c r="BE71" s="1" t="s">
        <v>121</v>
      </c>
      <c r="BF71" s="1" t="s">
        <v>121</v>
      </c>
      <c r="BG71" s="1" t="s">
        <v>121</v>
      </c>
      <c r="BH71" s="1" t="s">
        <v>121</v>
      </c>
      <c r="BI71" s="1" t="s">
        <v>121</v>
      </c>
      <c r="BJ71" s="1" t="s">
        <v>121</v>
      </c>
      <c r="BK71" s="1" t="s">
        <v>121</v>
      </c>
      <c r="BL71" s="1" t="s">
        <v>121</v>
      </c>
      <c r="BM71" s="1" t="s">
        <v>121</v>
      </c>
      <c r="BN71" s="1" t="s">
        <v>121</v>
      </c>
      <c r="BO71" s="1" t="s">
        <v>121</v>
      </c>
      <c r="BP71" s="1" t="s">
        <v>121</v>
      </c>
      <c r="BQ71" s="1" t="s">
        <v>121</v>
      </c>
    </row>
    <row r="72" spans="1:69" ht="21" customHeight="1" x14ac:dyDescent="0.25">
      <c r="A72" s="72">
        <v>72</v>
      </c>
      <c r="B72" s="232" t="s">
        <v>342</v>
      </c>
      <c r="C72" s="150" t="s">
        <v>121</v>
      </c>
      <c r="D72" s="164" t="s">
        <v>121</v>
      </c>
      <c r="E72" s="151" t="s">
        <v>121</v>
      </c>
      <c r="F72" s="326" t="s">
        <v>121</v>
      </c>
      <c r="G72" s="326" t="s">
        <v>121</v>
      </c>
      <c r="H72" s="326" t="s">
        <v>121</v>
      </c>
      <c r="I72" s="326" t="s">
        <v>121</v>
      </c>
      <c r="J72" s="326" t="s">
        <v>121</v>
      </c>
      <c r="K72" s="326" t="s">
        <v>121</v>
      </c>
      <c r="L72" s="326" t="s">
        <v>121</v>
      </c>
      <c r="M72" s="326" t="s">
        <v>121</v>
      </c>
      <c r="N72" s="326" t="s">
        <v>121</v>
      </c>
      <c r="O72" s="326" t="s">
        <v>121</v>
      </c>
      <c r="P72" s="326" t="s">
        <v>121</v>
      </c>
      <c r="Q72" s="326" t="s">
        <v>121</v>
      </c>
      <c r="R72" s="406"/>
      <c r="S72" s="406"/>
      <c r="T72" s="406"/>
      <c r="U72" s="326" t="s">
        <v>121</v>
      </c>
      <c r="V72" s="326" t="s">
        <v>121</v>
      </c>
      <c r="W72" s="275" t="s">
        <v>121</v>
      </c>
      <c r="X72" s="275" t="s">
        <v>121</v>
      </c>
      <c r="Y72" s="275" t="s">
        <v>121</v>
      </c>
      <c r="Z72" s="275" t="s">
        <v>121</v>
      </c>
      <c r="AA72" s="164" t="s">
        <v>121</v>
      </c>
      <c r="AB72" s="164" t="s">
        <v>121</v>
      </c>
      <c r="AC72" s="164" t="s">
        <v>121</v>
      </c>
      <c r="AD72" s="164" t="s">
        <v>121</v>
      </c>
      <c r="AE72" s="164" t="s">
        <v>121</v>
      </c>
      <c r="AF72" s="164" t="s">
        <v>121</v>
      </c>
      <c r="AG72" s="164" t="s">
        <v>121</v>
      </c>
      <c r="AH72" s="165" t="s">
        <v>121</v>
      </c>
      <c r="AI72" s="1" t="s">
        <v>121</v>
      </c>
      <c r="AJ72" s="1" t="s">
        <v>121</v>
      </c>
      <c r="AK72" s="1" t="s">
        <v>121</v>
      </c>
      <c r="AL72" s="1" t="s">
        <v>121</v>
      </c>
      <c r="AM72" s="1" t="s">
        <v>121</v>
      </c>
      <c r="AN72" s="1" t="s">
        <v>121</v>
      </c>
      <c r="AO72" s="1" t="s">
        <v>121</v>
      </c>
      <c r="AP72" s="1" t="s">
        <v>121</v>
      </c>
      <c r="AQ72" s="1" t="s">
        <v>121</v>
      </c>
      <c r="AR72" s="1" t="s">
        <v>121</v>
      </c>
      <c r="AS72" s="1" t="s">
        <v>121</v>
      </c>
      <c r="AT72" s="1" t="s">
        <v>121</v>
      </c>
      <c r="AU72" s="1" t="s">
        <v>121</v>
      </c>
      <c r="AV72" s="1" t="s">
        <v>121</v>
      </c>
      <c r="AW72" s="1" t="s">
        <v>121</v>
      </c>
      <c r="AX72" s="1" t="s">
        <v>121</v>
      </c>
      <c r="AY72" s="1" t="s">
        <v>121</v>
      </c>
      <c r="AZ72" s="1" t="s">
        <v>121</v>
      </c>
      <c r="BA72" s="1" t="s">
        <v>121</v>
      </c>
      <c r="BB72" s="1" t="s">
        <v>121</v>
      </c>
      <c r="BC72" s="1" t="s">
        <v>121</v>
      </c>
      <c r="BD72" s="1" t="s">
        <v>121</v>
      </c>
      <c r="BE72" s="1" t="s">
        <v>121</v>
      </c>
      <c r="BF72" s="1" t="s">
        <v>121</v>
      </c>
      <c r="BG72" s="1" t="s">
        <v>121</v>
      </c>
      <c r="BH72" s="1" t="s">
        <v>121</v>
      </c>
      <c r="BI72" s="1" t="s">
        <v>121</v>
      </c>
      <c r="BJ72" s="1" t="s">
        <v>121</v>
      </c>
      <c r="BK72" s="1" t="s">
        <v>121</v>
      </c>
      <c r="BL72" s="1" t="s">
        <v>121</v>
      </c>
      <c r="BM72" s="1" t="s">
        <v>121</v>
      </c>
      <c r="BN72" s="1" t="s">
        <v>121</v>
      </c>
      <c r="BO72" s="1" t="s">
        <v>121</v>
      </c>
      <c r="BP72" s="1" t="s">
        <v>121</v>
      </c>
      <c r="BQ72" s="1" t="s">
        <v>121</v>
      </c>
    </row>
    <row r="73" spans="1:69" ht="15" customHeight="1" x14ac:dyDescent="0.25">
      <c r="A73" s="72">
        <v>73</v>
      </c>
      <c r="B73" s="217" t="s">
        <v>335</v>
      </c>
      <c r="C73" s="150" t="s">
        <v>121</v>
      </c>
      <c r="D73" s="164" t="s">
        <v>121</v>
      </c>
      <c r="E73" s="151" t="s">
        <v>121</v>
      </c>
      <c r="F73" s="244">
        <v>1178</v>
      </c>
      <c r="G73" s="244" t="s">
        <v>121</v>
      </c>
      <c r="H73" s="244">
        <v>85</v>
      </c>
      <c r="I73" s="244">
        <v>73</v>
      </c>
      <c r="J73" s="244">
        <v>87</v>
      </c>
      <c r="K73" s="244">
        <v>27</v>
      </c>
      <c r="L73" s="244" t="s">
        <v>121</v>
      </c>
      <c r="M73" s="244">
        <v>27</v>
      </c>
      <c r="N73" s="244" t="s">
        <v>121</v>
      </c>
      <c r="O73" s="244" t="s">
        <v>121</v>
      </c>
      <c r="P73" s="244">
        <v>179</v>
      </c>
      <c r="Q73" s="244">
        <v>250</v>
      </c>
      <c r="R73" s="406"/>
      <c r="S73" s="406"/>
      <c r="T73" s="406"/>
      <c r="U73" s="244" t="s">
        <v>121</v>
      </c>
      <c r="V73" s="244">
        <v>1.03</v>
      </c>
      <c r="W73" s="250">
        <v>33.326999999999998</v>
      </c>
      <c r="X73" s="250">
        <v>979.09900000000005</v>
      </c>
      <c r="Y73" s="250">
        <v>988.68399999999997</v>
      </c>
      <c r="Z73" s="250">
        <v>105.782</v>
      </c>
      <c r="AA73" s="165">
        <v>26.994</v>
      </c>
      <c r="AB73" s="165">
        <v>79.741</v>
      </c>
      <c r="AC73" s="165">
        <v>71.897999999999996</v>
      </c>
      <c r="AD73" s="165">
        <v>1990.579</v>
      </c>
      <c r="AE73" s="165">
        <v>264.25099999999998</v>
      </c>
      <c r="AF73" s="165">
        <v>437.74599999999998</v>
      </c>
      <c r="AG73" s="165">
        <v>472.601</v>
      </c>
      <c r="AH73" s="165">
        <v>180.09200000000001</v>
      </c>
      <c r="AI73" s="1">
        <v>253.61600000000001</v>
      </c>
      <c r="AJ73" s="1">
        <v>2406.5680961390599</v>
      </c>
      <c r="AK73" s="1" t="s">
        <v>121</v>
      </c>
      <c r="AL73" s="1" t="s">
        <v>121</v>
      </c>
      <c r="AM73" s="1" t="s">
        <v>121</v>
      </c>
      <c r="AN73" s="1" t="s">
        <v>121</v>
      </c>
      <c r="AO73" s="1" t="s">
        <v>121</v>
      </c>
      <c r="AP73" s="1" t="s">
        <v>121</v>
      </c>
      <c r="AQ73" s="1" t="s">
        <v>121</v>
      </c>
      <c r="AR73" s="1" t="s">
        <v>121</v>
      </c>
      <c r="AS73" s="1" t="s">
        <v>121</v>
      </c>
      <c r="AT73" s="1" t="s">
        <v>121</v>
      </c>
      <c r="AU73" s="1" t="s">
        <v>121</v>
      </c>
      <c r="AV73" s="1" t="s">
        <v>121</v>
      </c>
      <c r="AW73" s="1" t="s">
        <v>121</v>
      </c>
      <c r="AX73" s="1" t="s">
        <v>121</v>
      </c>
      <c r="AY73" s="1" t="s">
        <v>121</v>
      </c>
      <c r="AZ73" s="1" t="s">
        <v>121</v>
      </c>
      <c r="BA73" s="1" t="s">
        <v>121</v>
      </c>
      <c r="BB73" s="1" t="s">
        <v>121</v>
      </c>
      <c r="BC73" s="1" t="s">
        <v>121</v>
      </c>
      <c r="BD73" s="1" t="s">
        <v>121</v>
      </c>
      <c r="BE73" s="1" t="s">
        <v>121</v>
      </c>
      <c r="BF73" s="1" t="s">
        <v>121</v>
      </c>
      <c r="BG73" s="1" t="s">
        <v>121</v>
      </c>
      <c r="BH73" s="1" t="s">
        <v>121</v>
      </c>
      <c r="BI73" s="1" t="s">
        <v>121</v>
      </c>
      <c r="BJ73" s="1" t="s">
        <v>121</v>
      </c>
      <c r="BK73" s="1" t="s">
        <v>121</v>
      </c>
      <c r="BL73" s="1" t="s">
        <v>121</v>
      </c>
      <c r="BM73" s="1" t="s">
        <v>121</v>
      </c>
      <c r="BN73" s="1" t="s">
        <v>121</v>
      </c>
      <c r="BO73" s="1" t="s">
        <v>121</v>
      </c>
      <c r="BP73" s="1" t="s">
        <v>121</v>
      </c>
      <c r="BQ73" s="1" t="s">
        <v>121</v>
      </c>
    </row>
    <row r="74" spans="1:69" ht="15" customHeight="1" x14ac:dyDescent="0.25">
      <c r="A74" s="72">
        <v>74</v>
      </c>
      <c r="B74" s="217" t="s">
        <v>336</v>
      </c>
      <c r="C74" s="150" t="s">
        <v>121</v>
      </c>
      <c r="D74" s="164" t="s">
        <v>121</v>
      </c>
      <c r="E74" s="151" t="s">
        <v>121</v>
      </c>
      <c r="F74" s="244">
        <v>17943</v>
      </c>
      <c r="G74" s="244">
        <v>15190</v>
      </c>
      <c r="H74" s="244">
        <v>2746</v>
      </c>
      <c r="I74" s="244">
        <v>9845</v>
      </c>
      <c r="J74" s="244">
        <v>8104</v>
      </c>
      <c r="K74" s="244">
        <v>2099</v>
      </c>
      <c r="L74" s="244">
        <v>8518</v>
      </c>
      <c r="M74" s="244">
        <v>5922</v>
      </c>
      <c r="N74" s="244">
        <v>6195</v>
      </c>
      <c r="O74" s="244">
        <v>6294</v>
      </c>
      <c r="P74" s="244">
        <v>4488</v>
      </c>
      <c r="Q74" s="244">
        <v>2622</v>
      </c>
      <c r="R74" s="406"/>
      <c r="S74" s="406"/>
      <c r="T74" s="406"/>
      <c r="U74" s="244">
        <v>6749</v>
      </c>
      <c r="V74" s="244">
        <v>5790.9920000000002</v>
      </c>
      <c r="W74" s="250">
        <v>6683.7280000000001</v>
      </c>
      <c r="X74" s="250">
        <v>6590.223</v>
      </c>
      <c r="Y74" s="250">
        <v>2510.8820000000001</v>
      </c>
      <c r="Z74" s="250">
        <v>6098.4719999999998</v>
      </c>
      <c r="AA74" s="165">
        <v>5285.9579999999996</v>
      </c>
      <c r="AB74" s="165">
        <v>2624.5909999999999</v>
      </c>
      <c r="AC74" s="165">
        <v>2541.6750000000002</v>
      </c>
      <c r="AD74" s="165">
        <v>4184.9849999999997</v>
      </c>
      <c r="AE74" s="165">
        <v>7887.12</v>
      </c>
      <c r="AF74" s="165">
        <v>9458.7000000000007</v>
      </c>
      <c r="AG74" s="165">
        <v>17180.732</v>
      </c>
      <c r="AH74" s="165">
        <v>9813.0810000000001</v>
      </c>
      <c r="AI74" s="1">
        <v>13807.227999999999</v>
      </c>
      <c r="AJ74" s="1">
        <v>5926.6966975648402</v>
      </c>
      <c r="AK74" s="1" t="s">
        <v>121</v>
      </c>
      <c r="AL74" s="1" t="s">
        <v>121</v>
      </c>
      <c r="AM74" s="1" t="s">
        <v>121</v>
      </c>
      <c r="AN74" s="1" t="s">
        <v>121</v>
      </c>
      <c r="AO74" s="1" t="s">
        <v>121</v>
      </c>
      <c r="AP74" s="1" t="s">
        <v>121</v>
      </c>
      <c r="AQ74" s="1" t="s">
        <v>121</v>
      </c>
      <c r="AR74" s="1" t="s">
        <v>121</v>
      </c>
      <c r="AS74" s="1" t="s">
        <v>121</v>
      </c>
      <c r="AT74" s="1" t="s">
        <v>121</v>
      </c>
      <c r="AU74" s="1" t="s">
        <v>121</v>
      </c>
      <c r="AV74" s="1" t="s">
        <v>121</v>
      </c>
      <c r="AW74" s="1" t="s">
        <v>121</v>
      </c>
      <c r="AX74" s="1" t="s">
        <v>121</v>
      </c>
      <c r="AY74" s="1" t="s">
        <v>121</v>
      </c>
      <c r="AZ74" s="1" t="s">
        <v>121</v>
      </c>
      <c r="BA74" s="1" t="s">
        <v>121</v>
      </c>
      <c r="BB74" s="1" t="s">
        <v>121</v>
      </c>
      <c r="BC74" s="1" t="s">
        <v>121</v>
      </c>
      <c r="BD74" s="1" t="s">
        <v>121</v>
      </c>
      <c r="BE74" s="1" t="s">
        <v>121</v>
      </c>
      <c r="BF74" s="1" t="s">
        <v>121</v>
      </c>
      <c r="BG74" s="1" t="s">
        <v>121</v>
      </c>
      <c r="BH74" s="1" t="s">
        <v>121</v>
      </c>
      <c r="BI74" s="1" t="s">
        <v>121</v>
      </c>
      <c r="BJ74" s="1" t="s">
        <v>121</v>
      </c>
      <c r="BK74" s="1" t="s">
        <v>121</v>
      </c>
      <c r="BL74" s="1" t="s">
        <v>121</v>
      </c>
      <c r="BM74" s="1" t="s">
        <v>121</v>
      </c>
      <c r="BN74" s="1" t="s">
        <v>121</v>
      </c>
      <c r="BO74" s="1" t="s">
        <v>121</v>
      </c>
      <c r="BP74" s="1" t="s">
        <v>121</v>
      </c>
      <c r="BQ74" s="1" t="s">
        <v>121</v>
      </c>
    </row>
    <row r="75" spans="1:69" ht="15" customHeight="1" x14ac:dyDescent="0.25">
      <c r="A75" s="72">
        <v>75</v>
      </c>
      <c r="B75" s="217" t="s">
        <v>337</v>
      </c>
      <c r="C75" s="150" t="s">
        <v>121</v>
      </c>
      <c r="D75" s="164" t="s">
        <v>121</v>
      </c>
      <c r="E75" s="151" t="s">
        <v>121</v>
      </c>
      <c r="F75" s="244">
        <v>10090</v>
      </c>
      <c r="G75" s="244">
        <v>3278</v>
      </c>
      <c r="H75" s="244">
        <v>10562</v>
      </c>
      <c r="I75" s="244">
        <v>10289</v>
      </c>
      <c r="J75" s="244">
        <v>176</v>
      </c>
      <c r="K75" s="244">
        <v>226</v>
      </c>
      <c r="L75" s="244">
        <v>4702</v>
      </c>
      <c r="M75" s="244">
        <v>4697</v>
      </c>
      <c r="N75" s="244">
        <v>6394</v>
      </c>
      <c r="O75" s="244">
        <v>7256</v>
      </c>
      <c r="P75" s="244">
        <v>7162</v>
      </c>
      <c r="Q75" s="244">
        <v>8216</v>
      </c>
      <c r="R75" s="406"/>
      <c r="S75" s="406"/>
      <c r="T75" s="406"/>
      <c r="U75" s="244">
        <v>8409</v>
      </c>
      <c r="V75" s="244">
        <v>8977.3469999999998</v>
      </c>
      <c r="W75" s="250">
        <v>9494.0920000000006</v>
      </c>
      <c r="X75" s="250">
        <v>14706.130999999999</v>
      </c>
      <c r="Y75" s="250">
        <v>21707.416000000001</v>
      </c>
      <c r="Z75" s="250">
        <v>26144.651999999998</v>
      </c>
      <c r="AA75" s="165">
        <v>24106.172999999999</v>
      </c>
      <c r="AB75" s="165">
        <v>21759.298999999999</v>
      </c>
      <c r="AC75" s="165">
        <v>21805.687999999998</v>
      </c>
      <c r="AD75" s="165">
        <v>22811.179</v>
      </c>
      <c r="AE75" s="165">
        <v>31070.285</v>
      </c>
      <c r="AF75" s="165">
        <v>29836.421999999999</v>
      </c>
      <c r="AG75" s="165">
        <v>16324.537</v>
      </c>
      <c r="AH75" s="165">
        <v>22563.323</v>
      </c>
      <c r="AI75" s="1">
        <v>21375.091</v>
      </c>
      <c r="AJ75" s="1">
        <v>18141.812976971501</v>
      </c>
      <c r="AK75" s="1" t="s">
        <v>121</v>
      </c>
      <c r="AL75" s="1" t="s">
        <v>121</v>
      </c>
      <c r="AM75" s="1" t="s">
        <v>121</v>
      </c>
      <c r="AN75" s="1" t="s">
        <v>121</v>
      </c>
      <c r="AO75" s="1" t="s">
        <v>121</v>
      </c>
      <c r="AP75" s="1" t="s">
        <v>121</v>
      </c>
      <c r="AQ75" s="1" t="s">
        <v>121</v>
      </c>
      <c r="AR75" s="1" t="s">
        <v>121</v>
      </c>
      <c r="AS75" s="1" t="s">
        <v>121</v>
      </c>
      <c r="AT75" s="1" t="s">
        <v>121</v>
      </c>
      <c r="AU75" s="1" t="s">
        <v>121</v>
      </c>
      <c r="AV75" s="1" t="s">
        <v>121</v>
      </c>
      <c r="AW75" s="1" t="s">
        <v>121</v>
      </c>
      <c r="AX75" s="1" t="s">
        <v>121</v>
      </c>
      <c r="AY75" s="1" t="s">
        <v>121</v>
      </c>
      <c r="AZ75" s="1" t="s">
        <v>121</v>
      </c>
      <c r="BA75" s="1" t="s">
        <v>121</v>
      </c>
      <c r="BB75" s="1" t="s">
        <v>121</v>
      </c>
      <c r="BC75" s="1" t="s">
        <v>121</v>
      </c>
      <c r="BD75" s="1" t="s">
        <v>121</v>
      </c>
      <c r="BE75" s="1" t="s">
        <v>121</v>
      </c>
      <c r="BF75" s="1" t="s">
        <v>121</v>
      </c>
      <c r="BG75" s="1" t="s">
        <v>121</v>
      </c>
      <c r="BH75" s="1" t="s">
        <v>121</v>
      </c>
      <c r="BI75" s="1" t="s">
        <v>121</v>
      </c>
      <c r="BJ75" s="1" t="s">
        <v>121</v>
      </c>
      <c r="BK75" s="1" t="s">
        <v>121</v>
      </c>
      <c r="BL75" s="1" t="s">
        <v>121</v>
      </c>
      <c r="BM75" s="1" t="s">
        <v>121</v>
      </c>
      <c r="BN75" s="1" t="s">
        <v>121</v>
      </c>
      <c r="BO75" s="1" t="s">
        <v>121</v>
      </c>
      <c r="BP75" s="1" t="s">
        <v>121</v>
      </c>
      <c r="BQ75" s="1" t="s">
        <v>121</v>
      </c>
    </row>
    <row r="76" spans="1:69" ht="15" customHeight="1" x14ac:dyDescent="0.25">
      <c r="A76" s="72">
        <v>76</v>
      </c>
      <c r="B76" s="217" t="s">
        <v>338</v>
      </c>
      <c r="C76" s="150" t="s">
        <v>121</v>
      </c>
      <c r="D76" s="164" t="s">
        <v>121</v>
      </c>
      <c r="E76" s="151" t="s">
        <v>121</v>
      </c>
      <c r="F76" s="244">
        <v>810</v>
      </c>
      <c r="G76" s="244">
        <v>10906</v>
      </c>
      <c r="H76" s="244">
        <v>269</v>
      </c>
      <c r="I76" s="244">
        <v>264</v>
      </c>
      <c r="J76" s="244">
        <v>118</v>
      </c>
      <c r="K76" s="244">
        <v>4911</v>
      </c>
      <c r="L76" s="244">
        <v>151</v>
      </c>
      <c r="M76" s="244">
        <v>353</v>
      </c>
      <c r="N76" s="244">
        <v>904</v>
      </c>
      <c r="O76" s="244">
        <v>368</v>
      </c>
      <c r="P76" s="244">
        <v>1896</v>
      </c>
      <c r="Q76" s="244">
        <v>1969</v>
      </c>
      <c r="R76" s="406"/>
      <c r="S76" s="406"/>
      <c r="T76" s="406"/>
      <c r="U76" s="244">
        <v>1708</v>
      </c>
      <c r="V76" s="244">
        <v>2884.69</v>
      </c>
      <c r="W76" s="250">
        <v>1819.5719999999999</v>
      </c>
      <c r="X76" s="250">
        <v>5942.9709999999995</v>
      </c>
      <c r="Y76" s="250">
        <v>7420.973</v>
      </c>
      <c r="Z76" s="250">
        <v>9061.3410000000003</v>
      </c>
      <c r="AA76" s="165">
        <v>7333.5479999999998</v>
      </c>
      <c r="AB76" s="165">
        <v>9262.6039999999994</v>
      </c>
      <c r="AC76" s="165">
        <v>10687.518</v>
      </c>
      <c r="AD76" s="165">
        <v>8779.2610000000004</v>
      </c>
      <c r="AE76" s="165">
        <v>8689.6720000000005</v>
      </c>
      <c r="AF76" s="165">
        <v>7195.8459999999995</v>
      </c>
      <c r="AG76" s="165">
        <v>7762.6580000000004</v>
      </c>
      <c r="AH76" s="165">
        <v>14149.789000000001</v>
      </c>
      <c r="AI76" s="1">
        <v>14897.083000000001</v>
      </c>
      <c r="AJ76" s="1">
        <v>16368.852089603201</v>
      </c>
      <c r="AK76" s="1" t="s">
        <v>121</v>
      </c>
      <c r="AL76" s="1" t="s">
        <v>121</v>
      </c>
      <c r="AM76" s="1" t="s">
        <v>121</v>
      </c>
      <c r="AN76" s="1" t="s">
        <v>121</v>
      </c>
      <c r="AO76" s="1" t="s">
        <v>121</v>
      </c>
      <c r="AP76" s="1" t="s">
        <v>121</v>
      </c>
      <c r="AQ76" s="1" t="s">
        <v>121</v>
      </c>
      <c r="AR76" s="1" t="s">
        <v>121</v>
      </c>
      <c r="AS76" s="1" t="s">
        <v>121</v>
      </c>
      <c r="AT76" s="1" t="s">
        <v>121</v>
      </c>
      <c r="AU76" s="1" t="s">
        <v>121</v>
      </c>
      <c r="AV76" s="1" t="s">
        <v>121</v>
      </c>
      <c r="AW76" s="1" t="s">
        <v>121</v>
      </c>
      <c r="AX76" s="1" t="s">
        <v>121</v>
      </c>
      <c r="AY76" s="1" t="s">
        <v>121</v>
      </c>
      <c r="AZ76" s="1" t="s">
        <v>121</v>
      </c>
      <c r="BA76" s="1" t="s">
        <v>121</v>
      </c>
      <c r="BB76" s="1" t="s">
        <v>121</v>
      </c>
      <c r="BC76" s="1" t="s">
        <v>121</v>
      </c>
      <c r="BD76" s="1" t="s">
        <v>121</v>
      </c>
      <c r="BE76" s="1" t="s">
        <v>121</v>
      </c>
      <c r="BF76" s="1" t="s">
        <v>121</v>
      </c>
      <c r="BG76" s="1" t="s">
        <v>121</v>
      </c>
      <c r="BH76" s="1" t="s">
        <v>121</v>
      </c>
      <c r="BI76" s="1" t="s">
        <v>121</v>
      </c>
      <c r="BJ76" s="1" t="s">
        <v>121</v>
      </c>
      <c r="BK76" s="1" t="s">
        <v>121</v>
      </c>
      <c r="BL76" s="1" t="s">
        <v>121</v>
      </c>
      <c r="BM76" s="1" t="s">
        <v>121</v>
      </c>
      <c r="BN76" s="1" t="s">
        <v>121</v>
      </c>
      <c r="BO76" s="1" t="s">
        <v>121</v>
      </c>
      <c r="BP76" s="1" t="s">
        <v>121</v>
      </c>
      <c r="BQ76" s="1" t="s">
        <v>121</v>
      </c>
    </row>
    <row r="77" spans="1:69" ht="15" customHeight="1" x14ac:dyDescent="0.25">
      <c r="A77" s="72">
        <v>77</v>
      </c>
      <c r="B77" s="217" t="s">
        <v>339</v>
      </c>
      <c r="C77" s="150" t="s">
        <v>121</v>
      </c>
      <c r="D77" s="164" t="s">
        <v>121</v>
      </c>
      <c r="E77" s="151" t="s">
        <v>121</v>
      </c>
      <c r="F77" s="244" t="s">
        <v>121</v>
      </c>
      <c r="G77" s="244" t="s">
        <v>121</v>
      </c>
      <c r="H77" s="244" t="s">
        <v>121</v>
      </c>
      <c r="I77" s="244" t="s">
        <v>121</v>
      </c>
      <c r="J77" s="244" t="s">
        <v>121</v>
      </c>
      <c r="K77" s="244" t="s">
        <v>121</v>
      </c>
      <c r="L77" s="244" t="s">
        <v>121</v>
      </c>
      <c r="M77" s="244" t="s">
        <v>121</v>
      </c>
      <c r="N77" s="244" t="s">
        <v>121</v>
      </c>
      <c r="O77" s="244" t="s">
        <v>121</v>
      </c>
      <c r="P77" s="244" t="s">
        <v>121</v>
      </c>
      <c r="Q77" s="244" t="s">
        <v>121</v>
      </c>
      <c r="R77" s="406"/>
      <c r="S77" s="406"/>
      <c r="T77" s="406"/>
      <c r="U77" s="244" t="s">
        <v>121</v>
      </c>
      <c r="V77" s="244" t="s">
        <v>121</v>
      </c>
      <c r="W77" s="250" t="s">
        <v>121</v>
      </c>
      <c r="X77" s="250" t="s">
        <v>121</v>
      </c>
      <c r="Y77" s="250" t="s">
        <v>121</v>
      </c>
      <c r="Z77" s="250" t="s">
        <v>121</v>
      </c>
      <c r="AA77" s="165" t="s">
        <v>121</v>
      </c>
      <c r="AB77" s="165" t="s">
        <v>121</v>
      </c>
      <c r="AC77" s="165" t="s">
        <v>121</v>
      </c>
      <c r="AD77" s="165" t="s">
        <v>121</v>
      </c>
      <c r="AE77" s="165" t="s">
        <v>121</v>
      </c>
      <c r="AF77" s="165" t="s">
        <v>121</v>
      </c>
      <c r="AG77" s="165" t="s">
        <v>121</v>
      </c>
      <c r="AH77" s="165" t="s">
        <v>121</v>
      </c>
      <c r="AI77" s="1" t="s">
        <v>121</v>
      </c>
      <c r="AJ77" s="1" t="s">
        <v>121</v>
      </c>
      <c r="AK77" s="1" t="s">
        <v>121</v>
      </c>
      <c r="AL77" s="1" t="s">
        <v>121</v>
      </c>
      <c r="AM77" s="1" t="s">
        <v>121</v>
      </c>
      <c r="AN77" s="1" t="s">
        <v>121</v>
      </c>
      <c r="AO77" s="1" t="s">
        <v>121</v>
      </c>
      <c r="AP77" s="1" t="s">
        <v>121</v>
      </c>
      <c r="AQ77" s="1" t="s">
        <v>121</v>
      </c>
      <c r="AR77" s="1" t="s">
        <v>121</v>
      </c>
      <c r="AS77" s="1" t="s">
        <v>121</v>
      </c>
      <c r="AT77" s="1" t="s">
        <v>121</v>
      </c>
      <c r="AU77" s="1" t="s">
        <v>121</v>
      </c>
      <c r="AV77" s="1" t="s">
        <v>121</v>
      </c>
      <c r="AW77" s="1" t="s">
        <v>121</v>
      </c>
      <c r="AX77" s="1" t="s">
        <v>121</v>
      </c>
      <c r="AY77" s="1" t="s">
        <v>121</v>
      </c>
      <c r="AZ77" s="1" t="s">
        <v>121</v>
      </c>
      <c r="BA77" s="1" t="s">
        <v>121</v>
      </c>
      <c r="BB77" s="1" t="s">
        <v>121</v>
      </c>
      <c r="BC77" s="1" t="s">
        <v>121</v>
      </c>
      <c r="BD77" s="1" t="s">
        <v>121</v>
      </c>
      <c r="BE77" s="1" t="s">
        <v>121</v>
      </c>
      <c r="BF77" s="1" t="s">
        <v>121</v>
      </c>
      <c r="BG77" s="1" t="s">
        <v>121</v>
      </c>
      <c r="BH77" s="1" t="s">
        <v>121</v>
      </c>
      <c r="BI77" s="1" t="s">
        <v>121</v>
      </c>
      <c r="BJ77" s="1" t="s">
        <v>121</v>
      </c>
      <c r="BK77" s="1" t="s">
        <v>121</v>
      </c>
      <c r="BL77" s="1" t="s">
        <v>121</v>
      </c>
      <c r="BM77" s="1" t="s">
        <v>121</v>
      </c>
      <c r="BN77" s="1" t="s">
        <v>121</v>
      </c>
      <c r="BO77" s="1" t="s">
        <v>121</v>
      </c>
      <c r="BP77" s="1" t="s">
        <v>121</v>
      </c>
      <c r="BQ77" s="1" t="s">
        <v>121</v>
      </c>
    </row>
    <row r="78" spans="1:69" ht="15" customHeight="1" x14ac:dyDescent="0.25">
      <c r="A78" s="72">
        <v>78</v>
      </c>
      <c r="B78" s="233" t="s">
        <v>343</v>
      </c>
      <c r="C78" s="150" t="s">
        <v>121</v>
      </c>
      <c r="D78" s="164" t="s">
        <v>121</v>
      </c>
      <c r="E78" s="151" t="s">
        <v>121</v>
      </c>
      <c r="F78" s="312">
        <v>30021</v>
      </c>
      <c r="G78" s="312">
        <v>29374</v>
      </c>
      <c r="H78" s="312">
        <v>13662</v>
      </c>
      <c r="I78" s="312">
        <v>20471</v>
      </c>
      <c r="J78" s="312">
        <v>8485</v>
      </c>
      <c r="K78" s="312">
        <v>7263</v>
      </c>
      <c r="L78" s="312">
        <v>13371</v>
      </c>
      <c r="M78" s="312">
        <v>10999</v>
      </c>
      <c r="N78" s="312">
        <v>13493</v>
      </c>
      <c r="O78" s="312">
        <v>13918</v>
      </c>
      <c r="P78" s="312">
        <v>13725</v>
      </c>
      <c r="Q78" s="312">
        <v>13057</v>
      </c>
      <c r="R78" s="406"/>
      <c r="S78" s="406"/>
      <c r="T78" s="406"/>
      <c r="U78" s="312">
        <v>16866</v>
      </c>
      <c r="V78" s="312">
        <v>17654.058999999997</v>
      </c>
      <c r="W78" s="294">
        <v>18030.719000000001</v>
      </c>
      <c r="X78" s="294">
        <v>28218.423999999999</v>
      </c>
      <c r="Y78" s="294">
        <v>32627.955000000002</v>
      </c>
      <c r="Z78" s="294">
        <v>41410.247000000003</v>
      </c>
      <c r="AA78" s="212">
        <v>36752.673000000003</v>
      </c>
      <c r="AB78" s="212">
        <v>33726.235000000001</v>
      </c>
      <c r="AC78" s="212">
        <v>35106.778999999995</v>
      </c>
      <c r="AD78" s="212">
        <v>37766.004000000001</v>
      </c>
      <c r="AE78" s="212">
        <v>47911.328000000001</v>
      </c>
      <c r="AF78" s="212">
        <v>46928.714</v>
      </c>
      <c r="AG78" s="212">
        <v>41740.527999999998</v>
      </c>
      <c r="AH78" s="212">
        <v>46706.285000000003</v>
      </c>
      <c r="AI78" s="1">
        <v>50333.017999999996</v>
      </c>
      <c r="AJ78" s="1">
        <v>42843.9298602786</v>
      </c>
      <c r="AK78" s="1" t="s">
        <v>121</v>
      </c>
      <c r="AL78" s="1" t="s">
        <v>121</v>
      </c>
      <c r="AM78" s="1" t="s">
        <v>121</v>
      </c>
      <c r="AN78" s="1" t="s">
        <v>121</v>
      </c>
      <c r="AO78" s="1" t="s">
        <v>121</v>
      </c>
      <c r="AP78" s="1" t="s">
        <v>121</v>
      </c>
      <c r="AQ78" s="1" t="s">
        <v>121</v>
      </c>
      <c r="AR78" s="1" t="s">
        <v>121</v>
      </c>
      <c r="AS78" s="1" t="s">
        <v>121</v>
      </c>
      <c r="AT78" s="1" t="s">
        <v>121</v>
      </c>
      <c r="AU78" s="1" t="s">
        <v>121</v>
      </c>
      <c r="AV78" s="1" t="s">
        <v>121</v>
      </c>
      <c r="AW78" s="1" t="s">
        <v>121</v>
      </c>
      <c r="AX78" s="1" t="s">
        <v>121</v>
      </c>
      <c r="AY78" s="1" t="s">
        <v>121</v>
      </c>
      <c r="AZ78" s="1" t="s">
        <v>121</v>
      </c>
      <c r="BA78" s="1" t="s">
        <v>121</v>
      </c>
      <c r="BB78" s="1" t="s">
        <v>121</v>
      </c>
      <c r="BC78" s="1" t="s">
        <v>121</v>
      </c>
      <c r="BD78" s="1" t="s">
        <v>121</v>
      </c>
      <c r="BE78" s="1" t="s">
        <v>121</v>
      </c>
      <c r="BF78" s="1" t="s">
        <v>121</v>
      </c>
      <c r="BG78" s="1" t="s">
        <v>121</v>
      </c>
      <c r="BH78" s="1" t="s">
        <v>121</v>
      </c>
      <c r="BI78" s="1" t="s">
        <v>121</v>
      </c>
      <c r="BJ78" s="1" t="s">
        <v>121</v>
      </c>
      <c r="BK78" s="1" t="s">
        <v>121</v>
      </c>
      <c r="BL78" s="1" t="s">
        <v>121</v>
      </c>
      <c r="BM78" s="1" t="s">
        <v>121</v>
      </c>
      <c r="BN78" s="1" t="s">
        <v>121</v>
      </c>
      <c r="BO78" s="1" t="s">
        <v>121</v>
      </c>
      <c r="BP78" s="1" t="s">
        <v>121</v>
      </c>
      <c r="BQ78" s="1" t="s">
        <v>121</v>
      </c>
    </row>
    <row r="79" spans="1:69" ht="15" customHeight="1" x14ac:dyDescent="0.25">
      <c r="A79" s="72">
        <v>79</v>
      </c>
      <c r="B79" s="231" t="s">
        <v>14</v>
      </c>
      <c r="C79" s="150" t="s">
        <v>121</v>
      </c>
      <c r="D79" s="164" t="s">
        <v>121</v>
      </c>
      <c r="E79" s="151" t="s">
        <v>121</v>
      </c>
      <c r="F79" s="244">
        <v>-781</v>
      </c>
      <c r="G79" s="244">
        <v>-1090</v>
      </c>
      <c r="H79" s="244">
        <v>-897</v>
      </c>
      <c r="I79" s="244">
        <v>-1213</v>
      </c>
      <c r="J79" s="244">
        <v>-337</v>
      </c>
      <c r="K79" s="244">
        <v>-445</v>
      </c>
      <c r="L79" s="244">
        <v>-1546</v>
      </c>
      <c r="M79" s="244">
        <v>-1302</v>
      </c>
      <c r="N79" s="244">
        <v>-1045</v>
      </c>
      <c r="O79" s="244">
        <v>-521</v>
      </c>
      <c r="P79" s="244">
        <v>-905</v>
      </c>
      <c r="Q79" s="244">
        <v>-1004</v>
      </c>
      <c r="R79" s="406"/>
      <c r="S79" s="406"/>
      <c r="T79" s="406"/>
      <c r="U79" s="244">
        <v>-1173</v>
      </c>
      <c r="V79" s="244">
        <v>-605.54399999999998</v>
      </c>
      <c r="W79" s="250">
        <v>-687.96799999999996</v>
      </c>
      <c r="X79" s="250">
        <v>-2070.2049999999999</v>
      </c>
      <c r="Y79" s="250">
        <v>-2305.1909999999998</v>
      </c>
      <c r="Z79" s="250">
        <v>-3999.4110000000001</v>
      </c>
      <c r="AA79" s="165">
        <v>-2526.0230000000001</v>
      </c>
      <c r="AB79" s="165">
        <v>-4008.5010000000002</v>
      </c>
      <c r="AC79" s="165">
        <v>-4519.95</v>
      </c>
      <c r="AD79" s="165">
        <v>-3937.2289999999998</v>
      </c>
      <c r="AE79" s="165">
        <v>-6582.8310000000001</v>
      </c>
      <c r="AF79" s="165">
        <v>-5884.05</v>
      </c>
      <c r="AG79" s="165">
        <v>-3575.1860000000001</v>
      </c>
      <c r="AH79" s="165">
        <v>-4777.6509999999998</v>
      </c>
      <c r="AI79" s="1">
        <v>-5044.0630000000001</v>
      </c>
      <c r="AJ79" s="1">
        <v>-4107.777</v>
      </c>
      <c r="AK79" s="1" t="s">
        <v>121</v>
      </c>
      <c r="AL79" s="1" t="s">
        <v>121</v>
      </c>
      <c r="AM79" s="1" t="s">
        <v>121</v>
      </c>
      <c r="AN79" s="1" t="s">
        <v>121</v>
      </c>
      <c r="AO79" s="1" t="s">
        <v>121</v>
      </c>
      <c r="AP79" s="1" t="s">
        <v>121</v>
      </c>
      <c r="AQ79" s="1" t="s">
        <v>121</v>
      </c>
      <c r="AR79" s="1" t="s">
        <v>121</v>
      </c>
      <c r="AS79" s="1" t="s">
        <v>121</v>
      </c>
      <c r="AT79" s="1" t="s">
        <v>121</v>
      </c>
      <c r="AU79" s="1" t="s">
        <v>121</v>
      </c>
      <c r="AV79" s="1" t="s">
        <v>121</v>
      </c>
      <c r="AW79" s="1" t="s">
        <v>121</v>
      </c>
      <c r="AX79" s="1" t="s">
        <v>121</v>
      </c>
      <c r="AY79" s="1" t="s">
        <v>121</v>
      </c>
      <c r="AZ79" s="1" t="s">
        <v>121</v>
      </c>
      <c r="BA79" s="1" t="s">
        <v>121</v>
      </c>
      <c r="BB79" s="1" t="s">
        <v>121</v>
      </c>
      <c r="BC79" s="1" t="s">
        <v>121</v>
      </c>
      <c r="BD79" s="1" t="s">
        <v>121</v>
      </c>
      <c r="BE79" s="1" t="s">
        <v>121</v>
      </c>
      <c r="BF79" s="1" t="s">
        <v>121</v>
      </c>
      <c r="BG79" s="1" t="s">
        <v>121</v>
      </c>
      <c r="BH79" s="1" t="s">
        <v>121</v>
      </c>
      <c r="BI79" s="1" t="s">
        <v>121</v>
      </c>
      <c r="BJ79" s="1" t="s">
        <v>121</v>
      </c>
      <c r="BK79" s="1" t="s">
        <v>121</v>
      </c>
      <c r="BL79" s="1" t="s">
        <v>121</v>
      </c>
      <c r="BM79" s="1" t="s">
        <v>121</v>
      </c>
      <c r="BN79" s="1" t="s">
        <v>121</v>
      </c>
      <c r="BO79" s="1" t="s">
        <v>121</v>
      </c>
      <c r="BP79" s="1" t="s">
        <v>121</v>
      </c>
      <c r="BQ79" s="1" t="s">
        <v>121</v>
      </c>
    </row>
    <row r="80" spans="1:69" ht="21" customHeight="1" x14ac:dyDescent="0.25">
      <c r="A80" s="72">
        <v>80</v>
      </c>
      <c r="B80" s="233" t="s">
        <v>344</v>
      </c>
      <c r="C80" s="150" t="s">
        <v>121</v>
      </c>
      <c r="D80" s="164" t="s">
        <v>121</v>
      </c>
      <c r="E80" s="151" t="s">
        <v>121</v>
      </c>
      <c r="F80" s="312">
        <v>29240</v>
      </c>
      <c r="G80" s="312">
        <v>28284</v>
      </c>
      <c r="H80" s="312">
        <v>12765</v>
      </c>
      <c r="I80" s="312">
        <v>19258</v>
      </c>
      <c r="J80" s="312">
        <v>8148</v>
      </c>
      <c r="K80" s="312">
        <v>6818</v>
      </c>
      <c r="L80" s="312">
        <v>11825</v>
      </c>
      <c r="M80" s="312">
        <v>9697</v>
      </c>
      <c r="N80" s="312">
        <v>12448</v>
      </c>
      <c r="O80" s="312">
        <v>13397</v>
      </c>
      <c r="P80" s="312">
        <v>12820</v>
      </c>
      <c r="Q80" s="312">
        <v>12053</v>
      </c>
      <c r="R80" s="406"/>
      <c r="S80" s="406"/>
      <c r="T80" s="406"/>
      <c r="U80" s="312">
        <v>15693</v>
      </c>
      <c r="V80" s="312">
        <v>17048.514999999996</v>
      </c>
      <c r="W80" s="294">
        <v>17342.751</v>
      </c>
      <c r="X80" s="294">
        <v>26148.218999999997</v>
      </c>
      <c r="Y80" s="294">
        <v>30322.764000000003</v>
      </c>
      <c r="Z80" s="294">
        <v>37410.836000000003</v>
      </c>
      <c r="AA80" s="212">
        <v>34226.65</v>
      </c>
      <c r="AB80" s="212">
        <v>29717.734</v>
      </c>
      <c r="AC80" s="212">
        <v>30586.828999999994</v>
      </c>
      <c r="AD80" s="212">
        <v>33828.775000000001</v>
      </c>
      <c r="AE80" s="212">
        <v>41328.497000000003</v>
      </c>
      <c r="AF80" s="212">
        <v>41044.663999999997</v>
      </c>
      <c r="AG80" s="212">
        <v>38165.341999999997</v>
      </c>
      <c r="AH80" s="212">
        <v>41928.634000000005</v>
      </c>
      <c r="AI80" s="1">
        <v>45288.954999999994</v>
      </c>
      <c r="AJ80" s="1">
        <v>38736.152860278598</v>
      </c>
      <c r="AK80" s="1" t="s">
        <v>121</v>
      </c>
      <c r="AL80" s="1" t="s">
        <v>121</v>
      </c>
      <c r="AM80" s="1" t="s">
        <v>121</v>
      </c>
      <c r="AN80" s="1" t="s">
        <v>121</v>
      </c>
      <c r="AO80" s="1" t="s">
        <v>121</v>
      </c>
      <c r="AP80" s="1" t="s">
        <v>121</v>
      </c>
      <c r="AQ80" s="1" t="s">
        <v>121</v>
      </c>
      <c r="AR80" s="1" t="s">
        <v>121</v>
      </c>
      <c r="AS80" s="1" t="s">
        <v>121</v>
      </c>
      <c r="AT80" s="1" t="s">
        <v>121</v>
      </c>
      <c r="AU80" s="1" t="s">
        <v>121</v>
      </c>
      <c r="AV80" s="1" t="s">
        <v>121</v>
      </c>
      <c r="AW80" s="1" t="s">
        <v>121</v>
      </c>
      <c r="AX80" s="1" t="s">
        <v>121</v>
      </c>
      <c r="AY80" s="1" t="s">
        <v>121</v>
      </c>
      <c r="AZ80" s="1" t="s">
        <v>121</v>
      </c>
      <c r="BA80" s="1" t="s">
        <v>121</v>
      </c>
      <c r="BB80" s="1" t="s">
        <v>121</v>
      </c>
      <c r="BC80" s="1" t="s">
        <v>121</v>
      </c>
      <c r="BD80" s="1" t="s">
        <v>121</v>
      </c>
      <c r="BE80" s="1" t="s">
        <v>121</v>
      </c>
      <c r="BF80" s="1" t="s">
        <v>121</v>
      </c>
      <c r="BG80" s="1" t="s">
        <v>121</v>
      </c>
      <c r="BH80" s="1" t="s">
        <v>121</v>
      </c>
      <c r="BI80" s="1" t="s">
        <v>121</v>
      </c>
      <c r="BJ80" s="1" t="s">
        <v>121</v>
      </c>
      <c r="BK80" s="1" t="s">
        <v>121</v>
      </c>
      <c r="BL80" s="1" t="s">
        <v>121</v>
      </c>
      <c r="BM80" s="1" t="s">
        <v>121</v>
      </c>
      <c r="BN80" s="1" t="s">
        <v>121</v>
      </c>
      <c r="BO80" s="1" t="s">
        <v>121</v>
      </c>
      <c r="BP80" s="1" t="s">
        <v>121</v>
      </c>
      <c r="BQ80" s="1" t="s">
        <v>121</v>
      </c>
    </row>
    <row r="81" spans="1:69" ht="15" customHeight="1" x14ac:dyDescent="0.25">
      <c r="A81" s="72">
        <v>81</v>
      </c>
      <c r="B81" s="232" t="s">
        <v>345</v>
      </c>
      <c r="C81" s="150" t="s">
        <v>121</v>
      </c>
      <c r="D81" s="164" t="s">
        <v>121</v>
      </c>
      <c r="E81" s="151" t="s">
        <v>121</v>
      </c>
      <c r="F81" s="326" t="s">
        <v>121</v>
      </c>
      <c r="G81" s="326" t="s">
        <v>121</v>
      </c>
      <c r="H81" s="326" t="s">
        <v>121</v>
      </c>
      <c r="I81" s="326" t="s">
        <v>121</v>
      </c>
      <c r="J81" s="326" t="s">
        <v>121</v>
      </c>
      <c r="K81" s="326" t="s">
        <v>121</v>
      </c>
      <c r="L81" s="326" t="s">
        <v>121</v>
      </c>
      <c r="M81" s="326" t="s">
        <v>121</v>
      </c>
      <c r="N81" s="326" t="s">
        <v>121</v>
      </c>
      <c r="O81" s="326" t="s">
        <v>121</v>
      </c>
      <c r="P81" s="326" t="s">
        <v>121</v>
      </c>
      <c r="Q81" s="326" t="s">
        <v>121</v>
      </c>
      <c r="R81" s="406"/>
      <c r="S81" s="406"/>
      <c r="T81" s="406"/>
      <c r="U81" s="326" t="s">
        <v>121</v>
      </c>
      <c r="V81" s="326" t="s">
        <v>121</v>
      </c>
      <c r="W81" s="275" t="s">
        <v>121</v>
      </c>
      <c r="X81" s="275" t="s">
        <v>121</v>
      </c>
      <c r="Y81" s="275" t="s">
        <v>121</v>
      </c>
      <c r="Z81" s="275" t="s">
        <v>121</v>
      </c>
      <c r="AA81" s="164" t="s">
        <v>121</v>
      </c>
      <c r="AB81" s="164" t="s">
        <v>121</v>
      </c>
      <c r="AC81" s="164" t="s">
        <v>121</v>
      </c>
      <c r="AD81" s="164" t="s">
        <v>121</v>
      </c>
      <c r="AE81" s="164" t="s">
        <v>121</v>
      </c>
      <c r="AF81" s="164" t="s">
        <v>121</v>
      </c>
      <c r="AG81" s="164" t="s">
        <v>121</v>
      </c>
      <c r="AH81" s="165" t="s">
        <v>121</v>
      </c>
      <c r="AI81" s="1" t="s">
        <v>121</v>
      </c>
      <c r="AJ81" s="1" t="s">
        <v>121</v>
      </c>
      <c r="AK81" s="1" t="s">
        <v>121</v>
      </c>
      <c r="AL81" s="1" t="s">
        <v>121</v>
      </c>
      <c r="AM81" s="1" t="s">
        <v>121</v>
      </c>
      <c r="AN81" s="1" t="s">
        <v>121</v>
      </c>
      <c r="AO81" s="1" t="s">
        <v>121</v>
      </c>
      <c r="AP81" s="1" t="s">
        <v>121</v>
      </c>
      <c r="AQ81" s="1" t="s">
        <v>121</v>
      </c>
      <c r="AR81" s="1" t="s">
        <v>121</v>
      </c>
      <c r="AS81" s="1" t="s">
        <v>121</v>
      </c>
      <c r="AT81" s="1" t="s">
        <v>121</v>
      </c>
      <c r="AU81" s="1" t="s">
        <v>121</v>
      </c>
      <c r="AV81" s="1" t="s">
        <v>121</v>
      </c>
      <c r="AW81" s="1" t="s">
        <v>121</v>
      </c>
      <c r="AX81" s="1" t="s">
        <v>121</v>
      </c>
      <c r="AY81" s="1" t="s">
        <v>121</v>
      </c>
      <c r="AZ81" s="1" t="s">
        <v>121</v>
      </c>
      <c r="BA81" s="1" t="s">
        <v>121</v>
      </c>
      <c r="BB81" s="1" t="s">
        <v>121</v>
      </c>
      <c r="BC81" s="1" t="s">
        <v>121</v>
      </c>
      <c r="BD81" s="1" t="s">
        <v>121</v>
      </c>
      <c r="BE81" s="1" t="s">
        <v>121</v>
      </c>
      <c r="BF81" s="1" t="s">
        <v>121</v>
      </c>
      <c r="BG81" s="1" t="s">
        <v>121</v>
      </c>
      <c r="BH81" s="1" t="s">
        <v>121</v>
      </c>
      <c r="BI81" s="1" t="s">
        <v>121</v>
      </c>
      <c r="BJ81" s="1" t="s">
        <v>121</v>
      </c>
      <c r="BK81" s="1" t="s">
        <v>121</v>
      </c>
      <c r="BL81" s="1" t="s">
        <v>121</v>
      </c>
      <c r="BM81" s="1" t="s">
        <v>121</v>
      </c>
      <c r="BN81" s="1" t="s">
        <v>121</v>
      </c>
      <c r="BO81" s="1" t="s">
        <v>121</v>
      </c>
      <c r="BP81" s="1" t="s">
        <v>121</v>
      </c>
      <c r="BQ81" s="1" t="s">
        <v>121</v>
      </c>
    </row>
    <row r="82" spans="1:69" ht="15" customHeight="1" x14ac:dyDescent="0.25">
      <c r="A82" s="72">
        <v>82</v>
      </c>
      <c r="B82" s="217" t="s">
        <v>335</v>
      </c>
      <c r="C82" s="150" t="s">
        <v>121</v>
      </c>
      <c r="D82" s="164" t="s">
        <v>121</v>
      </c>
      <c r="E82" s="151" t="s">
        <v>121</v>
      </c>
      <c r="F82" s="244" t="s">
        <v>121</v>
      </c>
      <c r="G82" s="244" t="s">
        <v>121</v>
      </c>
      <c r="H82" s="244" t="s">
        <v>121</v>
      </c>
      <c r="I82" s="244" t="s">
        <v>121</v>
      </c>
      <c r="J82" s="244" t="s">
        <v>121</v>
      </c>
      <c r="K82" s="244" t="s">
        <v>121</v>
      </c>
      <c r="L82" s="244" t="s">
        <v>121</v>
      </c>
      <c r="M82" s="244" t="s">
        <v>121</v>
      </c>
      <c r="N82" s="244" t="s">
        <v>121</v>
      </c>
      <c r="O82" s="244" t="s">
        <v>121</v>
      </c>
      <c r="P82" s="244" t="s">
        <v>121</v>
      </c>
      <c r="Q82" s="244" t="s">
        <v>121</v>
      </c>
      <c r="R82" s="406"/>
      <c r="S82" s="406"/>
      <c r="T82" s="406"/>
      <c r="U82" s="244" t="s">
        <v>121</v>
      </c>
      <c r="V82" s="244" t="s">
        <v>121</v>
      </c>
      <c r="W82" s="250" t="s">
        <v>121</v>
      </c>
      <c r="X82" s="250" t="s">
        <v>121</v>
      </c>
      <c r="Y82" s="250" t="s">
        <v>121</v>
      </c>
      <c r="Z82" s="250" t="s">
        <v>121</v>
      </c>
      <c r="AA82" s="165" t="s">
        <v>121</v>
      </c>
      <c r="AB82" s="165" t="s">
        <v>121</v>
      </c>
      <c r="AC82" s="165" t="s">
        <v>121</v>
      </c>
      <c r="AD82" s="165" t="s">
        <v>121</v>
      </c>
      <c r="AE82" s="165" t="s">
        <v>121</v>
      </c>
      <c r="AF82" s="165" t="s">
        <v>121</v>
      </c>
      <c r="AG82" s="165" t="s">
        <v>121</v>
      </c>
      <c r="AH82" s="165" t="s">
        <v>121</v>
      </c>
      <c r="AI82" s="1" t="s">
        <v>121</v>
      </c>
      <c r="AJ82" s="1" t="s">
        <v>121</v>
      </c>
      <c r="AK82" s="1" t="s">
        <v>121</v>
      </c>
      <c r="AL82" s="1" t="s">
        <v>121</v>
      </c>
      <c r="AM82" s="1" t="s">
        <v>121</v>
      </c>
      <c r="AN82" s="1" t="s">
        <v>121</v>
      </c>
      <c r="AO82" s="1" t="s">
        <v>121</v>
      </c>
      <c r="AP82" s="1" t="s">
        <v>121</v>
      </c>
      <c r="AQ82" s="1" t="s">
        <v>121</v>
      </c>
      <c r="AR82" s="1" t="s">
        <v>121</v>
      </c>
      <c r="AS82" s="1" t="s">
        <v>121</v>
      </c>
      <c r="AT82" s="1" t="s">
        <v>121</v>
      </c>
      <c r="AU82" s="1" t="s">
        <v>121</v>
      </c>
      <c r="AV82" s="1" t="s">
        <v>121</v>
      </c>
      <c r="AW82" s="1" t="s">
        <v>121</v>
      </c>
      <c r="AX82" s="1" t="s">
        <v>121</v>
      </c>
      <c r="AY82" s="1" t="s">
        <v>121</v>
      </c>
      <c r="AZ82" s="1" t="s">
        <v>121</v>
      </c>
      <c r="BA82" s="1" t="s">
        <v>121</v>
      </c>
      <c r="BB82" s="1" t="s">
        <v>121</v>
      </c>
      <c r="BC82" s="1" t="s">
        <v>121</v>
      </c>
      <c r="BD82" s="1" t="s">
        <v>121</v>
      </c>
      <c r="BE82" s="1" t="s">
        <v>121</v>
      </c>
      <c r="BF82" s="1" t="s">
        <v>121</v>
      </c>
      <c r="BG82" s="1" t="s">
        <v>121</v>
      </c>
      <c r="BH82" s="1" t="s">
        <v>121</v>
      </c>
      <c r="BI82" s="1" t="s">
        <v>121</v>
      </c>
      <c r="BJ82" s="1" t="s">
        <v>121</v>
      </c>
      <c r="BK82" s="1" t="s">
        <v>121</v>
      </c>
      <c r="BL82" s="1" t="s">
        <v>121</v>
      </c>
      <c r="BM82" s="1" t="s">
        <v>121</v>
      </c>
      <c r="BN82" s="1" t="s">
        <v>121</v>
      </c>
      <c r="BO82" s="1" t="s">
        <v>121</v>
      </c>
      <c r="BP82" s="1" t="s">
        <v>121</v>
      </c>
      <c r="BQ82" s="1" t="s">
        <v>121</v>
      </c>
    </row>
    <row r="83" spans="1:69" ht="15" customHeight="1" x14ac:dyDescent="0.25">
      <c r="A83" s="72">
        <v>83</v>
      </c>
      <c r="B83" s="217" t="s">
        <v>336</v>
      </c>
      <c r="C83" s="150" t="s">
        <v>121</v>
      </c>
      <c r="D83" s="164" t="s">
        <v>121</v>
      </c>
      <c r="E83" s="151" t="s">
        <v>121</v>
      </c>
      <c r="F83" s="244" t="s">
        <v>121</v>
      </c>
      <c r="G83" s="244" t="s">
        <v>121</v>
      </c>
      <c r="H83" s="244" t="s">
        <v>121</v>
      </c>
      <c r="I83" s="244" t="s">
        <v>121</v>
      </c>
      <c r="J83" s="244" t="s">
        <v>121</v>
      </c>
      <c r="K83" s="244" t="s">
        <v>121</v>
      </c>
      <c r="L83" s="244" t="s">
        <v>121</v>
      </c>
      <c r="M83" s="244" t="s">
        <v>121</v>
      </c>
      <c r="N83" s="244" t="s">
        <v>121</v>
      </c>
      <c r="O83" s="244" t="s">
        <v>121</v>
      </c>
      <c r="P83" s="244" t="s">
        <v>121</v>
      </c>
      <c r="Q83" s="244" t="s">
        <v>121</v>
      </c>
      <c r="R83" s="406"/>
      <c r="S83" s="406"/>
      <c r="T83" s="406"/>
      <c r="U83" s="244" t="s">
        <v>121</v>
      </c>
      <c r="V83" s="244" t="s">
        <v>121</v>
      </c>
      <c r="W83" s="250" t="s">
        <v>121</v>
      </c>
      <c r="X83" s="250" t="s">
        <v>121</v>
      </c>
      <c r="Y83" s="250" t="s">
        <v>121</v>
      </c>
      <c r="Z83" s="250" t="s">
        <v>121</v>
      </c>
      <c r="AA83" s="165" t="s">
        <v>121</v>
      </c>
      <c r="AB83" s="165" t="s">
        <v>121</v>
      </c>
      <c r="AC83" s="165" t="s">
        <v>121</v>
      </c>
      <c r="AD83" s="165" t="s">
        <v>121</v>
      </c>
      <c r="AE83" s="165" t="s">
        <v>121</v>
      </c>
      <c r="AF83" s="165" t="s">
        <v>121</v>
      </c>
      <c r="AG83" s="165" t="s">
        <v>121</v>
      </c>
      <c r="AH83" s="165" t="s">
        <v>121</v>
      </c>
      <c r="AI83" s="1" t="s">
        <v>121</v>
      </c>
      <c r="AJ83" s="1" t="s">
        <v>121</v>
      </c>
      <c r="AK83" s="1" t="s">
        <v>121</v>
      </c>
      <c r="AL83" s="1" t="s">
        <v>121</v>
      </c>
      <c r="AM83" s="1" t="s">
        <v>121</v>
      </c>
      <c r="AN83" s="1" t="s">
        <v>121</v>
      </c>
      <c r="AO83" s="1" t="s">
        <v>121</v>
      </c>
      <c r="AP83" s="1" t="s">
        <v>121</v>
      </c>
      <c r="AQ83" s="1" t="s">
        <v>121</v>
      </c>
      <c r="AR83" s="1" t="s">
        <v>121</v>
      </c>
      <c r="AS83" s="1" t="s">
        <v>121</v>
      </c>
      <c r="AT83" s="1" t="s">
        <v>121</v>
      </c>
      <c r="AU83" s="1" t="s">
        <v>121</v>
      </c>
      <c r="AV83" s="1" t="s">
        <v>121</v>
      </c>
      <c r="AW83" s="1" t="s">
        <v>121</v>
      </c>
      <c r="AX83" s="1" t="s">
        <v>121</v>
      </c>
      <c r="AY83" s="1" t="s">
        <v>121</v>
      </c>
      <c r="AZ83" s="1" t="s">
        <v>121</v>
      </c>
      <c r="BA83" s="1" t="s">
        <v>121</v>
      </c>
      <c r="BB83" s="1" t="s">
        <v>121</v>
      </c>
      <c r="BC83" s="1" t="s">
        <v>121</v>
      </c>
      <c r="BD83" s="1" t="s">
        <v>121</v>
      </c>
      <c r="BE83" s="1" t="s">
        <v>121</v>
      </c>
      <c r="BF83" s="1" t="s">
        <v>121</v>
      </c>
      <c r="BG83" s="1" t="s">
        <v>121</v>
      </c>
      <c r="BH83" s="1" t="s">
        <v>121</v>
      </c>
      <c r="BI83" s="1" t="s">
        <v>121</v>
      </c>
      <c r="BJ83" s="1" t="s">
        <v>121</v>
      </c>
      <c r="BK83" s="1" t="s">
        <v>121</v>
      </c>
      <c r="BL83" s="1" t="s">
        <v>121</v>
      </c>
      <c r="BM83" s="1" t="s">
        <v>121</v>
      </c>
      <c r="BN83" s="1" t="s">
        <v>121</v>
      </c>
      <c r="BO83" s="1" t="s">
        <v>121</v>
      </c>
      <c r="BP83" s="1" t="s">
        <v>121</v>
      </c>
      <c r="BQ83" s="1" t="s">
        <v>121</v>
      </c>
    </row>
    <row r="84" spans="1:69" ht="15" customHeight="1" x14ac:dyDescent="0.25">
      <c r="A84" s="72">
        <v>84</v>
      </c>
      <c r="B84" s="217" t="s">
        <v>337</v>
      </c>
      <c r="C84" s="150" t="s">
        <v>121</v>
      </c>
      <c r="D84" s="164" t="s">
        <v>121</v>
      </c>
      <c r="E84" s="151" t="s">
        <v>121</v>
      </c>
      <c r="F84" s="244" t="s">
        <v>121</v>
      </c>
      <c r="G84" s="244" t="s">
        <v>121</v>
      </c>
      <c r="H84" s="244" t="s">
        <v>121</v>
      </c>
      <c r="I84" s="244" t="s">
        <v>121</v>
      </c>
      <c r="J84" s="244" t="s">
        <v>121</v>
      </c>
      <c r="K84" s="244" t="s">
        <v>121</v>
      </c>
      <c r="L84" s="244" t="s">
        <v>121</v>
      </c>
      <c r="M84" s="244" t="s">
        <v>121</v>
      </c>
      <c r="N84" s="244" t="s">
        <v>121</v>
      </c>
      <c r="O84" s="244" t="s">
        <v>121</v>
      </c>
      <c r="P84" s="244" t="s">
        <v>121</v>
      </c>
      <c r="Q84" s="244" t="s">
        <v>121</v>
      </c>
      <c r="R84" s="406"/>
      <c r="S84" s="406"/>
      <c r="T84" s="406"/>
      <c r="U84" s="244" t="s">
        <v>121</v>
      </c>
      <c r="V84" s="244" t="s">
        <v>121</v>
      </c>
      <c r="W84" s="250" t="s">
        <v>121</v>
      </c>
      <c r="X84" s="250" t="s">
        <v>121</v>
      </c>
      <c r="Y84" s="250" t="s">
        <v>121</v>
      </c>
      <c r="Z84" s="250" t="s">
        <v>121</v>
      </c>
      <c r="AA84" s="165" t="s">
        <v>121</v>
      </c>
      <c r="AB84" s="165" t="s">
        <v>121</v>
      </c>
      <c r="AC84" s="165" t="s">
        <v>121</v>
      </c>
      <c r="AD84" s="165" t="s">
        <v>121</v>
      </c>
      <c r="AE84" s="165" t="s">
        <v>121</v>
      </c>
      <c r="AF84" s="165" t="s">
        <v>121</v>
      </c>
      <c r="AG84" s="165" t="s">
        <v>121</v>
      </c>
      <c r="AH84" s="165" t="s">
        <v>121</v>
      </c>
      <c r="AI84" s="1" t="s">
        <v>121</v>
      </c>
      <c r="AJ84" s="1" t="s">
        <v>121</v>
      </c>
      <c r="AK84" s="1" t="s">
        <v>121</v>
      </c>
      <c r="AL84" s="1" t="s">
        <v>121</v>
      </c>
      <c r="AM84" s="1" t="s">
        <v>121</v>
      </c>
      <c r="AN84" s="1" t="s">
        <v>121</v>
      </c>
      <c r="AO84" s="1" t="s">
        <v>121</v>
      </c>
      <c r="AP84" s="1" t="s">
        <v>121</v>
      </c>
      <c r="AQ84" s="1" t="s">
        <v>121</v>
      </c>
      <c r="AR84" s="1" t="s">
        <v>121</v>
      </c>
      <c r="AS84" s="1" t="s">
        <v>121</v>
      </c>
      <c r="AT84" s="1" t="s">
        <v>121</v>
      </c>
      <c r="AU84" s="1" t="s">
        <v>121</v>
      </c>
      <c r="AV84" s="1" t="s">
        <v>121</v>
      </c>
      <c r="AW84" s="1" t="s">
        <v>121</v>
      </c>
      <c r="AX84" s="1" t="s">
        <v>121</v>
      </c>
      <c r="AY84" s="1" t="s">
        <v>121</v>
      </c>
      <c r="AZ84" s="1" t="s">
        <v>121</v>
      </c>
      <c r="BA84" s="1" t="s">
        <v>121</v>
      </c>
      <c r="BB84" s="1" t="s">
        <v>121</v>
      </c>
      <c r="BC84" s="1" t="s">
        <v>121</v>
      </c>
      <c r="BD84" s="1" t="s">
        <v>121</v>
      </c>
      <c r="BE84" s="1" t="s">
        <v>121</v>
      </c>
      <c r="BF84" s="1" t="s">
        <v>121</v>
      </c>
      <c r="BG84" s="1" t="s">
        <v>121</v>
      </c>
      <c r="BH84" s="1" t="s">
        <v>121</v>
      </c>
      <c r="BI84" s="1" t="s">
        <v>121</v>
      </c>
      <c r="BJ84" s="1" t="s">
        <v>121</v>
      </c>
      <c r="BK84" s="1" t="s">
        <v>121</v>
      </c>
      <c r="BL84" s="1" t="s">
        <v>121</v>
      </c>
      <c r="BM84" s="1" t="s">
        <v>121</v>
      </c>
      <c r="BN84" s="1" t="s">
        <v>121</v>
      </c>
      <c r="BO84" s="1" t="s">
        <v>121</v>
      </c>
      <c r="BP84" s="1" t="s">
        <v>121</v>
      </c>
      <c r="BQ84" s="1" t="s">
        <v>121</v>
      </c>
    </row>
    <row r="85" spans="1:69" ht="15" customHeight="1" x14ac:dyDescent="0.25">
      <c r="A85" s="72">
        <v>85</v>
      </c>
      <c r="B85" s="217" t="s">
        <v>338</v>
      </c>
      <c r="C85" s="150" t="s">
        <v>121</v>
      </c>
      <c r="D85" s="164" t="s">
        <v>121</v>
      </c>
      <c r="E85" s="151" t="s">
        <v>121</v>
      </c>
      <c r="F85" s="244" t="s">
        <v>121</v>
      </c>
      <c r="G85" s="244" t="s">
        <v>121</v>
      </c>
      <c r="H85" s="244" t="s">
        <v>121</v>
      </c>
      <c r="I85" s="244" t="s">
        <v>121</v>
      </c>
      <c r="J85" s="244" t="s">
        <v>121</v>
      </c>
      <c r="K85" s="244" t="s">
        <v>121</v>
      </c>
      <c r="L85" s="244" t="s">
        <v>121</v>
      </c>
      <c r="M85" s="244" t="s">
        <v>121</v>
      </c>
      <c r="N85" s="244" t="s">
        <v>121</v>
      </c>
      <c r="O85" s="244" t="s">
        <v>121</v>
      </c>
      <c r="P85" s="244" t="s">
        <v>121</v>
      </c>
      <c r="Q85" s="244" t="s">
        <v>121</v>
      </c>
      <c r="R85" s="406"/>
      <c r="S85" s="406"/>
      <c r="T85" s="406"/>
      <c r="U85" s="244" t="s">
        <v>121</v>
      </c>
      <c r="V85" s="244" t="s">
        <v>121</v>
      </c>
      <c r="W85" s="250" t="s">
        <v>121</v>
      </c>
      <c r="X85" s="250" t="s">
        <v>121</v>
      </c>
      <c r="Y85" s="250" t="s">
        <v>121</v>
      </c>
      <c r="Z85" s="250" t="s">
        <v>121</v>
      </c>
      <c r="AA85" s="165" t="s">
        <v>121</v>
      </c>
      <c r="AB85" s="165" t="s">
        <v>121</v>
      </c>
      <c r="AC85" s="165" t="s">
        <v>121</v>
      </c>
      <c r="AD85" s="165" t="s">
        <v>121</v>
      </c>
      <c r="AE85" s="165" t="s">
        <v>121</v>
      </c>
      <c r="AF85" s="165" t="s">
        <v>121</v>
      </c>
      <c r="AG85" s="165" t="s">
        <v>121</v>
      </c>
      <c r="AH85" s="165" t="s">
        <v>121</v>
      </c>
      <c r="AI85" s="1" t="s">
        <v>121</v>
      </c>
      <c r="AJ85" s="1" t="s">
        <v>121</v>
      </c>
      <c r="AK85" s="1" t="s">
        <v>121</v>
      </c>
      <c r="AL85" s="1" t="s">
        <v>121</v>
      </c>
      <c r="AM85" s="1" t="s">
        <v>121</v>
      </c>
      <c r="AN85" s="1" t="s">
        <v>121</v>
      </c>
      <c r="AO85" s="1" t="s">
        <v>121</v>
      </c>
      <c r="AP85" s="1" t="s">
        <v>121</v>
      </c>
      <c r="AQ85" s="1" t="s">
        <v>121</v>
      </c>
      <c r="AR85" s="1" t="s">
        <v>121</v>
      </c>
      <c r="AS85" s="1" t="s">
        <v>121</v>
      </c>
      <c r="AT85" s="1" t="s">
        <v>121</v>
      </c>
      <c r="AU85" s="1" t="s">
        <v>121</v>
      </c>
      <c r="AV85" s="1" t="s">
        <v>121</v>
      </c>
      <c r="AW85" s="1" t="s">
        <v>121</v>
      </c>
      <c r="AX85" s="1" t="s">
        <v>121</v>
      </c>
      <c r="AY85" s="1" t="s">
        <v>121</v>
      </c>
      <c r="AZ85" s="1" t="s">
        <v>121</v>
      </c>
      <c r="BA85" s="1" t="s">
        <v>121</v>
      </c>
      <c r="BB85" s="1" t="s">
        <v>121</v>
      </c>
      <c r="BC85" s="1" t="s">
        <v>121</v>
      </c>
      <c r="BD85" s="1" t="s">
        <v>121</v>
      </c>
      <c r="BE85" s="1" t="s">
        <v>121</v>
      </c>
      <c r="BF85" s="1" t="s">
        <v>121</v>
      </c>
      <c r="BG85" s="1" t="s">
        <v>121</v>
      </c>
      <c r="BH85" s="1" t="s">
        <v>121</v>
      </c>
      <c r="BI85" s="1" t="s">
        <v>121</v>
      </c>
      <c r="BJ85" s="1" t="s">
        <v>121</v>
      </c>
      <c r="BK85" s="1" t="s">
        <v>121</v>
      </c>
      <c r="BL85" s="1" t="s">
        <v>121</v>
      </c>
      <c r="BM85" s="1" t="s">
        <v>121</v>
      </c>
      <c r="BN85" s="1" t="s">
        <v>121</v>
      </c>
      <c r="BO85" s="1" t="s">
        <v>121</v>
      </c>
      <c r="BP85" s="1" t="s">
        <v>121</v>
      </c>
      <c r="BQ85" s="1" t="s">
        <v>121</v>
      </c>
    </row>
    <row r="86" spans="1:69" ht="15" customHeight="1" x14ac:dyDescent="0.25">
      <c r="A86" s="72">
        <v>86</v>
      </c>
      <c r="B86" s="217" t="s">
        <v>339</v>
      </c>
      <c r="C86" s="150" t="s">
        <v>121</v>
      </c>
      <c r="D86" s="164" t="s">
        <v>121</v>
      </c>
      <c r="E86" s="151" t="s">
        <v>121</v>
      </c>
      <c r="F86" s="244">
        <v>29512</v>
      </c>
      <c r="G86" s="244">
        <v>36643</v>
      </c>
      <c r="H86" s="244">
        <v>28120</v>
      </c>
      <c r="I86" s="244">
        <v>30522</v>
      </c>
      <c r="J86" s="244">
        <v>30365</v>
      </c>
      <c r="K86" s="244">
        <v>28038</v>
      </c>
      <c r="L86" s="244">
        <v>26233</v>
      </c>
      <c r="M86" s="244">
        <v>30800</v>
      </c>
      <c r="N86" s="244">
        <v>32932</v>
      </c>
      <c r="O86" s="244">
        <v>34213</v>
      </c>
      <c r="P86" s="244">
        <v>33444</v>
      </c>
      <c r="Q86" s="244">
        <v>42123</v>
      </c>
      <c r="R86" s="406"/>
      <c r="S86" s="406"/>
      <c r="T86" s="406"/>
      <c r="U86" s="244">
        <v>41357</v>
      </c>
      <c r="V86" s="244">
        <v>43773.26</v>
      </c>
      <c r="W86" s="250">
        <v>44395.896000000001</v>
      </c>
      <c r="X86" s="250">
        <v>43661.637000000002</v>
      </c>
      <c r="Y86" s="250">
        <v>40696.482000000004</v>
      </c>
      <c r="Z86" s="250">
        <v>36403.144999999997</v>
      </c>
      <c r="AA86" s="165">
        <v>36386.394999999997</v>
      </c>
      <c r="AB86" s="165">
        <v>35161.974000000002</v>
      </c>
      <c r="AC86" s="165">
        <v>29569.388999999999</v>
      </c>
      <c r="AD86" s="165">
        <v>34852.341</v>
      </c>
      <c r="AE86" s="165">
        <v>30913.358</v>
      </c>
      <c r="AF86" s="165">
        <v>32696.728999999999</v>
      </c>
      <c r="AG86" s="165">
        <v>34134.374000000003</v>
      </c>
      <c r="AH86" s="165">
        <v>35020.402999999998</v>
      </c>
      <c r="AI86" s="1">
        <v>36698.998</v>
      </c>
      <c r="AJ86" s="1">
        <v>34194.228000000003</v>
      </c>
      <c r="AK86" s="1" t="s">
        <v>121</v>
      </c>
      <c r="AL86" s="1" t="s">
        <v>121</v>
      </c>
      <c r="AM86" s="1" t="s">
        <v>121</v>
      </c>
      <c r="AN86" s="1" t="s">
        <v>121</v>
      </c>
      <c r="AO86" s="1" t="s">
        <v>121</v>
      </c>
      <c r="AP86" s="1" t="s">
        <v>121</v>
      </c>
      <c r="AQ86" s="1" t="s">
        <v>121</v>
      </c>
      <c r="AR86" s="1" t="s">
        <v>121</v>
      </c>
      <c r="AS86" s="1" t="s">
        <v>121</v>
      </c>
      <c r="AT86" s="1" t="s">
        <v>121</v>
      </c>
      <c r="AU86" s="1" t="s">
        <v>121</v>
      </c>
      <c r="AV86" s="1" t="s">
        <v>121</v>
      </c>
      <c r="AW86" s="1" t="s">
        <v>121</v>
      </c>
      <c r="AX86" s="1" t="s">
        <v>121</v>
      </c>
      <c r="AY86" s="1" t="s">
        <v>121</v>
      </c>
      <c r="AZ86" s="1" t="s">
        <v>121</v>
      </c>
      <c r="BA86" s="1" t="s">
        <v>121</v>
      </c>
      <c r="BB86" s="1" t="s">
        <v>121</v>
      </c>
      <c r="BC86" s="1" t="s">
        <v>121</v>
      </c>
      <c r="BD86" s="1" t="s">
        <v>121</v>
      </c>
      <c r="BE86" s="1" t="s">
        <v>121</v>
      </c>
      <c r="BF86" s="1" t="s">
        <v>121</v>
      </c>
      <c r="BG86" s="1" t="s">
        <v>121</v>
      </c>
      <c r="BH86" s="1" t="s">
        <v>121</v>
      </c>
      <c r="BI86" s="1" t="s">
        <v>121</v>
      </c>
      <c r="BJ86" s="1" t="s">
        <v>121</v>
      </c>
      <c r="BK86" s="1" t="s">
        <v>121</v>
      </c>
      <c r="BL86" s="1" t="s">
        <v>121</v>
      </c>
      <c r="BM86" s="1" t="s">
        <v>121</v>
      </c>
      <c r="BN86" s="1" t="s">
        <v>121</v>
      </c>
      <c r="BO86" s="1" t="s">
        <v>121</v>
      </c>
      <c r="BP86" s="1" t="s">
        <v>121</v>
      </c>
      <c r="BQ86" s="1" t="s">
        <v>121</v>
      </c>
    </row>
    <row r="87" spans="1:69" ht="15" customHeight="1" x14ac:dyDescent="0.25">
      <c r="A87" s="72">
        <v>87</v>
      </c>
      <c r="B87" s="233" t="s">
        <v>346</v>
      </c>
      <c r="C87" s="150" t="s">
        <v>121</v>
      </c>
      <c r="D87" s="164" t="s">
        <v>121</v>
      </c>
      <c r="E87" s="151" t="s">
        <v>121</v>
      </c>
      <c r="F87" s="312">
        <v>29512</v>
      </c>
      <c r="G87" s="312">
        <v>36643</v>
      </c>
      <c r="H87" s="312">
        <v>28120</v>
      </c>
      <c r="I87" s="312">
        <v>30522</v>
      </c>
      <c r="J87" s="312">
        <v>30365</v>
      </c>
      <c r="K87" s="312">
        <v>28038</v>
      </c>
      <c r="L87" s="312">
        <v>26233</v>
      </c>
      <c r="M87" s="312">
        <v>30800</v>
      </c>
      <c r="N87" s="312">
        <v>32932</v>
      </c>
      <c r="O87" s="312">
        <v>34213</v>
      </c>
      <c r="P87" s="312">
        <v>33444</v>
      </c>
      <c r="Q87" s="312">
        <v>42123</v>
      </c>
      <c r="R87" s="406"/>
      <c r="S87" s="406"/>
      <c r="T87" s="406"/>
      <c r="U87" s="312">
        <v>41357</v>
      </c>
      <c r="V87" s="312">
        <v>43773.26</v>
      </c>
      <c r="W87" s="294">
        <v>44395.896000000001</v>
      </c>
      <c r="X87" s="294">
        <v>43661.637000000002</v>
      </c>
      <c r="Y87" s="294">
        <v>40696.482000000004</v>
      </c>
      <c r="Z87" s="294">
        <v>36403.144999999997</v>
      </c>
      <c r="AA87" s="212">
        <v>36386.394999999997</v>
      </c>
      <c r="AB87" s="212">
        <v>35161.974000000002</v>
      </c>
      <c r="AC87" s="212">
        <v>29569.388999999999</v>
      </c>
      <c r="AD87" s="212">
        <v>34852.341</v>
      </c>
      <c r="AE87" s="212">
        <v>30913.358</v>
      </c>
      <c r="AF87" s="212">
        <v>32696.728999999999</v>
      </c>
      <c r="AG87" s="212">
        <v>34134.374000000003</v>
      </c>
      <c r="AH87" s="212">
        <v>35020.402999999998</v>
      </c>
      <c r="AI87" s="1">
        <v>36698.998</v>
      </c>
      <c r="AJ87" s="1">
        <v>34194.228000000003</v>
      </c>
      <c r="AK87" s="1" t="s">
        <v>121</v>
      </c>
      <c r="AL87" s="1" t="s">
        <v>121</v>
      </c>
      <c r="AM87" s="1" t="s">
        <v>121</v>
      </c>
      <c r="AN87" s="1" t="s">
        <v>121</v>
      </c>
      <c r="AO87" s="1" t="s">
        <v>121</v>
      </c>
      <c r="AP87" s="1" t="s">
        <v>121</v>
      </c>
      <c r="AQ87" s="1" t="s">
        <v>121</v>
      </c>
      <c r="AR87" s="1" t="s">
        <v>121</v>
      </c>
      <c r="AS87" s="1" t="s">
        <v>121</v>
      </c>
      <c r="AT87" s="1" t="s">
        <v>121</v>
      </c>
      <c r="AU87" s="1" t="s">
        <v>121</v>
      </c>
      <c r="AV87" s="1" t="s">
        <v>121</v>
      </c>
      <c r="AW87" s="1" t="s">
        <v>121</v>
      </c>
      <c r="AX87" s="1" t="s">
        <v>121</v>
      </c>
      <c r="AY87" s="1" t="s">
        <v>121</v>
      </c>
      <c r="AZ87" s="1" t="s">
        <v>121</v>
      </c>
      <c r="BA87" s="1" t="s">
        <v>121</v>
      </c>
      <c r="BB87" s="1" t="s">
        <v>121</v>
      </c>
      <c r="BC87" s="1" t="s">
        <v>121</v>
      </c>
      <c r="BD87" s="1" t="s">
        <v>121</v>
      </c>
      <c r="BE87" s="1" t="s">
        <v>121</v>
      </c>
      <c r="BF87" s="1" t="s">
        <v>121</v>
      </c>
      <c r="BG87" s="1" t="s">
        <v>121</v>
      </c>
      <c r="BH87" s="1" t="s">
        <v>121</v>
      </c>
      <c r="BI87" s="1" t="s">
        <v>121</v>
      </c>
      <c r="BJ87" s="1" t="s">
        <v>121</v>
      </c>
      <c r="BK87" s="1" t="s">
        <v>121</v>
      </c>
      <c r="BL87" s="1" t="s">
        <v>121</v>
      </c>
      <c r="BM87" s="1" t="s">
        <v>121</v>
      </c>
      <c r="BN87" s="1" t="s">
        <v>121</v>
      </c>
      <c r="BO87" s="1" t="s">
        <v>121</v>
      </c>
      <c r="BP87" s="1" t="s">
        <v>121</v>
      </c>
      <c r="BQ87" s="1" t="s">
        <v>121</v>
      </c>
    </row>
    <row r="88" spans="1:69" ht="15" customHeight="1" x14ac:dyDescent="0.25">
      <c r="A88" s="72">
        <v>88</v>
      </c>
      <c r="B88" s="231" t="s">
        <v>14</v>
      </c>
      <c r="C88" s="150" t="s">
        <v>121</v>
      </c>
      <c r="D88" s="164" t="s">
        <v>121</v>
      </c>
      <c r="E88" s="151" t="s">
        <v>121</v>
      </c>
      <c r="F88" s="244">
        <v>-25977</v>
      </c>
      <c r="G88" s="244">
        <v>-26278</v>
      </c>
      <c r="H88" s="244">
        <v>-21731</v>
      </c>
      <c r="I88" s="244">
        <v>-23610</v>
      </c>
      <c r="J88" s="244">
        <v>-22918</v>
      </c>
      <c r="K88" s="244">
        <v>-20994</v>
      </c>
      <c r="L88" s="244">
        <v>-20640</v>
      </c>
      <c r="M88" s="244">
        <v>-25236</v>
      </c>
      <c r="N88" s="244">
        <v>-27490</v>
      </c>
      <c r="O88" s="244">
        <v>-28709</v>
      </c>
      <c r="P88" s="244">
        <v>-27272</v>
      </c>
      <c r="Q88" s="244">
        <v>-32656</v>
      </c>
      <c r="R88" s="406"/>
      <c r="S88" s="406"/>
      <c r="T88" s="406"/>
      <c r="U88" s="244">
        <v>-33003</v>
      </c>
      <c r="V88" s="244">
        <v>-34534.463000000003</v>
      </c>
      <c r="W88" s="250">
        <v>-32137.661</v>
      </c>
      <c r="X88" s="250">
        <v>-29894.244999999999</v>
      </c>
      <c r="Y88" s="250">
        <v>-26008.982</v>
      </c>
      <c r="Z88" s="250">
        <v>-25951.292000000001</v>
      </c>
      <c r="AA88" s="165">
        <v>-26159.766</v>
      </c>
      <c r="AB88" s="165">
        <v>-24531.355</v>
      </c>
      <c r="AC88" s="165">
        <v>-20879.550999999999</v>
      </c>
      <c r="AD88" s="165">
        <v>-23452.578000000001</v>
      </c>
      <c r="AE88" s="165">
        <v>-21698.787</v>
      </c>
      <c r="AF88" s="165">
        <v>-22600.241000000002</v>
      </c>
      <c r="AG88" s="165">
        <v>-24246.074000000001</v>
      </c>
      <c r="AH88" s="165">
        <v>-23691.562000000002</v>
      </c>
      <c r="AI88" s="1">
        <v>-23229.016</v>
      </c>
      <c r="AJ88" s="1">
        <v>-22878.98</v>
      </c>
      <c r="AK88" s="1" t="s">
        <v>121</v>
      </c>
      <c r="AL88" s="1" t="s">
        <v>121</v>
      </c>
      <c r="AM88" s="1" t="s">
        <v>121</v>
      </c>
      <c r="AN88" s="1" t="s">
        <v>121</v>
      </c>
      <c r="AO88" s="1" t="s">
        <v>121</v>
      </c>
      <c r="AP88" s="1" t="s">
        <v>121</v>
      </c>
      <c r="AQ88" s="1" t="s">
        <v>121</v>
      </c>
      <c r="AR88" s="1" t="s">
        <v>121</v>
      </c>
      <c r="AS88" s="1" t="s">
        <v>121</v>
      </c>
      <c r="AT88" s="1" t="s">
        <v>121</v>
      </c>
      <c r="AU88" s="1" t="s">
        <v>121</v>
      </c>
      <c r="AV88" s="1" t="s">
        <v>121</v>
      </c>
      <c r="AW88" s="1" t="s">
        <v>121</v>
      </c>
      <c r="AX88" s="1" t="s">
        <v>121</v>
      </c>
      <c r="AY88" s="1" t="s">
        <v>121</v>
      </c>
      <c r="AZ88" s="1" t="s">
        <v>121</v>
      </c>
      <c r="BA88" s="1" t="s">
        <v>121</v>
      </c>
      <c r="BB88" s="1" t="s">
        <v>121</v>
      </c>
      <c r="BC88" s="1" t="s">
        <v>121</v>
      </c>
      <c r="BD88" s="1" t="s">
        <v>121</v>
      </c>
      <c r="BE88" s="1" t="s">
        <v>121</v>
      </c>
      <c r="BF88" s="1" t="s">
        <v>121</v>
      </c>
      <c r="BG88" s="1" t="s">
        <v>121</v>
      </c>
      <c r="BH88" s="1" t="s">
        <v>121</v>
      </c>
      <c r="BI88" s="1" t="s">
        <v>121</v>
      </c>
      <c r="BJ88" s="1" t="s">
        <v>121</v>
      </c>
      <c r="BK88" s="1" t="s">
        <v>121</v>
      </c>
      <c r="BL88" s="1" t="s">
        <v>121</v>
      </c>
      <c r="BM88" s="1" t="s">
        <v>121</v>
      </c>
      <c r="BN88" s="1" t="s">
        <v>121</v>
      </c>
      <c r="BO88" s="1" t="s">
        <v>121</v>
      </c>
      <c r="BP88" s="1" t="s">
        <v>121</v>
      </c>
      <c r="BQ88" s="1" t="s">
        <v>121</v>
      </c>
    </row>
    <row r="89" spans="1:69" ht="21" customHeight="1" x14ac:dyDescent="0.25">
      <c r="A89" s="72">
        <v>89</v>
      </c>
      <c r="B89" s="233" t="s">
        <v>347</v>
      </c>
      <c r="C89" s="150" t="s">
        <v>121</v>
      </c>
      <c r="D89" s="164" t="s">
        <v>121</v>
      </c>
      <c r="E89" s="151" t="s">
        <v>121</v>
      </c>
      <c r="F89" s="312">
        <v>3535</v>
      </c>
      <c r="G89" s="312">
        <v>10365</v>
      </c>
      <c r="H89" s="312">
        <v>6389</v>
      </c>
      <c r="I89" s="312">
        <v>6912</v>
      </c>
      <c r="J89" s="312">
        <v>7447</v>
      </c>
      <c r="K89" s="312">
        <v>7044</v>
      </c>
      <c r="L89" s="312">
        <v>5593</v>
      </c>
      <c r="M89" s="312">
        <v>5564</v>
      </c>
      <c r="N89" s="312">
        <v>5442</v>
      </c>
      <c r="O89" s="312">
        <v>5504</v>
      </c>
      <c r="P89" s="312">
        <v>6172</v>
      </c>
      <c r="Q89" s="312">
        <v>9467</v>
      </c>
      <c r="R89" s="406"/>
      <c r="S89" s="406"/>
      <c r="T89" s="406"/>
      <c r="U89" s="312">
        <v>8354</v>
      </c>
      <c r="V89" s="312">
        <v>9238.7969999999987</v>
      </c>
      <c r="W89" s="294">
        <v>12258.235000000001</v>
      </c>
      <c r="X89" s="294">
        <v>13767.392000000003</v>
      </c>
      <c r="Y89" s="294">
        <v>14687.500000000004</v>
      </c>
      <c r="Z89" s="294">
        <v>10451.852999999996</v>
      </c>
      <c r="AA89" s="212">
        <v>10226.628999999997</v>
      </c>
      <c r="AB89" s="212">
        <v>10630.619000000002</v>
      </c>
      <c r="AC89" s="212">
        <v>8689.8379999999997</v>
      </c>
      <c r="AD89" s="212">
        <v>11399.762999999999</v>
      </c>
      <c r="AE89" s="212">
        <v>9214.5709999999999</v>
      </c>
      <c r="AF89" s="212">
        <v>10096.487999999998</v>
      </c>
      <c r="AG89" s="212">
        <v>9888.3000000000029</v>
      </c>
      <c r="AH89" s="212">
        <v>11328.840999999997</v>
      </c>
      <c r="AI89" s="1">
        <v>13469.982</v>
      </c>
      <c r="AJ89" s="1">
        <v>11315.248000000003</v>
      </c>
      <c r="AK89" s="1" t="s">
        <v>121</v>
      </c>
      <c r="AL89" s="1" t="s">
        <v>121</v>
      </c>
      <c r="AM89" s="1" t="s">
        <v>121</v>
      </c>
      <c r="AN89" s="1" t="s">
        <v>121</v>
      </c>
      <c r="AO89" s="1" t="s">
        <v>121</v>
      </c>
      <c r="AP89" s="1" t="s">
        <v>121</v>
      </c>
      <c r="AQ89" s="1" t="s">
        <v>121</v>
      </c>
      <c r="AR89" s="1" t="s">
        <v>121</v>
      </c>
      <c r="AS89" s="1" t="s">
        <v>121</v>
      </c>
      <c r="AT89" s="1" t="s">
        <v>121</v>
      </c>
      <c r="AU89" s="1" t="s">
        <v>121</v>
      </c>
      <c r="AV89" s="1" t="s">
        <v>121</v>
      </c>
      <c r="AW89" s="1" t="s">
        <v>121</v>
      </c>
      <c r="AX89" s="1" t="s">
        <v>121</v>
      </c>
      <c r="AY89" s="1" t="s">
        <v>121</v>
      </c>
      <c r="AZ89" s="1" t="s">
        <v>121</v>
      </c>
      <c r="BA89" s="1" t="s">
        <v>121</v>
      </c>
      <c r="BB89" s="1" t="s">
        <v>121</v>
      </c>
      <c r="BC89" s="1" t="s">
        <v>121</v>
      </c>
      <c r="BD89" s="1" t="s">
        <v>121</v>
      </c>
      <c r="BE89" s="1" t="s">
        <v>121</v>
      </c>
      <c r="BF89" s="1" t="s">
        <v>121</v>
      </c>
      <c r="BG89" s="1" t="s">
        <v>121</v>
      </c>
      <c r="BH89" s="1" t="s">
        <v>121</v>
      </c>
      <c r="BI89" s="1" t="s">
        <v>121</v>
      </c>
      <c r="BJ89" s="1" t="s">
        <v>121</v>
      </c>
      <c r="BK89" s="1" t="s">
        <v>121</v>
      </c>
      <c r="BL89" s="1" t="s">
        <v>121</v>
      </c>
      <c r="BM89" s="1" t="s">
        <v>121</v>
      </c>
      <c r="BN89" s="1" t="s">
        <v>121</v>
      </c>
      <c r="BO89" s="1" t="s">
        <v>121</v>
      </c>
      <c r="BP89" s="1" t="s">
        <v>121</v>
      </c>
      <c r="BQ89" s="1" t="s">
        <v>121</v>
      </c>
    </row>
    <row r="90" spans="1:69" ht="15" customHeight="1" x14ac:dyDescent="0.25">
      <c r="A90" s="72">
        <v>90</v>
      </c>
      <c r="B90" s="221" t="s">
        <v>348</v>
      </c>
      <c r="C90" s="91" t="s">
        <v>121</v>
      </c>
      <c r="D90" s="86" t="s">
        <v>121</v>
      </c>
      <c r="E90" s="92" t="s">
        <v>121</v>
      </c>
      <c r="F90" s="326" t="s">
        <v>121</v>
      </c>
      <c r="G90" s="326" t="s">
        <v>121</v>
      </c>
      <c r="H90" s="326" t="s">
        <v>121</v>
      </c>
      <c r="I90" s="326" t="s">
        <v>121</v>
      </c>
      <c r="J90" s="326" t="s">
        <v>121</v>
      </c>
      <c r="K90" s="326" t="s">
        <v>121</v>
      </c>
      <c r="L90" s="326" t="s">
        <v>121</v>
      </c>
      <c r="M90" s="326" t="s">
        <v>121</v>
      </c>
      <c r="N90" s="326" t="s">
        <v>121</v>
      </c>
      <c r="O90" s="326" t="s">
        <v>121</v>
      </c>
      <c r="P90" s="326" t="s">
        <v>121</v>
      </c>
      <c r="Q90" s="326" t="s">
        <v>121</v>
      </c>
      <c r="R90" s="406"/>
      <c r="S90" s="406"/>
      <c r="T90" s="406"/>
      <c r="U90" s="326" t="s">
        <v>121</v>
      </c>
      <c r="V90" s="326" t="s">
        <v>121</v>
      </c>
      <c r="W90" s="275" t="s">
        <v>121</v>
      </c>
      <c r="X90" s="275" t="s">
        <v>121</v>
      </c>
      <c r="Y90" s="275" t="s">
        <v>121</v>
      </c>
      <c r="Z90" s="275" t="s">
        <v>121</v>
      </c>
      <c r="AA90" s="164" t="s">
        <v>121</v>
      </c>
      <c r="AB90" s="164" t="s">
        <v>121</v>
      </c>
      <c r="AC90" s="164" t="s">
        <v>121</v>
      </c>
      <c r="AD90" s="164" t="s">
        <v>121</v>
      </c>
      <c r="AE90" s="164" t="s">
        <v>121</v>
      </c>
      <c r="AF90" s="164" t="s">
        <v>121</v>
      </c>
      <c r="AG90" s="164" t="s">
        <v>121</v>
      </c>
      <c r="AH90" s="83" t="s">
        <v>121</v>
      </c>
      <c r="AI90" s="1" t="s">
        <v>121</v>
      </c>
      <c r="AJ90" s="1" t="s">
        <v>121</v>
      </c>
      <c r="AK90" s="1" t="s">
        <v>121</v>
      </c>
      <c r="AL90" s="1" t="s">
        <v>121</v>
      </c>
      <c r="AM90" s="1" t="s">
        <v>121</v>
      </c>
      <c r="AN90" s="1" t="s">
        <v>121</v>
      </c>
      <c r="AO90" s="1" t="s">
        <v>121</v>
      </c>
      <c r="AP90" s="1" t="s">
        <v>121</v>
      </c>
      <c r="AQ90" s="1" t="s">
        <v>121</v>
      </c>
      <c r="AR90" s="1" t="s">
        <v>121</v>
      </c>
      <c r="AS90" s="1" t="s">
        <v>121</v>
      </c>
      <c r="AT90" s="1" t="s">
        <v>121</v>
      </c>
      <c r="AU90" s="1" t="s">
        <v>121</v>
      </c>
      <c r="AV90" s="1" t="s">
        <v>121</v>
      </c>
      <c r="AW90" s="1" t="s">
        <v>121</v>
      </c>
      <c r="AX90" s="1" t="s">
        <v>121</v>
      </c>
      <c r="AY90" s="1" t="s">
        <v>121</v>
      </c>
      <c r="AZ90" s="1" t="s">
        <v>121</v>
      </c>
      <c r="BA90" s="1" t="s">
        <v>121</v>
      </c>
      <c r="BB90" s="1" t="s">
        <v>121</v>
      </c>
      <c r="BC90" s="1" t="s">
        <v>121</v>
      </c>
      <c r="BD90" s="1" t="s">
        <v>121</v>
      </c>
      <c r="BE90" s="1" t="s">
        <v>121</v>
      </c>
      <c r="BF90" s="1" t="s">
        <v>121</v>
      </c>
      <c r="BG90" s="1" t="s">
        <v>121</v>
      </c>
      <c r="BH90" s="1" t="s">
        <v>121</v>
      </c>
      <c r="BI90" s="1" t="s">
        <v>121</v>
      </c>
      <c r="BJ90" s="1" t="s">
        <v>121</v>
      </c>
      <c r="BK90" s="1" t="s">
        <v>121</v>
      </c>
      <c r="BL90" s="1" t="s">
        <v>121</v>
      </c>
      <c r="BM90" s="1" t="s">
        <v>121</v>
      </c>
      <c r="BN90" s="1" t="s">
        <v>121</v>
      </c>
      <c r="BO90" s="1" t="s">
        <v>121</v>
      </c>
      <c r="BP90" s="1" t="s">
        <v>121</v>
      </c>
      <c r="BQ90" s="1" t="s">
        <v>121</v>
      </c>
    </row>
    <row r="91" spans="1:69" ht="15" customHeight="1" x14ac:dyDescent="0.25">
      <c r="A91" s="72">
        <v>91</v>
      </c>
      <c r="B91" s="217" t="s">
        <v>335</v>
      </c>
      <c r="C91" s="150" t="s">
        <v>121</v>
      </c>
      <c r="D91" s="164" t="s">
        <v>121</v>
      </c>
      <c r="E91" s="151" t="s">
        <v>121</v>
      </c>
      <c r="F91" s="244" t="s">
        <v>121</v>
      </c>
      <c r="G91" s="244" t="s">
        <v>121</v>
      </c>
      <c r="H91" s="244" t="s">
        <v>121</v>
      </c>
      <c r="I91" s="244" t="s">
        <v>121</v>
      </c>
      <c r="J91" s="244" t="s">
        <v>121</v>
      </c>
      <c r="K91" s="244" t="s">
        <v>121</v>
      </c>
      <c r="L91" s="244" t="s">
        <v>121</v>
      </c>
      <c r="M91" s="244" t="s">
        <v>121</v>
      </c>
      <c r="N91" s="244" t="s">
        <v>121</v>
      </c>
      <c r="O91" s="244" t="s">
        <v>121</v>
      </c>
      <c r="P91" s="244" t="s">
        <v>121</v>
      </c>
      <c r="Q91" s="244" t="s">
        <v>121</v>
      </c>
      <c r="R91" s="406"/>
      <c r="S91" s="406"/>
      <c r="T91" s="406"/>
      <c r="U91" s="244" t="s">
        <v>121</v>
      </c>
      <c r="V91" s="244" t="s">
        <v>121</v>
      </c>
      <c r="W91" s="250" t="s">
        <v>121</v>
      </c>
      <c r="X91" s="250" t="s">
        <v>121</v>
      </c>
      <c r="Y91" s="250" t="s">
        <v>121</v>
      </c>
      <c r="Z91" s="250" t="s">
        <v>121</v>
      </c>
      <c r="AA91" s="165" t="s">
        <v>121</v>
      </c>
      <c r="AB91" s="165" t="s">
        <v>121</v>
      </c>
      <c r="AC91" s="165" t="s">
        <v>121</v>
      </c>
      <c r="AD91" s="165" t="s">
        <v>121</v>
      </c>
      <c r="AE91" s="165" t="s">
        <v>121</v>
      </c>
      <c r="AF91" s="165" t="s">
        <v>121</v>
      </c>
      <c r="AG91" s="165" t="s">
        <v>121</v>
      </c>
      <c r="AH91" s="165" t="s">
        <v>121</v>
      </c>
      <c r="AI91" s="1" t="s">
        <v>121</v>
      </c>
      <c r="AJ91" s="1" t="s">
        <v>121</v>
      </c>
      <c r="AK91" s="1" t="s">
        <v>121</v>
      </c>
      <c r="AL91" s="1" t="s">
        <v>121</v>
      </c>
      <c r="AM91" s="1" t="s">
        <v>121</v>
      </c>
      <c r="AN91" s="1" t="s">
        <v>121</v>
      </c>
      <c r="AO91" s="1" t="s">
        <v>121</v>
      </c>
      <c r="AP91" s="1" t="s">
        <v>121</v>
      </c>
      <c r="AQ91" s="1" t="s">
        <v>121</v>
      </c>
      <c r="AR91" s="1" t="s">
        <v>121</v>
      </c>
      <c r="AS91" s="1" t="s">
        <v>121</v>
      </c>
      <c r="AT91" s="1" t="s">
        <v>121</v>
      </c>
      <c r="AU91" s="1" t="s">
        <v>121</v>
      </c>
      <c r="AV91" s="1" t="s">
        <v>121</v>
      </c>
      <c r="AW91" s="1" t="s">
        <v>121</v>
      </c>
      <c r="AX91" s="1" t="s">
        <v>121</v>
      </c>
      <c r="AY91" s="1" t="s">
        <v>121</v>
      </c>
      <c r="AZ91" s="1" t="s">
        <v>121</v>
      </c>
      <c r="BA91" s="1" t="s">
        <v>121</v>
      </c>
      <c r="BB91" s="1" t="s">
        <v>121</v>
      </c>
      <c r="BC91" s="1" t="s">
        <v>121</v>
      </c>
      <c r="BD91" s="1" t="s">
        <v>121</v>
      </c>
      <c r="BE91" s="1" t="s">
        <v>121</v>
      </c>
      <c r="BF91" s="1" t="s">
        <v>121</v>
      </c>
      <c r="BG91" s="1" t="s">
        <v>121</v>
      </c>
      <c r="BH91" s="1" t="s">
        <v>121</v>
      </c>
      <c r="BI91" s="1" t="s">
        <v>121</v>
      </c>
      <c r="BJ91" s="1" t="s">
        <v>121</v>
      </c>
      <c r="BK91" s="1" t="s">
        <v>121</v>
      </c>
      <c r="BL91" s="1" t="s">
        <v>121</v>
      </c>
      <c r="BM91" s="1" t="s">
        <v>121</v>
      </c>
      <c r="BN91" s="1" t="s">
        <v>121</v>
      </c>
      <c r="BO91" s="1" t="s">
        <v>121</v>
      </c>
      <c r="BP91" s="1" t="s">
        <v>121</v>
      </c>
      <c r="BQ91" s="1" t="s">
        <v>121</v>
      </c>
    </row>
    <row r="92" spans="1:69" ht="15" customHeight="1" x14ac:dyDescent="0.25">
      <c r="A92" s="72">
        <v>92</v>
      </c>
      <c r="B92" s="217" t="s">
        <v>336</v>
      </c>
      <c r="C92" s="150" t="s">
        <v>121</v>
      </c>
      <c r="D92" s="164" t="s">
        <v>121</v>
      </c>
      <c r="E92" s="151" t="s">
        <v>121</v>
      </c>
      <c r="F92" s="244" t="s">
        <v>121</v>
      </c>
      <c r="G92" s="244" t="s">
        <v>121</v>
      </c>
      <c r="H92" s="244" t="s">
        <v>121</v>
      </c>
      <c r="I92" s="244" t="s">
        <v>121</v>
      </c>
      <c r="J92" s="244" t="s">
        <v>121</v>
      </c>
      <c r="K92" s="244" t="s">
        <v>121</v>
      </c>
      <c r="L92" s="244" t="s">
        <v>121</v>
      </c>
      <c r="M92" s="244" t="s">
        <v>121</v>
      </c>
      <c r="N92" s="244" t="s">
        <v>121</v>
      </c>
      <c r="O92" s="244" t="s">
        <v>121</v>
      </c>
      <c r="P92" s="244" t="s">
        <v>121</v>
      </c>
      <c r="Q92" s="244" t="s">
        <v>121</v>
      </c>
      <c r="R92" s="406"/>
      <c r="S92" s="406"/>
      <c r="T92" s="406"/>
      <c r="U92" s="244" t="s">
        <v>121</v>
      </c>
      <c r="V92" s="244" t="s">
        <v>121</v>
      </c>
      <c r="W92" s="250" t="s">
        <v>121</v>
      </c>
      <c r="X92" s="250" t="s">
        <v>121</v>
      </c>
      <c r="Y92" s="250" t="s">
        <v>121</v>
      </c>
      <c r="Z92" s="250" t="s">
        <v>121</v>
      </c>
      <c r="AA92" s="165" t="s">
        <v>121</v>
      </c>
      <c r="AB92" s="165" t="s">
        <v>121</v>
      </c>
      <c r="AC92" s="165" t="s">
        <v>121</v>
      </c>
      <c r="AD92" s="165" t="s">
        <v>121</v>
      </c>
      <c r="AE92" s="165" t="s">
        <v>121</v>
      </c>
      <c r="AF92" s="165" t="s">
        <v>121</v>
      </c>
      <c r="AG92" s="165" t="s">
        <v>121</v>
      </c>
      <c r="AH92" s="165" t="s">
        <v>121</v>
      </c>
      <c r="AI92" s="1" t="s">
        <v>121</v>
      </c>
      <c r="AJ92" s="1" t="s">
        <v>121</v>
      </c>
      <c r="AK92" s="1" t="s">
        <v>121</v>
      </c>
      <c r="AL92" s="1" t="s">
        <v>121</v>
      </c>
      <c r="AM92" s="1" t="s">
        <v>121</v>
      </c>
      <c r="AN92" s="1" t="s">
        <v>121</v>
      </c>
      <c r="AO92" s="1" t="s">
        <v>121</v>
      </c>
      <c r="AP92" s="1" t="s">
        <v>121</v>
      </c>
      <c r="AQ92" s="1" t="s">
        <v>121</v>
      </c>
      <c r="AR92" s="1" t="s">
        <v>121</v>
      </c>
      <c r="AS92" s="1" t="s">
        <v>121</v>
      </c>
      <c r="AT92" s="1" t="s">
        <v>121</v>
      </c>
      <c r="AU92" s="1" t="s">
        <v>121</v>
      </c>
      <c r="AV92" s="1" t="s">
        <v>121</v>
      </c>
      <c r="AW92" s="1" t="s">
        <v>121</v>
      </c>
      <c r="AX92" s="1" t="s">
        <v>121</v>
      </c>
      <c r="AY92" s="1" t="s">
        <v>121</v>
      </c>
      <c r="AZ92" s="1" t="s">
        <v>121</v>
      </c>
      <c r="BA92" s="1" t="s">
        <v>121</v>
      </c>
      <c r="BB92" s="1" t="s">
        <v>121</v>
      </c>
      <c r="BC92" s="1" t="s">
        <v>121</v>
      </c>
      <c r="BD92" s="1" t="s">
        <v>121</v>
      </c>
      <c r="BE92" s="1" t="s">
        <v>121</v>
      </c>
      <c r="BF92" s="1" t="s">
        <v>121</v>
      </c>
      <c r="BG92" s="1" t="s">
        <v>121</v>
      </c>
      <c r="BH92" s="1" t="s">
        <v>121</v>
      </c>
      <c r="BI92" s="1" t="s">
        <v>121</v>
      </c>
      <c r="BJ92" s="1" t="s">
        <v>121</v>
      </c>
      <c r="BK92" s="1" t="s">
        <v>121</v>
      </c>
      <c r="BL92" s="1" t="s">
        <v>121</v>
      </c>
      <c r="BM92" s="1" t="s">
        <v>121</v>
      </c>
      <c r="BN92" s="1" t="s">
        <v>121</v>
      </c>
      <c r="BO92" s="1" t="s">
        <v>121</v>
      </c>
      <c r="BP92" s="1" t="s">
        <v>121</v>
      </c>
      <c r="BQ92" s="1" t="s">
        <v>121</v>
      </c>
    </row>
    <row r="93" spans="1:69" ht="15" customHeight="1" x14ac:dyDescent="0.25">
      <c r="A93" s="72">
        <v>93</v>
      </c>
      <c r="B93" s="217" t="s">
        <v>337</v>
      </c>
      <c r="C93" s="150" t="s">
        <v>121</v>
      </c>
      <c r="D93" s="164" t="s">
        <v>121</v>
      </c>
      <c r="E93" s="151" t="s">
        <v>121</v>
      </c>
      <c r="F93" s="327" t="s">
        <v>121</v>
      </c>
      <c r="G93" s="327" t="s">
        <v>121</v>
      </c>
      <c r="H93" s="327" t="s">
        <v>121</v>
      </c>
      <c r="I93" s="327" t="s">
        <v>121</v>
      </c>
      <c r="J93" s="327" t="s">
        <v>121</v>
      </c>
      <c r="K93" s="327" t="s">
        <v>121</v>
      </c>
      <c r="L93" s="327" t="s">
        <v>121</v>
      </c>
      <c r="M93" s="327" t="s">
        <v>121</v>
      </c>
      <c r="N93" s="327" t="s">
        <v>121</v>
      </c>
      <c r="O93" s="327" t="s">
        <v>121</v>
      </c>
      <c r="P93" s="327" t="s">
        <v>121</v>
      </c>
      <c r="Q93" s="327" t="s">
        <v>121</v>
      </c>
      <c r="R93" s="406"/>
      <c r="S93" s="406"/>
      <c r="T93" s="406"/>
      <c r="U93" s="327" t="s">
        <v>121</v>
      </c>
      <c r="V93" s="327" t="s">
        <v>121</v>
      </c>
      <c r="W93" s="288" t="s">
        <v>121</v>
      </c>
      <c r="X93" s="288" t="s">
        <v>121</v>
      </c>
      <c r="Y93" s="288" t="s">
        <v>121</v>
      </c>
      <c r="Z93" s="288" t="s">
        <v>121</v>
      </c>
      <c r="AA93" s="39" t="s">
        <v>121</v>
      </c>
      <c r="AB93" s="39" t="s">
        <v>121</v>
      </c>
      <c r="AC93" s="39" t="s">
        <v>121</v>
      </c>
      <c r="AD93" s="39" t="s">
        <v>121</v>
      </c>
      <c r="AE93" s="39" t="s">
        <v>121</v>
      </c>
      <c r="AF93" s="1" t="s">
        <v>121</v>
      </c>
      <c r="AG93" s="39" t="s">
        <v>121</v>
      </c>
      <c r="AH93" s="165" t="s">
        <v>121</v>
      </c>
      <c r="AI93" s="1" t="s">
        <v>121</v>
      </c>
      <c r="AJ93" s="1" t="s">
        <v>121</v>
      </c>
      <c r="AK93" s="1" t="s">
        <v>121</v>
      </c>
      <c r="AL93" s="1" t="s">
        <v>121</v>
      </c>
      <c r="AM93" s="1" t="s">
        <v>121</v>
      </c>
      <c r="AN93" s="1" t="s">
        <v>121</v>
      </c>
      <c r="AO93" s="1" t="s">
        <v>121</v>
      </c>
      <c r="AP93" s="1" t="s">
        <v>121</v>
      </c>
      <c r="AQ93" s="1" t="s">
        <v>121</v>
      </c>
      <c r="AR93" s="1" t="s">
        <v>121</v>
      </c>
      <c r="AS93" s="1" t="s">
        <v>121</v>
      </c>
      <c r="AT93" s="1" t="s">
        <v>121</v>
      </c>
      <c r="AU93" s="1" t="s">
        <v>121</v>
      </c>
      <c r="AV93" s="1" t="s">
        <v>121</v>
      </c>
      <c r="AW93" s="1" t="s">
        <v>121</v>
      </c>
      <c r="AX93" s="1" t="s">
        <v>121</v>
      </c>
      <c r="AY93" s="1" t="s">
        <v>121</v>
      </c>
      <c r="AZ93" s="1" t="s">
        <v>121</v>
      </c>
      <c r="BA93" s="1" t="s">
        <v>121</v>
      </c>
      <c r="BB93" s="1" t="s">
        <v>121</v>
      </c>
      <c r="BC93" s="1" t="s">
        <v>121</v>
      </c>
      <c r="BD93" s="1" t="s">
        <v>121</v>
      </c>
      <c r="BE93" s="1" t="s">
        <v>121</v>
      </c>
      <c r="BF93" s="1" t="s">
        <v>121</v>
      </c>
      <c r="BG93" s="1" t="s">
        <v>121</v>
      </c>
      <c r="BH93" s="1" t="s">
        <v>121</v>
      </c>
      <c r="BI93" s="1" t="s">
        <v>121</v>
      </c>
      <c r="BJ93" s="1" t="s">
        <v>121</v>
      </c>
      <c r="BK93" s="1" t="s">
        <v>121</v>
      </c>
      <c r="BL93" s="1" t="s">
        <v>121</v>
      </c>
      <c r="BM93" s="1" t="s">
        <v>121</v>
      </c>
      <c r="BN93" s="1" t="s">
        <v>121</v>
      </c>
      <c r="BO93" s="1" t="s">
        <v>121</v>
      </c>
      <c r="BP93" s="1" t="s">
        <v>121</v>
      </c>
      <c r="BQ93" s="1" t="s">
        <v>121</v>
      </c>
    </row>
    <row r="94" spans="1:69" ht="15" customHeight="1" x14ac:dyDescent="0.25">
      <c r="A94" s="72">
        <v>94</v>
      </c>
      <c r="B94" s="217" t="s">
        <v>338</v>
      </c>
      <c r="C94" s="150" t="s">
        <v>121</v>
      </c>
      <c r="D94" s="164" t="s">
        <v>121</v>
      </c>
      <c r="E94" s="151" t="s">
        <v>121</v>
      </c>
      <c r="F94" s="244" t="s">
        <v>121</v>
      </c>
      <c r="G94" s="244" t="s">
        <v>121</v>
      </c>
      <c r="H94" s="244" t="s">
        <v>121</v>
      </c>
      <c r="I94" s="244" t="s">
        <v>121</v>
      </c>
      <c r="J94" s="244" t="s">
        <v>121</v>
      </c>
      <c r="K94" s="244" t="s">
        <v>121</v>
      </c>
      <c r="L94" s="244" t="s">
        <v>121</v>
      </c>
      <c r="M94" s="244" t="s">
        <v>121</v>
      </c>
      <c r="N94" s="244" t="s">
        <v>121</v>
      </c>
      <c r="O94" s="244" t="s">
        <v>121</v>
      </c>
      <c r="P94" s="244" t="s">
        <v>121</v>
      </c>
      <c r="Q94" s="244" t="s">
        <v>121</v>
      </c>
      <c r="R94" s="406"/>
      <c r="S94" s="406"/>
      <c r="T94" s="406"/>
      <c r="U94" s="244" t="s">
        <v>121</v>
      </c>
      <c r="V94" s="244" t="s">
        <v>121</v>
      </c>
      <c r="W94" s="250" t="s">
        <v>121</v>
      </c>
      <c r="X94" s="250" t="s">
        <v>121</v>
      </c>
      <c r="Y94" s="250" t="s">
        <v>121</v>
      </c>
      <c r="Z94" s="250" t="s">
        <v>121</v>
      </c>
      <c r="AA94" s="165" t="s">
        <v>121</v>
      </c>
      <c r="AB94" s="165" t="s">
        <v>121</v>
      </c>
      <c r="AC94" s="165" t="s">
        <v>121</v>
      </c>
      <c r="AD94" s="165" t="s">
        <v>121</v>
      </c>
      <c r="AE94" s="165" t="s">
        <v>121</v>
      </c>
      <c r="AF94" s="165" t="s">
        <v>121</v>
      </c>
      <c r="AG94" s="165" t="s">
        <v>121</v>
      </c>
      <c r="AH94" s="165">
        <v>1110.373</v>
      </c>
      <c r="AI94" s="1">
        <v>1127.2429999999999</v>
      </c>
      <c r="AJ94" s="1">
        <v>1178.511</v>
      </c>
      <c r="AK94" s="1" t="s">
        <v>121</v>
      </c>
      <c r="AL94" s="1" t="s">
        <v>121</v>
      </c>
      <c r="AM94" s="1" t="s">
        <v>121</v>
      </c>
      <c r="AN94" s="1" t="s">
        <v>121</v>
      </c>
      <c r="AO94" s="1" t="s">
        <v>121</v>
      </c>
      <c r="AP94" s="1" t="s">
        <v>121</v>
      </c>
      <c r="AQ94" s="1" t="s">
        <v>121</v>
      </c>
      <c r="AR94" s="1" t="s">
        <v>121</v>
      </c>
      <c r="AS94" s="1" t="s">
        <v>121</v>
      </c>
      <c r="AT94" s="1" t="s">
        <v>121</v>
      </c>
      <c r="AU94" s="1" t="s">
        <v>121</v>
      </c>
      <c r="AV94" s="1" t="s">
        <v>121</v>
      </c>
      <c r="AW94" s="1" t="s">
        <v>121</v>
      </c>
      <c r="AX94" s="1" t="s">
        <v>121</v>
      </c>
      <c r="AY94" s="1" t="s">
        <v>121</v>
      </c>
      <c r="AZ94" s="1" t="s">
        <v>121</v>
      </c>
      <c r="BA94" s="1" t="s">
        <v>121</v>
      </c>
      <c r="BB94" s="1" t="s">
        <v>121</v>
      </c>
      <c r="BC94" s="1" t="s">
        <v>121</v>
      </c>
      <c r="BD94" s="1" t="s">
        <v>121</v>
      </c>
      <c r="BE94" s="1" t="s">
        <v>121</v>
      </c>
      <c r="BF94" s="1" t="s">
        <v>121</v>
      </c>
      <c r="BG94" s="1" t="s">
        <v>121</v>
      </c>
      <c r="BH94" s="1" t="s">
        <v>121</v>
      </c>
      <c r="BI94" s="1" t="s">
        <v>121</v>
      </c>
      <c r="BJ94" s="1" t="s">
        <v>121</v>
      </c>
      <c r="BK94" s="1" t="s">
        <v>121</v>
      </c>
      <c r="BL94" s="1" t="s">
        <v>121</v>
      </c>
      <c r="BM94" s="1" t="s">
        <v>121</v>
      </c>
      <c r="BN94" s="1" t="s">
        <v>121</v>
      </c>
      <c r="BO94" s="1" t="s">
        <v>121</v>
      </c>
      <c r="BP94" s="1" t="s">
        <v>121</v>
      </c>
      <c r="BQ94" s="1" t="s">
        <v>121</v>
      </c>
    </row>
    <row r="95" spans="1:69" x14ac:dyDescent="0.25">
      <c r="A95" s="72">
        <v>95</v>
      </c>
      <c r="B95" s="217" t="s">
        <v>339</v>
      </c>
      <c r="C95" s="150" t="s">
        <v>121</v>
      </c>
      <c r="D95" s="164" t="s">
        <v>121</v>
      </c>
      <c r="E95" s="151" t="s">
        <v>121</v>
      </c>
      <c r="F95" s="244" t="s">
        <v>121</v>
      </c>
      <c r="G95" s="244">
        <v>207</v>
      </c>
      <c r="H95" s="244">
        <v>210</v>
      </c>
      <c r="I95" s="244">
        <v>206</v>
      </c>
      <c r="J95" s="244">
        <v>201</v>
      </c>
      <c r="K95" s="244">
        <v>201</v>
      </c>
      <c r="L95" s="244">
        <v>202</v>
      </c>
      <c r="M95" s="244">
        <v>199</v>
      </c>
      <c r="N95" s="244">
        <v>197</v>
      </c>
      <c r="O95" s="244">
        <v>199</v>
      </c>
      <c r="P95" s="244">
        <v>212</v>
      </c>
      <c r="Q95" s="244">
        <v>213</v>
      </c>
      <c r="R95" s="406"/>
      <c r="S95" s="406"/>
      <c r="T95" s="406"/>
      <c r="U95" s="244">
        <v>405</v>
      </c>
      <c r="V95" s="244">
        <v>394.30599999999998</v>
      </c>
      <c r="W95" s="250">
        <v>2109.6080000000002</v>
      </c>
      <c r="X95" s="250">
        <v>2093.944</v>
      </c>
      <c r="Y95" s="250">
        <v>2128.8240000000001</v>
      </c>
      <c r="Z95" s="250">
        <v>2484.663</v>
      </c>
      <c r="AA95" s="165">
        <v>3114.6120000000001</v>
      </c>
      <c r="AB95" s="165">
        <v>3335.7240000000002</v>
      </c>
      <c r="AC95" s="165">
        <v>3497.02</v>
      </c>
      <c r="AD95" s="165">
        <v>2850.6709999999998</v>
      </c>
      <c r="AE95" s="165">
        <v>2740.3049999999998</v>
      </c>
      <c r="AF95" s="165">
        <v>2299.7379999999998</v>
      </c>
      <c r="AG95" s="165">
        <v>2086.5360000000001</v>
      </c>
      <c r="AH95" s="165">
        <v>1002.5410000000001</v>
      </c>
      <c r="AI95" s="1">
        <v>947.32299999999998</v>
      </c>
      <c r="AJ95" s="1">
        <v>965.70699999999999</v>
      </c>
      <c r="AK95" s="1" t="s">
        <v>121</v>
      </c>
      <c r="AL95" s="1" t="s">
        <v>121</v>
      </c>
      <c r="AM95" s="1" t="s">
        <v>121</v>
      </c>
      <c r="AN95" s="1" t="s">
        <v>121</v>
      </c>
      <c r="AO95" s="1" t="s">
        <v>121</v>
      </c>
      <c r="AP95" s="1" t="s">
        <v>121</v>
      </c>
      <c r="AQ95" s="1" t="s">
        <v>121</v>
      </c>
      <c r="AR95" s="1" t="s">
        <v>121</v>
      </c>
      <c r="AS95" s="1" t="s">
        <v>121</v>
      </c>
      <c r="AT95" s="1" t="s">
        <v>121</v>
      </c>
      <c r="AU95" s="1" t="s">
        <v>121</v>
      </c>
      <c r="AV95" s="1" t="s">
        <v>121</v>
      </c>
      <c r="AW95" s="1" t="s">
        <v>121</v>
      </c>
      <c r="AX95" s="1" t="s">
        <v>121</v>
      </c>
      <c r="AY95" s="1" t="s">
        <v>121</v>
      </c>
      <c r="AZ95" s="1" t="s">
        <v>121</v>
      </c>
      <c r="BA95" s="1" t="s">
        <v>121</v>
      </c>
      <c r="BB95" s="1" t="s">
        <v>121</v>
      </c>
      <c r="BC95" s="1" t="s">
        <v>121</v>
      </c>
      <c r="BD95" s="1" t="s">
        <v>121</v>
      </c>
      <c r="BE95" s="1" t="s">
        <v>121</v>
      </c>
      <c r="BF95" s="1" t="s">
        <v>121</v>
      </c>
      <c r="BG95" s="1" t="s">
        <v>121</v>
      </c>
      <c r="BH95" s="1" t="s">
        <v>121</v>
      </c>
      <c r="BI95" s="1" t="s">
        <v>121</v>
      </c>
      <c r="BJ95" s="1" t="s">
        <v>121</v>
      </c>
      <c r="BK95" s="1" t="s">
        <v>121</v>
      </c>
      <c r="BL95" s="1" t="s">
        <v>121</v>
      </c>
      <c r="BM95" s="1" t="s">
        <v>121</v>
      </c>
      <c r="BN95" s="1" t="s">
        <v>121</v>
      </c>
      <c r="BO95" s="1" t="s">
        <v>121</v>
      </c>
      <c r="BP95" s="1" t="s">
        <v>121</v>
      </c>
      <c r="BQ95" s="1" t="s">
        <v>121</v>
      </c>
    </row>
    <row r="96" spans="1:69" x14ac:dyDescent="0.25">
      <c r="A96" s="72">
        <v>96</v>
      </c>
      <c r="B96" s="220" t="s">
        <v>349</v>
      </c>
      <c r="C96" s="91" t="s">
        <v>121</v>
      </c>
      <c r="D96" s="86" t="s">
        <v>121</v>
      </c>
      <c r="E96" s="92" t="s">
        <v>121</v>
      </c>
      <c r="F96" s="312" t="s">
        <v>121</v>
      </c>
      <c r="G96" s="312">
        <v>207</v>
      </c>
      <c r="H96" s="312">
        <v>210</v>
      </c>
      <c r="I96" s="312">
        <v>206</v>
      </c>
      <c r="J96" s="312">
        <v>201</v>
      </c>
      <c r="K96" s="312">
        <v>201</v>
      </c>
      <c r="L96" s="312">
        <v>202</v>
      </c>
      <c r="M96" s="312">
        <v>199</v>
      </c>
      <c r="N96" s="312">
        <v>197</v>
      </c>
      <c r="O96" s="312">
        <v>199</v>
      </c>
      <c r="P96" s="312">
        <v>212</v>
      </c>
      <c r="Q96" s="312">
        <v>213</v>
      </c>
      <c r="R96" s="406"/>
      <c r="S96" s="406"/>
      <c r="T96" s="406"/>
      <c r="U96" s="312">
        <v>405</v>
      </c>
      <c r="V96" s="312">
        <v>394.30599999999998</v>
      </c>
      <c r="W96" s="294">
        <v>2109.6080000000002</v>
      </c>
      <c r="X96" s="294">
        <v>2093.944</v>
      </c>
      <c r="Y96" s="294">
        <v>2128.8240000000001</v>
      </c>
      <c r="Z96" s="294">
        <v>2484.663</v>
      </c>
      <c r="AA96" s="212">
        <v>3114.6120000000001</v>
      </c>
      <c r="AB96" s="212">
        <v>3335.7240000000002</v>
      </c>
      <c r="AC96" s="212">
        <v>3497.02</v>
      </c>
      <c r="AD96" s="212">
        <v>2850.6709999999998</v>
      </c>
      <c r="AE96" s="212">
        <v>2740.3049999999998</v>
      </c>
      <c r="AF96" s="212">
        <v>2299.7379999999998</v>
      </c>
      <c r="AG96" s="212">
        <v>2086.5360000000001</v>
      </c>
      <c r="AH96" s="205">
        <v>2112.9140000000002</v>
      </c>
      <c r="AI96" s="1">
        <v>2074.5659999999998</v>
      </c>
      <c r="AJ96" s="1">
        <v>2144.2179999999998</v>
      </c>
      <c r="AK96" s="1" t="s">
        <v>121</v>
      </c>
      <c r="AL96" s="1" t="s">
        <v>121</v>
      </c>
      <c r="AM96" s="1" t="s">
        <v>121</v>
      </c>
      <c r="AN96" s="1" t="s">
        <v>121</v>
      </c>
      <c r="AO96" s="1" t="s">
        <v>121</v>
      </c>
      <c r="AP96" s="1" t="s">
        <v>121</v>
      </c>
      <c r="AQ96" s="1" t="s">
        <v>121</v>
      </c>
      <c r="AR96" s="1" t="s">
        <v>121</v>
      </c>
      <c r="AS96" s="1" t="s">
        <v>121</v>
      </c>
      <c r="AT96" s="1" t="s">
        <v>121</v>
      </c>
      <c r="AU96" s="1" t="s">
        <v>121</v>
      </c>
      <c r="AV96" s="1" t="s">
        <v>121</v>
      </c>
      <c r="AW96" s="1" t="s">
        <v>121</v>
      </c>
      <c r="AX96" s="1" t="s">
        <v>121</v>
      </c>
      <c r="AY96" s="1" t="s">
        <v>121</v>
      </c>
      <c r="AZ96" s="1" t="s">
        <v>121</v>
      </c>
      <c r="BA96" s="1" t="s">
        <v>121</v>
      </c>
      <c r="BB96" s="1" t="s">
        <v>121</v>
      </c>
      <c r="BC96" s="1" t="s">
        <v>121</v>
      </c>
      <c r="BD96" s="1" t="s">
        <v>121</v>
      </c>
      <c r="BE96" s="1" t="s">
        <v>121</v>
      </c>
      <c r="BF96" s="1" t="s">
        <v>121</v>
      </c>
      <c r="BG96" s="1" t="s">
        <v>121</v>
      </c>
      <c r="BH96" s="1" t="s">
        <v>121</v>
      </c>
      <c r="BI96" s="1" t="s">
        <v>121</v>
      </c>
      <c r="BJ96" s="1" t="s">
        <v>121</v>
      </c>
      <c r="BK96" s="1" t="s">
        <v>121</v>
      </c>
      <c r="BL96" s="1" t="s">
        <v>121</v>
      </c>
      <c r="BM96" s="1" t="s">
        <v>121</v>
      </c>
      <c r="BN96" s="1" t="s">
        <v>121</v>
      </c>
      <c r="BO96" s="1" t="s">
        <v>121</v>
      </c>
      <c r="BP96" s="1" t="s">
        <v>121</v>
      </c>
      <c r="BQ96" s="1" t="s">
        <v>121</v>
      </c>
    </row>
    <row r="97" spans="1:69" x14ac:dyDescent="0.25">
      <c r="A97" s="72">
        <v>97</v>
      </c>
      <c r="B97" s="42" t="s">
        <v>14</v>
      </c>
      <c r="C97" s="91" t="s">
        <v>121</v>
      </c>
      <c r="D97" s="86" t="s">
        <v>121</v>
      </c>
      <c r="E97" s="92" t="s">
        <v>121</v>
      </c>
      <c r="F97" s="244" t="s">
        <v>121</v>
      </c>
      <c r="G97" s="244" t="s">
        <v>121</v>
      </c>
      <c r="H97" s="244" t="s">
        <v>121</v>
      </c>
      <c r="I97" s="244" t="s">
        <v>121</v>
      </c>
      <c r="J97" s="244" t="s">
        <v>121</v>
      </c>
      <c r="K97" s="244" t="s">
        <v>121</v>
      </c>
      <c r="L97" s="244" t="s">
        <v>121</v>
      </c>
      <c r="M97" s="244" t="s">
        <v>121</v>
      </c>
      <c r="N97" s="244" t="s">
        <v>121</v>
      </c>
      <c r="O97" s="244" t="s">
        <v>121</v>
      </c>
      <c r="P97" s="244" t="s">
        <v>121</v>
      </c>
      <c r="Q97" s="244" t="s">
        <v>121</v>
      </c>
      <c r="R97" s="406"/>
      <c r="S97" s="406"/>
      <c r="T97" s="406"/>
      <c r="U97" s="244" t="s">
        <v>121</v>
      </c>
      <c r="V97" s="244" t="s">
        <v>121</v>
      </c>
      <c r="W97" s="250">
        <v>-678.20799999999997</v>
      </c>
      <c r="X97" s="250">
        <v>-1324.626</v>
      </c>
      <c r="Y97" s="250">
        <v>-1324.626</v>
      </c>
      <c r="Z97" s="250">
        <v>-1324.626</v>
      </c>
      <c r="AA97" s="165">
        <v>-1392.01</v>
      </c>
      <c r="AB97" s="165">
        <v>-1410.0360000000001</v>
      </c>
      <c r="AC97" s="165">
        <v>-1438.9860000000001</v>
      </c>
      <c r="AD97" s="165">
        <v>-1073.3040000000001</v>
      </c>
      <c r="AE97" s="165">
        <v>-1063.777</v>
      </c>
      <c r="AF97" s="165">
        <v>-979.71199999999999</v>
      </c>
      <c r="AG97" s="165">
        <v>-594.99199999999996</v>
      </c>
      <c r="AH97" s="83">
        <v>-234.38</v>
      </c>
      <c r="AI97" s="1">
        <v>-134.86799999999999</v>
      </c>
      <c r="AJ97" s="1">
        <v>-399.36500000000001</v>
      </c>
      <c r="AK97" s="1" t="s">
        <v>121</v>
      </c>
      <c r="AL97" s="1" t="s">
        <v>121</v>
      </c>
      <c r="AM97" s="1" t="s">
        <v>121</v>
      </c>
      <c r="AN97" s="1" t="s">
        <v>121</v>
      </c>
      <c r="AO97" s="1" t="s">
        <v>121</v>
      </c>
      <c r="AP97" s="1" t="s">
        <v>121</v>
      </c>
      <c r="AQ97" s="1" t="s">
        <v>121</v>
      </c>
      <c r="AR97" s="1" t="s">
        <v>121</v>
      </c>
      <c r="AS97" s="1" t="s">
        <v>121</v>
      </c>
      <c r="AT97" s="1" t="s">
        <v>121</v>
      </c>
      <c r="AU97" s="1" t="s">
        <v>121</v>
      </c>
      <c r="AV97" s="1" t="s">
        <v>121</v>
      </c>
      <c r="AW97" s="1" t="s">
        <v>121</v>
      </c>
      <c r="AX97" s="1" t="s">
        <v>121</v>
      </c>
      <c r="AY97" s="1" t="s">
        <v>121</v>
      </c>
      <c r="AZ97" s="1" t="s">
        <v>121</v>
      </c>
      <c r="BA97" s="1" t="s">
        <v>121</v>
      </c>
      <c r="BB97" s="1" t="s">
        <v>121</v>
      </c>
      <c r="BC97" s="1" t="s">
        <v>121</v>
      </c>
      <c r="BD97" s="1" t="s">
        <v>121</v>
      </c>
      <c r="BE97" s="1" t="s">
        <v>121</v>
      </c>
      <c r="BF97" s="1" t="s">
        <v>121</v>
      </c>
      <c r="BG97" s="1" t="s">
        <v>121</v>
      </c>
      <c r="BH97" s="1" t="s">
        <v>121</v>
      </c>
      <c r="BI97" s="1" t="s">
        <v>121</v>
      </c>
      <c r="BJ97" s="1" t="s">
        <v>121</v>
      </c>
      <c r="BK97" s="1" t="s">
        <v>121</v>
      </c>
      <c r="BL97" s="1" t="s">
        <v>121</v>
      </c>
      <c r="BM97" s="1" t="s">
        <v>121</v>
      </c>
      <c r="BN97" s="1" t="s">
        <v>121</v>
      </c>
      <c r="BO97" s="1" t="s">
        <v>121</v>
      </c>
      <c r="BP97" s="1" t="s">
        <v>121</v>
      </c>
      <c r="BQ97" s="1" t="s">
        <v>121</v>
      </c>
    </row>
    <row r="98" spans="1:69" s="44" customFormat="1" ht="26.1" customHeight="1" x14ac:dyDescent="0.25">
      <c r="A98" s="72">
        <v>98</v>
      </c>
      <c r="B98" s="220" t="s">
        <v>350</v>
      </c>
      <c r="C98" s="91" t="s">
        <v>121</v>
      </c>
      <c r="D98" s="86" t="s">
        <v>121</v>
      </c>
      <c r="E98" s="92" t="s">
        <v>121</v>
      </c>
      <c r="F98" s="312" t="s">
        <v>121</v>
      </c>
      <c r="G98" s="312">
        <v>207</v>
      </c>
      <c r="H98" s="312">
        <v>210</v>
      </c>
      <c r="I98" s="312">
        <v>206</v>
      </c>
      <c r="J98" s="312">
        <v>201</v>
      </c>
      <c r="K98" s="312">
        <v>201</v>
      </c>
      <c r="L98" s="312">
        <v>202</v>
      </c>
      <c r="M98" s="312">
        <v>199</v>
      </c>
      <c r="N98" s="312">
        <v>197</v>
      </c>
      <c r="O98" s="312">
        <v>199</v>
      </c>
      <c r="P98" s="312">
        <v>212</v>
      </c>
      <c r="Q98" s="312">
        <v>213</v>
      </c>
      <c r="R98" s="406"/>
      <c r="S98" s="406"/>
      <c r="T98" s="406"/>
      <c r="U98" s="312">
        <v>405</v>
      </c>
      <c r="V98" s="312">
        <v>394.30599999999998</v>
      </c>
      <c r="W98" s="294">
        <v>1431.4</v>
      </c>
      <c r="X98" s="294">
        <v>769.31799999999998</v>
      </c>
      <c r="Y98" s="294">
        <v>804.19800000000009</v>
      </c>
      <c r="Z98" s="294">
        <v>1160.037</v>
      </c>
      <c r="AA98" s="212">
        <v>1722.6020000000001</v>
      </c>
      <c r="AB98" s="212">
        <v>1925.6880000000001</v>
      </c>
      <c r="AC98" s="212">
        <v>2058.0339999999997</v>
      </c>
      <c r="AD98" s="212">
        <v>1777.3669999999997</v>
      </c>
      <c r="AE98" s="212">
        <v>1676.5279999999998</v>
      </c>
      <c r="AF98" s="212">
        <v>1320.0259999999998</v>
      </c>
      <c r="AG98" s="212">
        <v>1491.5440000000001</v>
      </c>
      <c r="AH98" s="205">
        <v>1878.5340000000001</v>
      </c>
      <c r="AI98" s="44">
        <v>1939.6979999999999</v>
      </c>
      <c r="AJ98" s="44">
        <v>1744.8529999999998</v>
      </c>
      <c r="AK98" s="44" t="s">
        <v>121</v>
      </c>
      <c r="AL98" s="44" t="s">
        <v>121</v>
      </c>
      <c r="AM98" s="44" t="s">
        <v>121</v>
      </c>
      <c r="AN98" s="44" t="s">
        <v>121</v>
      </c>
      <c r="AO98" s="44" t="s">
        <v>121</v>
      </c>
      <c r="AP98" s="44" t="s">
        <v>121</v>
      </c>
      <c r="AQ98" s="44" t="s">
        <v>121</v>
      </c>
      <c r="AR98" s="44" t="s">
        <v>121</v>
      </c>
      <c r="AS98" s="44" t="s">
        <v>121</v>
      </c>
      <c r="AT98" s="44" t="s">
        <v>121</v>
      </c>
      <c r="AU98" s="44" t="s">
        <v>121</v>
      </c>
      <c r="AV98" s="44" t="s">
        <v>121</v>
      </c>
      <c r="AW98" s="44" t="s">
        <v>121</v>
      </c>
      <c r="AX98" s="44" t="s">
        <v>121</v>
      </c>
      <c r="AY98" s="44" t="s">
        <v>121</v>
      </c>
      <c r="AZ98" s="44" t="s">
        <v>121</v>
      </c>
      <c r="BA98" s="44" t="s">
        <v>121</v>
      </c>
      <c r="BB98" s="44" t="s">
        <v>121</v>
      </c>
      <c r="BC98" s="44" t="s">
        <v>121</v>
      </c>
      <c r="BD98" s="44" t="s">
        <v>121</v>
      </c>
      <c r="BE98" s="44" t="s">
        <v>121</v>
      </c>
      <c r="BF98" s="44" t="s">
        <v>121</v>
      </c>
      <c r="BG98" s="44" t="s">
        <v>121</v>
      </c>
      <c r="BH98" s="44" t="s">
        <v>121</v>
      </c>
      <c r="BI98" s="44" t="s">
        <v>121</v>
      </c>
      <c r="BJ98" s="44" t="s">
        <v>121</v>
      </c>
      <c r="BK98" s="44" t="s">
        <v>121</v>
      </c>
      <c r="BL98" s="44" t="s">
        <v>121</v>
      </c>
      <c r="BM98" s="44" t="s">
        <v>121</v>
      </c>
      <c r="BN98" s="44" t="s">
        <v>121</v>
      </c>
      <c r="BO98" s="44" t="s">
        <v>121</v>
      </c>
      <c r="BP98" s="44" t="s">
        <v>121</v>
      </c>
      <c r="BQ98" s="44" t="s">
        <v>121</v>
      </c>
    </row>
    <row r="99" spans="1:69" s="22" customFormat="1" ht="15" customHeight="1" x14ac:dyDescent="0.25">
      <c r="A99" s="72">
        <v>99</v>
      </c>
      <c r="B99" s="44" t="s">
        <v>58</v>
      </c>
      <c r="C99" s="91">
        <v>0.12468036315437581</v>
      </c>
      <c r="D99" s="86">
        <v>0.32226246356300781</v>
      </c>
      <c r="E99" s="92">
        <v>0.30481058737475974</v>
      </c>
      <c r="F99" s="312">
        <v>767059</v>
      </c>
      <c r="G99" s="312">
        <v>682024</v>
      </c>
      <c r="H99" s="312">
        <v>589032</v>
      </c>
      <c r="I99" s="312">
        <v>587870</v>
      </c>
      <c r="J99" s="312">
        <v>580111</v>
      </c>
      <c r="K99" s="312">
        <v>556970</v>
      </c>
      <c r="L99" s="312">
        <v>548323</v>
      </c>
      <c r="M99" s="312">
        <v>527441</v>
      </c>
      <c r="N99" s="312">
        <v>502284</v>
      </c>
      <c r="O99" s="312">
        <v>424194</v>
      </c>
      <c r="P99" s="312">
        <v>451039</v>
      </c>
      <c r="Q99" s="312">
        <v>415172</v>
      </c>
      <c r="R99" s="406"/>
      <c r="S99" s="406"/>
      <c r="T99" s="406"/>
      <c r="U99" s="312">
        <v>378645</v>
      </c>
      <c r="V99" s="312">
        <v>385253.34</v>
      </c>
      <c r="W99" s="294">
        <v>379582.65399999998</v>
      </c>
      <c r="X99" s="294">
        <v>363736.54200000002</v>
      </c>
      <c r="Y99" s="294">
        <v>343989.10200000007</v>
      </c>
      <c r="Z99" s="294">
        <v>357132.49899999995</v>
      </c>
      <c r="AA99" s="212">
        <v>311894.054</v>
      </c>
      <c r="AB99" s="212">
        <v>329506.337</v>
      </c>
      <c r="AC99" s="212">
        <v>298490.78700000007</v>
      </c>
      <c r="AD99" s="212">
        <v>288546.75</v>
      </c>
      <c r="AE99" s="212">
        <v>266647.321</v>
      </c>
      <c r="AF99" s="212">
        <v>278909.44099999999</v>
      </c>
      <c r="AG99" s="212">
        <v>285547.54400000005</v>
      </c>
      <c r="AH99" s="212">
        <v>290537.53999999998</v>
      </c>
      <c r="AI99" s="22">
        <v>273108.005</v>
      </c>
      <c r="AJ99" s="22">
        <v>268092.24839379062</v>
      </c>
      <c r="AK99" s="22" t="s">
        <v>121</v>
      </c>
      <c r="AL99" s="22" t="s">
        <v>121</v>
      </c>
      <c r="AM99" s="22" t="s">
        <v>121</v>
      </c>
      <c r="AN99" s="22" t="s">
        <v>121</v>
      </c>
      <c r="AO99" s="22" t="s">
        <v>121</v>
      </c>
      <c r="AP99" s="22" t="s">
        <v>121</v>
      </c>
      <c r="AQ99" s="22" t="s">
        <v>121</v>
      </c>
      <c r="AR99" s="22" t="s">
        <v>121</v>
      </c>
      <c r="AS99" s="22" t="s">
        <v>121</v>
      </c>
      <c r="AT99" s="22" t="s">
        <v>121</v>
      </c>
      <c r="AU99" s="22" t="s">
        <v>121</v>
      </c>
      <c r="AV99" s="22" t="s">
        <v>121</v>
      </c>
      <c r="AW99" s="22" t="s">
        <v>121</v>
      </c>
      <c r="AX99" s="22" t="s">
        <v>121</v>
      </c>
      <c r="AY99" s="22" t="s">
        <v>121</v>
      </c>
      <c r="AZ99" s="22" t="s">
        <v>121</v>
      </c>
      <c r="BA99" s="22" t="s">
        <v>121</v>
      </c>
      <c r="BB99" s="22" t="s">
        <v>121</v>
      </c>
      <c r="BC99" s="22" t="s">
        <v>121</v>
      </c>
      <c r="BD99" s="22" t="s">
        <v>121</v>
      </c>
      <c r="BE99" s="22" t="s">
        <v>121</v>
      </c>
      <c r="BF99" s="22" t="s">
        <v>121</v>
      </c>
      <c r="BG99" s="22" t="s">
        <v>121</v>
      </c>
      <c r="BH99" s="22" t="s">
        <v>121</v>
      </c>
      <c r="BI99" s="22" t="s">
        <v>121</v>
      </c>
      <c r="BJ99" s="22" t="s">
        <v>121</v>
      </c>
      <c r="BK99" s="22" t="s">
        <v>121</v>
      </c>
      <c r="BL99" s="22" t="s">
        <v>121</v>
      </c>
      <c r="BM99" s="22" t="s">
        <v>121</v>
      </c>
      <c r="BN99" s="22" t="s">
        <v>121</v>
      </c>
      <c r="BO99" s="22" t="s">
        <v>121</v>
      </c>
      <c r="BP99" s="22" t="s">
        <v>121</v>
      </c>
      <c r="BQ99" s="22" t="s">
        <v>121</v>
      </c>
    </row>
    <row r="100" spans="1:69" s="19" customFormat="1" ht="17.25" customHeight="1" x14ac:dyDescent="0.25">
      <c r="A100" s="72">
        <v>100</v>
      </c>
      <c r="B100" s="22" t="s">
        <v>14</v>
      </c>
      <c r="C100" s="91" t="s">
        <v>121</v>
      </c>
      <c r="D100" s="86" t="s">
        <v>121</v>
      </c>
      <c r="E100" s="92" t="s">
        <v>121</v>
      </c>
      <c r="F100" s="244">
        <v>-29735</v>
      </c>
      <c r="G100" s="244">
        <v>-30739</v>
      </c>
      <c r="H100" s="244">
        <v>-25892</v>
      </c>
      <c r="I100" s="244">
        <v>-28153</v>
      </c>
      <c r="J100" s="244">
        <v>-25803</v>
      </c>
      <c r="K100" s="244">
        <v>-24336</v>
      </c>
      <c r="L100" s="244">
        <v>-24914</v>
      </c>
      <c r="M100" s="244">
        <v>-29484</v>
      </c>
      <c r="N100" s="244">
        <v>-31533</v>
      </c>
      <c r="O100" s="244">
        <v>-31875</v>
      </c>
      <c r="P100" s="244">
        <v>-30845</v>
      </c>
      <c r="Q100" s="244">
        <v>-36799</v>
      </c>
      <c r="R100" s="406"/>
      <c r="S100" s="406"/>
      <c r="T100" s="406"/>
      <c r="U100" s="244">
        <v>-35883</v>
      </c>
      <c r="V100" s="244">
        <v>-37795.927000000003</v>
      </c>
      <c r="W100" s="250">
        <v>-37163.256999999998</v>
      </c>
      <c r="X100" s="250">
        <v>-36615.673999999992</v>
      </c>
      <c r="Y100" s="250">
        <v>-34342.019999999997</v>
      </c>
      <c r="Z100" s="250">
        <v>-36059.674999999996</v>
      </c>
      <c r="AA100" s="165">
        <v>-33813.148000000001</v>
      </c>
      <c r="AB100" s="165">
        <v>-33533.800999999999</v>
      </c>
      <c r="AC100" s="165">
        <v>-29382.331000000002</v>
      </c>
      <c r="AD100" s="165">
        <v>-32177.252</v>
      </c>
      <c r="AE100" s="165">
        <v>-32388.332000000002</v>
      </c>
      <c r="AF100" s="165">
        <v>-32854.618000000002</v>
      </c>
      <c r="AG100" s="165">
        <v>-32786.106999999996</v>
      </c>
      <c r="AH100" s="83">
        <v>-34186.815999999999</v>
      </c>
      <c r="AI100" s="19">
        <v>-33290.512000000002</v>
      </c>
      <c r="AJ100" s="19">
        <v>-32585.350000000002</v>
      </c>
      <c r="AK100" s="19" t="s">
        <v>121</v>
      </c>
      <c r="AL100" s="19" t="s">
        <v>121</v>
      </c>
      <c r="AM100" s="19" t="s">
        <v>121</v>
      </c>
      <c r="AN100" s="19" t="s">
        <v>121</v>
      </c>
      <c r="AO100" s="19" t="s">
        <v>121</v>
      </c>
      <c r="AP100" s="19" t="s">
        <v>121</v>
      </c>
      <c r="AQ100" s="19" t="s">
        <v>121</v>
      </c>
      <c r="AR100" s="19" t="s">
        <v>121</v>
      </c>
      <c r="AS100" s="19" t="s">
        <v>121</v>
      </c>
      <c r="AT100" s="19" t="s">
        <v>121</v>
      </c>
      <c r="AU100" s="19" t="s">
        <v>121</v>
      </c>
      <c r="AV100" s="19" t="s">
        <v>121</v>
      </c>
      <c r="AW100" s="19" t="s">
        <v>121</v>
      </c>
      <c r="AX100" s="19" t="s">
        <v>121</v>
      </c>
      <c r="AY100" s="19" t="s">
        <v>121</v>
      </c>
      <c r="AZ100" s="19" t="s">
        <v>121</v>
      </c>
      <c r="BA100" s="19" t="s">
        <v>121</v>
      </c>
      <c r="BB100" s="19" t="s">
        <v>121</v>
      </c>
      <c r="BC100" s="19" t="s">
        <v>121</v>
      </c>
      <c r="BD100" s="19" t="s">
        <v>121</v>
      </c>
      <c r="BE100" s="19" t="s">
        <v>121</v>
      </c>
      <c r="BF100" s="19" t="s">
        <v>121</v>
      </c>
      <c r="BG100" s="19" t="s">
        <v>121</v>
      </c>
      <c r="BH100" s="19" t="s">
        <v>121</v>
      </c>
      <c r="BI100" s="19" t="s">
        <v>121</v>
      </c>
      <c r="BJ100" s="19" t="s">
        <v>121</v>
      </c>
      <c r="BK100" s="19" t="s">
        <v>121</v>
      </c>
      <c r="BL100" s="19" t="s">
        <v>121</v>
      </c>
      <c r="BM100" s="19" t="s">
        <v>121</v>
      </c>
      <c r="BN100" s="19" t="s">
        <v>121</v>
      </c>
      <c r="BO100" s="19" t="s">
        <v>121</v>
      </c>
      <c r="BP100" s="19" t="s">
        <v>121</v>
      </c>
      <c r="BQ100" s="19" t="s">
        <v>121</v>
      </c>
    </row>
    <row r="101" spans="1:69" x14ac:dyDescent="0.25">
      <c r="A101" s="72">
        <v>101</v>
      </c>
      <c r="B101" s="19" t="s">
        <v>59</v>
      </c>
      <c r="C101" s="93" t="s">
        <v>121</v>
      </c>
      <c r="D101" s="123" t="s">
        <v>121</v>
      </c>
      <c r="E101" s="94" t="s">
        <v>121</v>
      </c>
      <c r="F101" s="312">
        <v>737324</v>
      </c>
      <c r="G101" s="312">
        <v>651285</v>
      </c>
      <c r="H101" s="312">
        <v>563140</v>
      </c>
      <c r="I101" s="312">
        <v>559717</v>
      </c>
      <c r="J101" s="312">
        <v>554308</v>
      </c>
      <c r="K101" s="312">
        <v>532634</v>
      </c>
      <c r="L101" s="312">
        <v>523409</v>
      </c>
      <c r="M101" s="312">
        <v>497957</v>
      </c>
      <c r="N101" s="312">
        <v>470751</v>
      </c>
      <c r="O101" s="312">
        <v>392319</v>
      </c>
      <c r="P101" s="312">
        <v>420194</v>
      </c>
      <c r="Q101" s="312">
        <v>378373</v>
      </c>
      <c r="R101" s="406"/>
      <c r="S101" s="406"/>
      <c r="T101" s="406"/>
      <c r="U101" s="312">
        <v>342762</v>
      </c>
      <c r="V101" s="312">
        <v>347457.413</v>
      </c>
      <c r="W101" s="294">
        <v>342419.397</v>
      </c>
      <c r="X101" s="294">
        <v>327120.86800000002</v>
      </c>
      <c r="Y101" s="294">
        <v>309647.08200000005</v>
      </c>
      <c r="Z101" s="294">
        <v>321072.82399999996</v>
      </c>
      <c r="AA101" s="212">
        <v>278080.90600000002</v>
      </c>
      <c r="AB101" s="212">
        <v>295972.53600000002</v>
      </c>
      <c r="AC101" s="212">
        <v>269108.45600000006</v>
      </c>
      <c r="AD101" s="212">
        <v>256369.49799999999</v>
      </c>
      <c r="AE101" s="212">
        <v>234258.989</v>
      </c>
      <c r="AF101" s="212">
        <v>246054.82299999997</v>
      </c>
      <c r="AG101" s="212">
        <v>252761.43700000006</v>
      </c>
      <c r="AH101" s="205">
        <v>256350.72399999999</v>
      </c>
      <c r="AI101" s="1">
        <v>239817.49300000002</v>
      </c>
      <c r="AJ101" s="1">
        <v>235506.89839379062</v>
      </c>
      <c r="AK101" s="1" t="s">
        <v>121</v>
      </c>
      <c r="AL101" s="1" t="s">
        <v>121</v>
      </c>
      <c r="AM101" s="1" t="s">
        <v>121</v>
      </c>
      <c r="AN101" s="1" t="s">
        <v>121</v>
      </c>
      <c r="AO101" s="1" t="s">
        <v>121</v>
      </c>
      <c r="AP101" s="1" t="s">
        <v>121</v>
      </c>
      <c r="AQ101" s="1" t="s">
        <v>121</v>
      </c>
      <c r="AR101" s="1" t="s">
        <v>121</v>
      </c>
      <c r="AS101" s="1" t="s">
        <v>121</v>
      </c>
      <c r="AT101" s="1" t="s">
        <v>121</v>
      </c>
      <c r="AU101" s="1" t="s">
        <v>121</v>
      </c>
      <c r="AV101" s="1" t="s">
        <v>121</v>
      </c>
      <c r="AW101" s="1" t="s">
        <v>121</v>
      </c>
      <c r="AX101" s="1" t="s">
        <v>121</v>
      </c>
      <c r="AY101" s="1" t="s">
        <v>121</v>
      </c>
      <c r="AZ101" s="1" t="s">
        <v>121</v>
      </c>
      <c r="BA101" s="1" t="s">
        <v>121</v>
      </c>
      <c r="BB101" s="1" t="s">
        <v>121</v>
      </c>
      <c r="BC101" s="1" t="s">
        <v>121</v>
      </c>
      <c r="BD101" s="1" t="s">
        <v>121</v>
      </c>
      <c r="BE101" s="1" t="s">
        <v>121</v>
      </c>
      <c r="BF101" s="1" t="s">
        <v>121</v>
      </c>
      <c r="BG101" s="1" t="s">
        <v>121</v>
      </c>
      <c r="BH101" s="1" t="s">
        <v>121</v>
      </c>
      <c r="BI101" s="1" t="s">
        <v>121</v>
      </c>
      <c r="BJ101" s="1" t="s">
        <v>121</v>
      </c>
      <c r="BK101" s="1" t="s">
        <v>121</v>
      </c>
      <c r="BL101" s="1" t="s">
        <v>121</v>
      </c>
      <c r="BM101" s="1" t="s">
        <v>121</v>
      </c>
      <c r="BN101" s="1" t="s">
        <v>121</v>
      </c>
      <c r="BO101" s="1" t="s">
        <v>121</v>
      </c>
      <c r="BP101" s="1" t="s">
        <v>121</v>
      </c>
      <c r="BQ101" s="1" t="s">
        <v>121</v>
      </c>
    </row>
    <row r="102" spans="1:69" x14ac:dyDescent="0.25">
      <c r="A102" s="72">
        <v>102</v>
      </c>
      <c r="B102" s="1" t="s">
        <v>121</v>
      </c>
      <c r="C102" s="1" t="s">
        <v>121</v>
      </c>
      <c r="D102" s="1" t="s">
        <v>121</v>
      </c>
      <c r="E102" s="1" t="s">
        <v>121</v>
      </c>
      <c r="F102" s="1" t="s">
        <v>121</v>
      </c>
      <c r="G102" s="1" t="s">
        <v>121</v>
      </c>
      <c r="H102" s="1" t="s">
        <v>121</v>
      </c>
      <c r="I102" s="1" t="s">
        <v>121</v>
      </c>
      <c r="J102" s="1" t="s">
        <v>121</v>
      </c>
      <c r="K102" s="288" t="s">
        <v>121</v>
      </c>
      <c r="L102" s="288" t="s">
        <v>121</v>
      </c>
      <c r="M102" s="288" t="s">
        <v>121</v>
      </c>
      <c r="N102" s="288" t="s">
        <v>121</v>
      </c>
      <c r="O102" s="288" t="s">
        <v>121</v>
      </c>
      <c r="P102" s="288" t="s">
        <v>121</v>
      </c>
      <c r="Q102" s="288" t="s">
        <v>121</v>
      </c>
      <c r="R102" s="288" t="s">
        <v>121</v>
      </c>
      <c r="S102" s="288" t="s">
        <v>121</v>
      </c>
      <c r="T102" s="288" t="s">
        <v>121</v>
      </c>
      <c r="U102" s="288" t="s">
        <v>121</v>
      </c>
      <c r="V102" s="288" t="s">
        <v>121</v>
      </c>
      <c r="W102" s="288" t="s">
        <v>121</v>
      </c>
      <c r="X102" s="288" t="s">
        <v>121</v>
      </c>
      <c r="Y102" s="288" t="s">
        <v>121</v>
      </c>
      <c r="Z102" s="288" t="s">
        <v>121</v>
      </c>
      <c r="AA102" s="39" t="s">
        <v>121</v>
      </c>
      <c r="AB102" s="39" t="s">
        <v>121</v>
      </c>
      <c r="AC102" s="39" t="s">
        <v>121</v>
      </c>
      <c r="AD102" s="39" t="s">
        <v>121</v>
      </c>
      <c r="AE102" s="39" t="s">
        <v>121</v>
      </c>
      <c r="AF102" s="1" t="s">
        <v>121</v>
      </c>
      <c r="AG102" s="1" t="s">
        <v>121</v>
      </c>
      <c r="AH102" s="39" t="s">
        <v>121</v>
      </c>
      <c r="AI102" s="1" t="s">
        <v>121</v>
      </c>
      <c r="AJ102" s="1" t="s">
        <v>121</v>
      </c>
      <c r="AK102" s="1" t="s">
        <v>121</v>
      </c>
      <c r="AL102" s="1" t="s">
        <v>121</v>
      </c>
      <c r="AM102" s="1" t="s">
        <v>121</v>
      </c>
      <c r="AN102" s="1" t="s">
        <v>121</v>
      </c>
      <c r="AO102" s="1" t="s">
        <v>121</v>
      </c>
      <c r="AP102" s="1" t="s">
        <v>121</v>
      </c>
      <c r="AQ102" s="1" t="s">
        <v>121</v>
      </c>
      <c r="AR102" s="1" t="s">
        <v>121</v>
      </c>
      <c r="AS102" s="1" t="s">
        <v>121</v>
      </c>
      <c r="AT102" s="1" t="s">
        <v>121</v>
      </c>
      <c r="AU102" s="1" t="s">
        <v>121</v>
      </c>
      <c r="AV102" s="1" t="s">
        <v>121</v>
      </c>
      <c r="AW102" s="1" t="s">
        <v>121</v>
      </c>
      <c r="AX102" s="1" t="s">
        <v>121</v>
      </c>
      <c r="AY102" s="1" t="s">
        <v>121</v>
      </c>
      <c r="AZ102" s="1" t="s">
        <v>121</v>
      </c>
      <c r="BA102" s="1" t="s">
        <v>121</v>
      </c>
      <c r="BB102" s="1" t="s">
        <v>121</v>
      </c>
      <c r="BC102" s="1" t="s">
        <v>121</v>
      </c>
      <c r="BD102" s="1" t="s">
        <v>121</v>
      </c>
      <c r="BE102" s="1" t="s">
        <v>121</v>
      </c>
      <c r="BF102" s="1" t="s">
        <v>121</v>
      </c>
      <c r="BG102" s="1" t="s">
        <v>121</v>
      </c>
      <c r="BH102" s="1" t="s">
        <v>121</v>
      </c>
      <c r="BI102" s="1" t="s">
        <v>121</v>
      </c>
      <c r="BJ102" s="1" t="s">
        <v>121</v>
      </c>
      <c r="BK102" s="1" t="s">
        <v>121</v>
      </c>
      <c r="BL102" s="1" t="s">
        <v>121</v>
      </c>
      <c r="BM102" s="1" t="s">
        <v>121</v>
      </c>
      <c r="BN102" s="1" t="s">
        <v>121</v>
      </c>
      <c r="BO102" s="1" t="s">
        <v>121</v>
      </c>
      <c r="BP102" s="1" t="s">
        <v>121</v>
      </c>
      <c r="BQ102" s="1" t="s">
        <v>121</v>
      </c>
    </row>
    <row r="103" spans="1:69" x14ac:dyDescent="0.25">
      <c r="A103" s="72">
        <v>103</v>
      </c>
      <c r="B103" s="1" t="s">
        <v>121</v>
      </c>
      <c r="C103" s="1" t="s">
        <v>121</v>
      </c>
      <c r="D103" s="1" t="s">
        <v>121</v>
      </c>
      <c r="E103" s="1" t="s">
        <v>121</v>
      </c>
      <c r="F103" s="1" t="s">
        <v>121</v>
      </c>
      <c r="G103" s="1" t="s">
        <v>121</v>
      </c>
      <c r="H103" s="1" t="s">
        <v>121</v>
      </c>
      <c r="I103" s="1" t="s">
        <v>121</v>
      </c>
      <c r="J103" s="1" t="s">
        <v>121</v>
      </c>
      <c r="K103" s="288" t="s">
        <v>121</v>
      </c>
      <c r="L103" s="288" t="s">
        <v>121</v>
      </c>
      <c r="M103" s="288" t="s">
        <v>121</v>
      </c>
      <c r="N103" s="288" t="s">
        <v>121</v>
      </c>
      <c r="O103" s="288" t="s">
        <v>121</v>
      </c>
      <c r="P103" s="288" t="s">
        <v>121</v>
      </c>
      <c r="Q103" s="288" t="s">
        <v>121</v>
      </c>
      <c r="R103" s="288" t="s">
        <v>121</v>
      </c>
      <c r="S103" s="288" t="s">
        <v>121</v>
      </c>
      <c r="T103" s="288" t="s">
        <v>121</v>
      </c>
      <c r="U103" s="288" t="s">
        <v>121</v>
      </c>
      <c r="V103" s="288" t="s">
        <v>121</v>
      </c>
      <c r="W103" s="288" t="s">
        <v>121</v>
      </c>
      <c r="X103" s="288" t="s">
        <v>121</v>
      </c>
      <c r="Y103" s="288" t="s">
        <v>121</v>
      </c>
      <c r="Z103" s="288" t="s">
        <v>121</v>
      </c>
      <c r="AA103" s="39" t="s">
        <v>121</v>
      </c>
      <c r="AB103" s="39" t="s">
        <v>121</v>
      </c>
      <c r="AC103" s="39" t="s">
        <v>121</v>
      </c>
      <c r="AD103" s="39" t="s">
        <v>121</v>
      </c>
      <c r="AE103" s="39" t="s">
        <v>121</v>
      </c>
      <c r="AF103" s="1" t="s">
        <v>121</v>
      </c>
      <c r="AG103" s="1" t="s">
        <v>121</v>
      </c>
      <c r="AH103" s="39" t="s">
        <v>121</v>
      </c>
      <c r="AI103" s="1" t="s">
        <v>121</v>
      </c>
      <c r="AJ103" s="1" t="s">
        <v>121</v>
      </c>
      <c r="AK103" s="1" t="s">
        <v>121</v>
      </c>
      <c r="AL103" s="1" t="s">
        <v>121</v>
      </c>
      <c r="AM103" s="1" t="s">
        <v>121</v>
      </c>
      <c r="AN103" s="1" t="s">
        <v>121</v>
      </c>
      <c r="AO103" s="1" t="s">
        <v>121</v>
      </c>
      <c r="AP103" s="1" t="s">
        <v>121</v>
      </c>
      <c r="AQ103" s="1" t="s">
        <v>121</v>
      </c>
      <c r="AR103" s="1" t="s">
        <v>121</v>
      </c>
      <c r="AS103" s="1" t="s">
        <v>121</v>
      </c>
      <c r="AT103" s="1" t="s">
        <v>121</v>
      </c>
      <c r="AU103" s="1" t="s">
        <v>121</v>
      </c>
      <c r="AV103" s="1" t="s">
        <v>121</v>
      </c>
      <c r="AW103" s="1" t="s">
        <v>121</v>
      </c>
      <c r="AX103" s="1" t="s">
        <v>121</v>
      </c>
      <c r="AY103" s="1" t="s">
        <v>121</v>
      </c>
      <c r="AZ103" s="1" t="s">
        <v>121</v>
      </c>
      <c r="BA103" s="1" t="s">
        <v>121</v>
      </c>
      <c r="BB103" s="1" t="s">
        <v>121</v>
      </c>
      <c r="BC103" s="1" t="s">
        <v>121</v>
      </c>
      <c r="BD103" s="1" t="s">
        <v>121</v>
      </c>
      <c r="BE103" s="1" t="s">
        <v>121</v>
      </c>
      <c r="BF103" s="1" t="s">
        <v>121</v>
      </c>
      <c r="BG103" s="1" t="s">
        <v>121</v>
      </c>
      <c r="BH103" s="1" t="s">
        <v>121</v>
      </c>
      <c r="BI103" s="1" t="s">
        <v>121</v>
      </c>
      <c r="BJ103" s="1" t="s">
        <v>121</v>
      </c>
      <c r="BK103" s="1" t="s">
        <v>121</v>
      </c>
      <c r="BL103" s="1" t="s">
        <v>121</v>
      </c>
      <c r="BM103" s="1" t="s">
        <v>121</v>
      </c>
      <c r="BN103" s="1" t="s">
        <v>121</v>
      </c>
      <c r="BO103" s="1" t="s">
        <v>121</v>
      </c>
      <c r="BP103" s="1" t="s">
        <v>121</v>
      </c>
      <c r="BQ103" s="1" t="s">
        <v>121</v>
      </c>
    </row>
    <row r="104" spans="1:69" ht="15.75" customHeight="1" x14ac:dyDescent="0.25">
      <c r="A104" s="72">
        <v>104</v>
      </c>
      <c r="B104" s="1" t="s">
        <v>121</v>
      </c>
      <c r="C104" s="1" t="s">
        <v>121</v>
      </c>
      <c r="D104" s="1" t="s">
        <v>121</v>
      </c>
      <c r="E104" s="1" t="s">
        <v>121</v>
      </c>
      <c r="F104" s="1" t="s">
        <v>121</v>
      </c>
      <c r="G104" s="1" t="s">
        <v>121</v>
      </c>
      <c r="H104" s="1" t="s">
        <v>121</v>
      </c>
      <c r="I104" s="1" t="s">
        <v>121</v>
      </c>
      <c r="J104" s="1" t="s">
        <v>121</v>
      </c>
      <c r="K104" s="288" t="s">
        <v>121</v>
      </c>
      <c r="L104" s="288" t="s">
        <v>121</v>
      </c>
      <c r="M104" s="288" t="s">
        <v>121</v>
      </c>
      <c r="N104" s="288" t="s">
        <v>121</v>
      </c>
      <c r="O104" s="288" t="s">
        <v>121</v>
      </c>
      <c r="P104" s="288" t="s">
        <v>121</v>
      </c>
      <c r="Q104" s="288" t="s">
        <v>121</v>
      </c>
      <c r="R104" s="288" t="s">
        <v>121</v>
      </c>
      <c r="S104" s="288" t="s">
        <v>121</v>
      </c>
      <c r="T104" s="288" t="s">
        <v>121</v>
      </c>
      <c r="U104" s="288" t="s">
        <v>121</v>
      </c>
      <c r="V104" s="288" t="s">
        <v>121</v>
      </c>
      <c r="W104" s="288" t="s">
        <v>121</v>
      </c>
      <c r="X104" s="288" t="s">
        <v>121</v>
      </c>
      <c r="Y104" s="288" t="s">
        <v>121</v>
      </c>
      <c r="Z104" s="288" t="s">
        <v>121</v>
      </c>
      <c r="AA104" s="39" t="s">
        <v>121</v>
      </c>
      <c r="AB104" s="39" t="s">
        <v>121</v>
      </c>
      <c r="AC104" s="39" t="s">
        <v>121</v>
      </c>
      <c r="AD104" s="39" t="s">
        <v>121</v>
      </c>
      <c r="AE104" s="39" t="s">
        <v>121</v>
      </c>
      <c r="AF104" s="1" t="s">
        <v>121</v>
      </c>
      <c r="AG104" s="1" t="s">
        <v>121</v>
      </c>
      <c r="AH104" s="39" t="s">
        <v>121</v>
      </c>
      <c r="AI104" s="1" t="s">
        <v>121</v>
      </c>
      <c r="AJ104" s="1" t="s">
        <v>121</v>
      </c>
      <c r="AK104" s="1" t="s">
        <v>121</v>
      </c>
      <c r="AL104" s="1" t="s">
        <v>121</v>
      </c>
      <c r="AM104" s="1" t="s">
        <v>121</v>
      </c>
      <c r="AN104" s="1" t="s">
        <v>121</v>
      </c>
      <c r="AO104" s="1" t="s">
        <v>121</v>
      </c>
      <c r="AP104" s="1" t="s">
        <v>121</v>
      </c>
      <c r="AQ104" s="1" t="s">
        <v>121</v>
      </c>
      <c r="AR104" s="1" t="s">
        <v>121</v>
      </c>
      <c r="AS104" s="1" t="s">
        <v>121</v>
      </c>
      <c r="AT104" s="1" t="s">
        <v>121</v>
      </c>
      <c r="AU104" s="1" t="s">
        <v>121</v>
      </c>
      <c r="AV104" s="1" t="s">
        <v>121</v>
      </c>
      <c r="AW104" s="1" t="s">
        <v>121</v>
      </c>
      <c r="AX104" s="1" t="s">
        <v>121</v>
      </c>
      <c r="AY104" s="1" t="s">
        <v>121</v>
      </c>
      <c r="AZ104" s="1" t="s">
        <v>121</v>
      </c>
      <c r="BA104" s="1" t="s">
        <v>121</v>
      </c>
      <c r="BB104" s="1" t="s">
        <v>121</v>
      </c>
      <c r="BC104" s="1" t="s">
        <v>121</v>
      </c>
      <c r="BD104" s="1" t="s">
        <v>121</v>
      </c>
      <c r="BE104" s="1" t="s">
        <v>121</v>
      </c>
      <c r="BF104" s="1" t="s">
        <v>121</v>
      </c>
      <c r="BG104" s="1" t="s">
        <v>121</v>
      </c>
      <c r="BH104" s="1" t="s">
        <v>121</v>
      </c>
      <c r="BI104" s="1" t="s">
        <v>121</v>
      </c>
      <c r="BJ104" s="1" t="s">
        <v>121</v>
      </c>
      <c r="BK104" s="1" t="s">
        <v>121</v>
      </c>
      <c r="BL104" s="1" t="s">
        <v>121</v>
      </c>
      <c r="BM104" s="1" t="s">
        <v>121</v>
      </c>
      <c r="BN104" s="1" t="s">
        <v>121</v>
      </c>
      <c r="BO104" s="1" t="s">
        <v>121</v>
      </c>
      <c r="BP104" s="1" t="s">
        <v>121</v>
      </c>
      <c r="BQ104" s="1" t="s">
        <v>121</v>
      </c>
    </row>
    <row r="105" spans="1:69" x14ac:dyDescent="0.25">
      <c r="A105" s="72">
        <v>105</v>
      </c>
      <c r="B105" s="426" t="s">
        <v>351</v>
      </c>
      <c r="C105" s="436" t="s">
        <v>64</v>
      </c>
      <c r="D105" s="438" t="s">
        <v>265</v>
      </c>
      <c r="E105" s="434" t="s">
        <v>79</v>
      </c>
      <c r="F105" s="416">
        <v>45930</v>
      </c>
      <c r="G105" s="416">
        <v>45838</v>
      </c>
      <c r="H105" s="416">
        <v>45747</v>
      </c>
      <c r="I105" s="416">
        <v>45657</v>
      </c>
      <c r="J105" s="416">
        <v>45565</v>
      </c>
      <c r="K105" s="416">
        <v>45473</v>
      </c>
      <c r="L105" s="416">
        <v>45382</v>
      </c>
      <c r="M105" s="416">
        <v>45291</v>
      </c>
      <c r="N105" s="416">
        <v>45199</v>
      </c>
      <c r="O105" s="416">
        <v>45107</v>
      </c>
      <c r="P105" s="416">
        <v>45016</v>
      </c>
      <c r="Q105" s="416">
        <v>44926</v>
      </c>
      <c r="R105" s="416">
        <v>44834</v>
      </c>
      <c r="S105" s="416">
        <v>44742</v>
      </c>
      <c r="T105" s="449">
        <v>44651</v>
      </c>
      <c r="U105" s="449">
        <v>44561</v>
      </c>
      <c r="V105" s="449">
        <v>44469</v>
      </c>
      <c r="W105" s="449">
        <v>44377</v>
      </c>
      <c r="X105" s="416">
        <v>44286</v>
      </c>
      <c r="Y105" s="429">
        <v>44196</v>
      </c>
      <c r="Z105" s="429">
        <v>44104</v>
      </c>
      <c r="AA105" s="429">
        <v>44012</v>
      </c>
      <c r="AB105" s="416">
        <v>43921</v>
      </c>
      <c r="AC105" s="416">
        <v>43830</v>
      </c>
      <c r="AD105" s="416">
        <v>43738</v>
      </c>
      <c r="AE105" s="416">
        <v>43646</v>
      </c>
      <c r="AF105" s="416">
        <v>43555</v>
      </c>
      <c r="AG105" s="1">
        <v>43465</v>
      </c>
      <c r="AH105" s="1">
        <v>43373</v>
      </c>
      <c r="AI105" s="1">
        <v>43281</v>
      </c>
      <c r="AJ105" s="1">
        <v>43190</v>
      </c>
      <c r="AK105" s="1" t="s">
        <v>121</v>
      </c>
      <c r="AL105" s="1" t="s">
        <v>121</v>
      </c>
      <c r="AM105" s="1" t="s">
        <v>121</v>
      </c>
      <c r="AN105" s="1" t="s">
        <v>121</v>
      </c>
      <c r="AO105" s="1" t="s">
        <v>121</v>
      </c>
      <c r="AP105" s="1" t="s">
        <v>121</v>
      </c>
      <c r="AQ105" s="1" t="s">
        <v>121</v>
      </c>
      <c r="AR105" s="1" t="s">
        <v>121</v>
      </c>
      <c r="AS105" s="1" t="s">
        <v>121</v>
      </c>
      <c r="AT105" s="1" t="s">
        <v>121</v>
      </c>
      <c r="AU105" s="1" t="s">
        <v>121</v>
      </c>
      <c r="AV105" s="1" t="s">
        <v>121</v>
      </c>
      <c r="AW105" s="1" t="s">
        <v>121</v>
      </c>
      <c r="AX105" s="1" t="s">
        <v>121</v>
      </c>
      <c r="AY105" s="1" t="s">
        <v>121</v>
      </c>
      <c r="AZ105" s="1" t="s">
        <v>121</v>
      </c>
      <c r="BA105" s="1" t="s">
        <v>121</v>
      </c>
      <c r="BB105" s="1" t="s">
        <v>121</v>
      </c>
      <c r="BC105" s="1" t="s">
        <v>121</v>
      </c>
      <c r="BD105" s="1" t="s">
        <v>121</v>
      </c>
      <c r="BE105" s="1" t="s">
        <v>121</v>
      </c>
      <c r="BF105" s="1" t="s">
        <v>121</v>
      </c>
      <c r="BG105" s="1" t="s">
        <v>121</v>
      </c>
      <c r="BH105" s="1" t="s">
        <v>121</v>
      </c>
      <c r="BI105" s="1" t="s">
        <v>121</v>
      </c>
      <c r="BJ105" s="1" t="s">
        <v>121</v>
      </c>
      <c r="BK105" s="1" t="s">
        <v>121</v>
      </c>
      <c r="BL105" s="1" t="s">
        <v>121</v>
      </c>
      <c r="BM105" s="1" t="s">
        <v>121</v>
      </c>
      <c r="BN105" s="1" t="s">
        <v>121</v>
      </c>
      <c r="BO105" s="1" t="s">
        <v>121</v>
      </c>
      <c r="BP105" s="1" t="s">
        <v>121</v>
      </c>
      <c r="BQ105" s="1" t="s">
        <v>121</v>
      </c>
    </row>
    <row r="106" spans="1:69" x14ac:dyDescent="0.25">
      <c r="A106" s="72">
        <v>106</v>
      </c>
      <c r="B106" s="427"/>
      <c r="C106" s="437"/>
      <c r="D106" s="451"/>
      <c r="E106" s="444"/>
      <c r="F106" s="417"/>
      <c r="G106" s="417"/>
      <c r="H106" s="417"/>
      <c r="I106" s="417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/>
      <c r="T106" s="450"/>
      <c r="U106" s="450"/>
      <c r="V106" s="450"/>
      <c r="W106" s="450"/>
      <c r="X106" s="417"/>
      <c r="Y106" s="430"/>
      <c r="Z106" s="430"/>
      <c r="AA106" s="430"/>
      <c r="AB106" s="417"/>
      <c r="AC106" s="417"/>
      <c r="AD106" s="417"/>
      <c r="AE106" s="417"/>
      <c r="AF106" s="417"/>
    </row>
    <row r="107" spans="1:69" ht="27" customHeight="1" x14ac:dyDescent="0.25">
      <c r="A107" s="72">
        <v>107</v>
      </c>
      <c r="B107" s="8" t="s">
        <v>4</v>
      </c>
      <c r="C107" s="87" t="s">
        <v>121</v>
      </c>
      <c r="D107" s="56" t="s">
        <v>121</v>
      </c>
      <c r="E107" s="88" t="s">
        <v>121</v>
      </c>
      <c r="F107" s="56" t="s">
        <v>121</v>
      </c>
      <c r="G107" s="56" t="s">
        <v>121</v>
      </c>
      <c r="H107" s="56" t="s">
        <v>121</v>
      </c>
      <c r="I107" s="56" t="s">
        <v>121</v>
      </c>
      <c r="J107" s="56" t="s">
        <v>121</v>
      </c>
      <c r="K107" s="286" t="s">
        <v>121</v>
      </c>
      <c r="L107" s="286" t="s">
        <v>121</v>
      </c>
      <c r="M107" s="286" t="s">
        <v>121</v>
      </c>
      <c r="N107" s="286" t="s">
        <v>121</v>
      </c>
      <c r="O107" s="286" t="s">
        <v>121</v>
      </c>
      <c r="P107" s="286" t="s">
        <v>121</v>
      </c>
      <c r="Q107" s="286" t="s">
        <v>121</v>
      </c>
      <c r="R107" s="286" t="s">
        <v>121</v>
      </c>
      <c r="S107" s="286" t="s">
        <v>121</v>
      </c>
      <c r="T107" s="286" t="s">
        <v>121</v>
      </c>
      <c r="U107" s="286" t="s">
        <v>121</v>
      </c>
      <c r="V107" s="286" t="s">
        <v>121</v>
      </c>
      <c r="W107" s="286" t="s">
        <v>121</v>
      </c>
      <c r="X107" s="286" t="s">
        <v>121</v>
      </c>
      <c r="Y107" s="286" t="s">
        <v>121</v>
      </c>
      <c r="Z107" s="286" t="s">
        <v>121</v>
      </c>
      <c r="AA107" s="56" t="s">
        <v>121</v>
      </c>
      <c r="AB107" s="56" t="s">
        <v>121</v>
      </c>
      <c r="AC107" s="56" t="s">
        <v>121</v>
      </c>
      <c r="AD107" s="56" t="s">
        <v>121</v>
      </c>
      <c r="AE107" s="56" t="s">
        <v>121</v>
      </c>
      <c r="AF107" s="56" t="s">
        <v>121</v>
      </c>
      <c r="AG107" s="56" t="s">
        <v>121</v>
      </c>
      <c r="AH107" s="56" t="s">
        <v>121</v>
      </c>
      <c r="AI107" s="1" t="s">
        <v>121</v>
      </c>
      <c r="AJ107" s="1" t="s">
        <v>121</v>
      </c>
      <c r="AK107" s="1" t="s">
        <v>121</v>
      </c>
      <c r="AL107" s="1" t="s">
        <v>121</v>
      </c>
      <c r="AM107" s="1" t="s">
        <v>121</v>
      </c>
      <c r="AN107" s="1" t="s">
        <v>121</v>
      </c>
      <c r="AO107" s="1" t="s">
        <v>121</v>
      </c>
      <c r="AP107" s="1" t="s">
        <v>121</v>
      </c>
      <c r="AQ107" s="1" t="s">
        <v>121</v>
      </c>
      <c r="AR107" s="1" t="s">
        <v>121</v>
      </c>
      <c r="AS107" s="1" t="s">
        <v>121</v>
      </c>
      <c r="AT107" s="1" t="s">
        <v>121</v>
      </c>
      <c r="AU107" s="1" t="s">
        <v>121</v>
      </c>
      <c r="AV107" s="1" t="s">
        <v>121</v>
      </c>
      <c r="AW107" s="1" t="s">
        <v>121</v>
      </c>
      <c r="AX107" s="1" t="s">
        <v>121</v>
      </c>
      <c r="AY107" s="1" t="s">
        <v>121</v>
      </c>
      <c r="AZ107" s="1" t="s">
        <v>121</v>
      </c>
      <c r="BA107" s="1" t="s">
        <v>121</v>
      </c>
      <c r="BB107" s="1" t="s">
        <v>121</v>
      </c>
      <c r="BC107" s="1" t="s">
        <v>121</v>
      </c>
      <c r="BD107" s="1" t="s">
        <v>121</v>
      </c>
      <c r="BE107" s="1" t="s">
        <v>121</v>
      </c>
      <c r="BF107" s="1" t="s">
        <v>121</v>
      </c>
      <c r="BG107" s="1" t="s">
        <v>121</v>
      </c>
      <c r="BH107" s="1" t="s">
        <v>121</v>
      </c>
      <c r="BI107" s="1" t="s">
        <v>121</v>
      </c>
      <c r="BJ107" s="1" t="s">
        <v>121</v>
      </c>
      <c r="BK107" s="1" t="s">
        <v>121</v>
      </c>
      <c r="BL107" s="1" t="s">
        <v>121</v>
      </c>
      <c r="BM107" s="1" t="s">
        <v>121</v>
      </c>
      <c r="BN107" s="1" t="s">
        <v>121</v>
      </c>
      <c r="BO107" s="1" t="s">
        <v>121</v>
      </c>
      <c r="BP107" s="1" t="s">
        <v>121</v>
      </c>
      <c r="BQ107" s="1" t="s">
        <v>121</v>
      </c>
    </row>
    <row r="108" spans="1:69" ht="15" customHeight="1" x14ac:dyDescent="0.25">
      <c r="A108" s="72">
        <v>108</v>
      </c>
      <c r="B108" s="400" t="s">
        <v>352</v>
      </c>
      <c r="C108" s="225" t="s">
        <v>121</v>
      </c>
      <c r="D108" s="227" t="s">
        <v>121</v>
      </c>
      <c r="E108" s="226" t="s">
        <v>121</v>
      </c>
      <c r="F108" s="227" t="s">
        <v>121</v>
      </c>
      <c r="G108" s="227" t="s">
        <v>121</v>
      </c>
      <c r="H108" s="227" t="s">
        <v>121</v>
      </c>
      <c r="I108" s="227" t="s">
        <v>121</v>
      </c>
      <c r="J108" s="227" t="s">
        <v>121</v>
      </c>
      <c r="K108" s="295" t="s">
        <v>121</v>
      </c>
      <c r="L108" s="295" t="s">
        <v>121</v>
      </c>
      <c r="M108" s="295" t="s">
        <v>121</v>
      </c>
      <c r="N108" s="295" t="s">
        <v>121</v>
      </c>
      <c r="O108" s="295" t="s">
        <v>121</v>
      </c>
      <c r="P108" s="295" t="s">
        <v>121</v>
      </c>
      <c r="Q108" s="295" t="s">
        <v>121</v>
      </c>
      <c r="R108" s="295" t="s">
        <v>121</v>
      </c>
      <c r="S108" s="295" t="s">
        <v>121</v>
      </c>
      <c r="T108" s="295" t="s">
        <v>121</v>
      </c>
      <c r="U108" s="295" t="s">
        <v>121</v>
      </c>
      <c r="V108" s="295" t="s">
        <v>121</v>
      </c>
      <c r="W108" s="295" t="s">
        <v>121</v>
      </c>
      <c r="X108" s="295" t="s">
        <v>121</v>
      </c>
      <c r="Y108" s="295" t="s">
        <v>121</v>
      </c>
      <c r="Z108" s="295" t="s">
        <v>121</v>
      </c>
      <c r="AA108" s="227" t="s">
        <v>121</v>
      </c>
      <c r="AB108" s="227" t="s">
        <v>121</v>
      </c>
      <c r="AC108" s="227" t="s">
        <v>121</v>
      </c>
      <c r="AD108" s="227" t="s">
        <v>121</v>
      </c>
      <c r="AE108" s="227" t="s">
        <v>121</v>
      </c>
      <c r="AF108" s="227" t="s">
        <v>121</v>
      </c>
      <c r="AG108" s="227" t="s">
        <v>121</v>
      </c>
      <c r="AH108" s="227" t="s">
        <v>121</v>
      </c>
      <c r="AI108" s="1" t="s">
        <v>121</v>
      </c>
      <c r="AJ108" s="1" t="s">
        <v>121</v>
      </c>
      <c r="AK108" s="1" t="s">
        <v>121</v>
      </c>
      <c r="AL108" s="1" t="s">
        <v>121</v>
      </c>
      <c r="AM108" s="1" t="s">
        <v>121</v>
      </c>
      <c r="AN108" s="1" t="s">
        <v>121</v>
      </c>
      <c r="AO108" s="1" t="s">
        <v>121</v>
      </c>
      <c r="AP108" s="1" t="s">
        <v>121</v>
      </c>
      <c r="AQ108" s="1" t="s">
        <v>121</v>
      </c>
      <c r="AR108" s="1" t="s">
        <v>121</v>
      </c>
      <c r="AS108" s="1" t="s">
        <v>121</v>
      </c>
      <c r="AT108" s="1" t="s">
        <v>121</v>
      </c>
      <c r="AU108" s="1" t="s">
        <v>121</v>
      </c>
      <c r="AV108" s="1" t="s">
        <v>121</v>
      </c>
      <c r="AW108" s="1" t="s">
        <v>121</v>
      </c>
      <c r="AX108" s="1" t="s">
        <v>121</v>
      </c>
      <c r="AY108" s="1" t="s">
        <v>121</v>
      </c>
      <c r="AZ108" s="1" t="s">
        <v>121</v>
      </c>
      <c r="BA108" s="1" t="s">
        <v>121</v>
      </c>
      <c r="BB108" s="1" t="s">
        <v>121</v>
      </c>
      <c r="BC108" s="1" t="s">
        <v>121</v>
      </c>
      <c r="BD108" s="1" t="s">
        <v>121</v>
      </c>
      <c r="BE108" s="1" t="s">
        <v>121</v>
      </c>
      <c r="BF108" s="1" t="s">
        <v>121</v>
      </c>
      <c r="BG108" s="1" t="s">
        <v>121</v>
      </c>
      <c r="BH108" s="1" t="s">
        <v>121</v>
      </c>
      <c r="BI108" s="1" t="s">
        <v>121</v>
      </c>
      <c r="BJ108" s="1" t="s">
        <v>121</v>
      </c>
      <c r="BK108" s="1" t="s">
        <v>121</v>
      </c>
      <c r="BL108" s="1" t="s">
        <v>121</v>
      </c>
      <c r="BM108" s="1" t="s">
        <v>121</v>
      </c>
      <c r="BN108" s="1" t="s">
        <v>121</v>
      </c>
      <c r="BO108" s="1" t="s">
        <v>121</v>
      </c>
      <c r="BP108" s="1" t="s">
        <v>121</v>
      </c>
      <c r="BQ108" s="1" t="s">
        <v>121</v>
      </c>
    </row>
    <row r="109" spans="1:69" ht="15" customHeight="1" x14ac:dyDescent="0.25">
      <c r="A109" s="72">
        <v>109</v>
      </c>
      <c r="B109" s="228" t="s">
        <v>334</v>
      </c>
      <c r="C109" s="223" t="s">
        <v>121</v>
      </c>
      <c r="D109" s="216" t="s">
        <v>121</v>
      </c>
      <c r="E109" s="224" t="s">
        <v>121</v>
      </c>
      <c r="F109" s="216" t="s">
        <v>121</v>
      </c>
      <c r="G109" s="216" t="s">
        <v>121</v>
      </c>
      <c r="H109" s="216" t="s">
        <v>121</v>
      </c>
      <c r="I109" s="216" t="s">
        <v>121</v>
      </c>
      <c r="J109" s="216" t="s">
        <v>121</v>
      </c>
      <c r="K109" s="293" t="s">
        <v>121</v>
      </c>
      <c r="L109" s="293" t="s">
        <v>121</v>
      </c>
      <c r="M109" s="293" t="s">
        <v>121</v>
      </c>
      <c r="N109" s="293" t="s">
        <v>121</v>
      </c>
      <c r="O109" s="293" t="s">
        <v>121</v>
      </c>
      <c r="P109" s="293" t="s">
        <v>121</v>
      </c>
      <c r="Q109" s="293" t="s">
        <v>121</v>
      </c>
      <c r="R109" s="293" t="s">
        <v>121</v>
      </c>
      <c r="S109" s="293" t="s">
        <v>121</v>
      </c>
      <c r="T109" s="293" t="s">
        <v>121</v>
      </c>
      <c r="U109" s="293" t="s">
        <v>121</v>
      </c>
      <c r="V109" s="293" t="s">
        <v>121</v>
      </c>
      <c r="W109" s="293" t="s">
        <v>121</v>
      </c>
      <c r="X109" s="293" t="s">
        <v>121</v>
      </c>
      <c r="Y109" s="293" t="s">
        <v>121</v>
      </c>
      <c r="Z109" s="293" t="s">
        <v>121</v>
      </c>
      <c r="AA109" s="216" t="s">
        <v>121</v>
      </c>
      <c r="AB109" s="216" t="s">
        <v>121</v>
      </c>
      <c r="AC109" s="216" t="s">
        <v>121</v>
      </c>
      <c r="AD109" s="216" t="s">
        <v>121</v>
      </c>
      <c r="AE109" s="216" t="s">
        <v>121</v>
      </c>
      <c r="AF109" s="216" t="s">
        <v>121</v>
      </c>
      <c r="AG109" s="216" t="s">
        <v>121</v>
      </c>
      <c r="AH109" s="216" t="s">
        <v>121</v>
      </c>
      <c r="AI109" s="1" t="s">
        <v>121</v>
      </c>
      <c r="AJ109" s="1" t="s">
        <v>121</v>
      </c>
      <c r="AK109" s="1" t="s">
        <v>121</v>
      </c>
      <c r="AL109" s="1" t="s">
        <v>121</v>
      </c>
      <c r="AM109" s="1" t="s">
        <v>121</v>
      </c>
      <c r="AN109" s="1" t="s">
        <v>121</v>
      </c>
      <c r="AO109" s="1" t="s">
        <v>121</v>
      </c>
      <c r="AP109" s="1" t="s">
        <v>121</v>
      </c>
      <c r="AQ109" s="1" t="s">
        <v>121</v>
      </c>
      <c r="AR109" s="1" t="s">
        <v>121</v>
      </c>
      <c r="AS109" s="1" t="s">
        <v>121</v>
      </c>
      <c r="AT109" s="1" t="s">
        <v>121</v>
      </c>
      <c r="AU109" s="1" t="s">
        <v>121</v>
      </c>
      <c r="AV109" s="1" t="s">
        <v>121</v>
      </c>
      <c r="AW109" s="1" t="s">
        <v>121</v>
      </c>
      <c r="AX109" s="1" t="s">
        <v>121</v>
      </c>
      <c r="AY109" s="1" t="s">
        <v>121</v>
      </c>
      <c r="AZ109" s="1" t="s">
        <v>121</v>
      </c>
      <c r="BA109" s="1" t="s">
        <v>121</v>
      </c>
      <c r="BB109" s="1" t="s">
        <v>121</v>
      </c>
      <c r="BC109" s="1" t="s">
        <v>121</v>
      </c>
      <c r="BD109" s="1" t="s">
        <v>121</v>
      </c>
      <c r="BE109" s="1" t="s">
        <v>121</v>
      </c>
      <c r="BF109" s="1" t="s">
        <v>121</v>
      </c>
      <c r="BG109" s="1" t="s">
        <v>121</v>
      </c>
      <c r="BH109" s="1" t="s">
        <v>121</v>
      </c>
      <c r="BI109" s="1" t="s">
        <v>121</v>
      </c>
      <c r="BJ109" s="1" t="s">
        <v>121</v>
      </c>
      <c r="BK109" s="1" t="s">
        <v>121</v>
      </c>
      <c r="BL109" s="1" t="s">
        <v>121</v>
      </c>
      <c r="BM109" s="1" t="s">
        <v>121</v>
      </c>
      <c r="BN109" s="1" t="s">
        <v>121</v>
      </c>
      <c r="BO109" s="1" t="s">
        <v>121</v>
      </c>
      <c r="BP109" s="1" t="s">
        <v>121</v>
      </c>
      <c r="BQ109" s="1" t="s">
        <v>121</v>
      </c>
    </row>
    <row r="110" spans="1:69" ht="15" customHeight="1" x14ac:dyDescent="0.25">
      <c r="A110" s="72">
        <v>110</v>
      </c>
      <c r="B110" s="217" t="s">
        <v>353</v>
      </c>
      <c r="C110" s="150" t="s">
        <v>121</v>
      </c>
      <c r="D110" s="164" t="s">
        <v>121</v>
      </c>
      <c r="E110" s="151" t="s">
        <v>121</v>
      </c>
      <c r="F110" s="244">
        <v>143662</v>
      </c>
      <c r="G110" s="244">
        <v>134015</v>
      </c>
      <c r="H110" s="244">
        <v>129853</v>
      </c>
      <c r="I110" s="244">
        <v>121053</v>
      </c>
      <c r="J110" s="244">
        <v>114766</v>
      </c>
      <c r="K110" s="244">
        <v>114890</v>
      </c>
      <c r="L110" s="244">
        <v>113037</v>
      </c>
      <c r="M110" s="244">
        <v>112900</v>
      </c>
      <c r="N110" s="244">
        <v>110248</v>
      </c>
      <c r="O110" s="244">
        <v>104445</v>
      </c>
      <c r="P110" s="244">
        <v>99780</v>
      </c>
      <c r="Q110" s="244">
        <v>94572</v>
      </c>
      <c r="R110" s="406"/>
      <c r="S110" s="406"/>
      <c r="T110" s="406"/>
      <c r="U110" s="244">
        <v>86659</v>
      </c>
      <c r="V110" s="244">
        <v>81538.138000000006</v>
      </c>
      <c r="W110" s="250">
        <v>80153.603000000003</v>
      </c>
      <c r="X110" s="250">
        <v>75963.293999999994</v>
      </c>
      <c r="Y110" s="250">
        <v>73280.387000000002</v>
      </c>
      <c r="Z110" s="250">
        <v>68060.218999999997</v>
      </c>
      <c r="AA110" s="165">
        <v>63195.050999999999</v>
      </c>
      <c r="AB110" s="229">
        <v>64213.338000000003</v>
      </c>
      <c r="AC110" s="229">
        <v>63544.891000000003</v>
      </c>
      <c r="AD110" s="165">
        <v>63234.544000000002</v>
      </c>
      <c r="AE110" s="165">
        <v>62957.834999999999</v>
      </c>
      <c r="AF110" s="165">
        <v>59911.603000000003</v>
      </c>
      <c r="AG110" s="165">
        <v>57934.148000000001</v>
      </c>
      <c r="AH110" s="165">
        <v>55598.487000000001</v>
      </c>
      <c r="AI110" s="1">
        <v>54277.692000000003</v>
      </c>
      <c r="AJ110" s="1">
        <v>53328.671000000002</v>
      </c>
      <c r="AK110" s="1" t="s">
        <v>121</v>
      </c>
      <c r="AL110" s="1" t="s">
        <v>121</v>
      </c>
      <c r="AM110" s="1" t="s">
        <v>121</v>
      </c>
      <c r="AN110" s="1" t="s">
        <v>121</v>
      </c>
      <c r="AO110" s="1" t="s">
        <v>121</v>
      </c>
      <c r="AP110" s="1" t="s">
        <v>121</v>
      </c>
      <c r="AQ110" s="1" t="s">
        <v>121</v>
      </c>
      <c r="AR110" s="1" t="s">
        <v>121</v>
      </c>
      <c r="AS110" s="1" t="s">
        <v>121</v>
      </c>
      <c r="AT110" s="1" t="s">
        <v>121</v>
      </c>
      <c r="AU110" s="1" t="s">
        <v>121</v>
      </c>
      <c r="AV110" s="1" t="s">
        <v>121</v>
      </c>
      <c r="AW110" s="1" t="s">
        <v>121</v>
      </c>
      <c r="AX110" s="1" t="s">
        <v>121</v>
      </c>
      <c r="AY110" s="1" t="s">
        <v>121</v>
      </c>
      <c r="AZ110" s="1" t="s">
        <v>121</v>
      </c>
      <c r="BA110" s="1" t="s">
        <v>121</v>
      </c>
      <c r="BB110" s="1" t="s">
        <v>121</v>
      </c>
      <c r="BC110" s="1" t="s">
        <v>121</v>
      </c>
      <c r="BD110" s="1" t="s">
        <v>121</v>
      </c>
      <c r="BE110" s="1" t="s">
        <v>121</v>
      </c>
      <c r="BF110" s="1" t="s">
        <v>121</v>
      </c>
      <c r="BG110" s="1" t="s">
        <v>121</v>
      </c>
      <c r="BH110" s="1" t="s">
        <v>121</v>
      </c>
      <c r="BI110" s="1" t="s">
        <v>121</v>
      </c>
      <c r="BJ110" s="1" t="s">
        <v>121</v>
      </c>
      <c r="BK110" s="1" t="s">
        <v>121</v>
      </c>
      <c r="BL110" s="1" t="s">
        <v>121</v>
      </c>
      <c r="BM110" s="1" t="s">
        <v>121</v>
      </c>
      <c r="BN110" s="1" t="s">
        <v>121</v>
      </c>
      <c r="BO110" s="1" t="s">
        <v>121</v>
      </c>
      <c r="BP110" s="1" t="s">
        <v>121</v>
      </c>
      <c r="BQ110" s="1" t="s">
        <v>121</v>
      </c>
    </row>
    <row r="111" spans="1:69" ht="15" customHeight="1" x14ac:dyDescent="0.25">
      <c r="A111" s="72">
        <v>111</v>
      </c>
      <c r="B111" s="217" t="s">
        <v>354</v>
      </c>
      <c r="C111" s="150" t="s">
        <v>121</v>
      </c>
      <c r="D111" s="164" t="s">
        <v>121</v>
      </c>
      <c r="E111" s="151" t="s">
        <v>121</v>
      </c>
      <c r="F111" s="244">
        <v>1379</v>
      </c>
      <c r="G111" s="244">
        <v>1327</v>
      </c>
      <c r="H111" s="244">
        <v>954</v>
      </c>
      <c r="I111" s="244">
        <v>371</v>
      </c>
      <c r="J111" s="244">
        <v>1233</v>
      </c>
      <c r="K111" s="244">
        <v>628</v>
      </c>
      <c r="L111" s="244">
        <v>560</v>
      </c>
      <c r="M111" s="244">
        <v>573</v>
      </c>
      <c r="N111" s="244">
        <v>515</v>
      </c>
      <c r="O111" s="244">
        <v>904</v>
      </c>
      <c r="P111" s="244">
        <v>750</v>
      </c>
      <c r="Q111" s="244">
        <v>588</v>
      </c>
      <c r="R111" s="406"/>
      <c r="S111" s="406"/>
      <c r="T111" s="406"/>
      <c r="U111" s="244">
        <v>752</v>
      </c>
      <c r="V111" s="244">
        <v>927.08900000000006</v>
      </c>
      <c r="W111" s="250">
        <v>1256.9880000000001</v>
      </c>
      <c r="X111" s="250">
        <v>803.75800000000004</v>
      </c>
      <c r="Y111" s="250">
        <v>573.96500000000003</v>
      </c>
      <c r="Z111" s="250">
        <v>1189.095</v>
      </c>
      <c r="AA111" s="165">
        <v>1289.277</v>
      </c>
      <c r="AB111" s="229">
        <v>664.68</v>
      </c>
      <c r="AC111" s="229">
        <v>839.37199999999996</v>
      </c>
      <c r="AD111" s="165">
        <v>1385.76</v>
      </c>
      <c r="AE111" s="165">
        <v>1069.222</v>
      </c>
      <c r="AF111" s="165">
        <v>904.327</v>
      </c>
      <c r="AG111" s="250">
        <v>584.18499999999995</v>
      </c>
      <c r="AH111" s="165">
        <v>959.50300000000004</v>
      </c>
      <c r="AI111" s="1">
        <v>848.10699999999997</v>
      </c>
      <c r="AJ111" s="1">
        <v>831.649</v>
      </c>
      <c r="AK111" s="1" t="s">
        <v>121</v>
      </c>
      <c r="AL111" s="1" t="s">
        <v>121</v>
      </c>
      <c r="AM111" s="1" t="s">
        <v>121</v>
      </c>
      <c r="AN111" s="1" t="s">
        <v>121</v>
      </c>
      <c r="AO111" s="1" t="s">
        <v>121</v>
      </c>
      <c r="AP111" s="1" t="s">
        <v>121</v>
      </c>
      <c r="AQ111" s="1" t="s">
        <v>121</v>
      </c>
      <c r="AR111" s="1" t="s">
        <v>121</v>
      </c>
      <c r="AS111" s="1" t="s">
        <v>121</v>
      </c>
      <c r="AT111" s="1" t="s">
        <v>121</v>
      </c>
      <c r="AU111" s="1" t="s">
        <v>121</v>
      </c>
      <c r="AV111" s="1" t="s">
        <v>121</v>
      </c>
      <c r="AW111" s="1" t="s">
        <v>121</v>
      </c>
      <c r="AX111" s="1" t="s">
        <v>121</v>
      </c>
      <c r="AY111" s="1" t="s">
        <v>121</v>
      </c>
      <c r="AZ111" s="1" t="s">
        <v>121</v>
      </c>
      <c r="BA111" s="1" t="s">
        <v>121</v>
      </c>
      <c r="BB111" s="1" t="s">
        <v>121</v>
      </c>
      <c r="BC111" s="1" t="s">
        <v>121</v>
      </c>
      <c r="BD111" s="1" t="s">
        <v>121</v>
      </c>
      <c r="BE111" s="1" t="s">
        <v>121</v>
      </c>
      <c r="BF111" s="1" t="s">
        <v>121</v>
      </c>
      <c r="BG111" s="1" t="s">
        <v>121</v>
      </c>
      <c r="BH111" s="1" t="s">
        <v>121</v>
      </c>
      <c r="BI111" s="1" t="s">
        <v>121</v>
      </c>
      <c r="BJ111" s="1" t="s">
        <v>121</v>
      </c>
      <c r="BK111" s="1" t="s">
        <v>121</v>
      </c>
      <c r="BL111" s="1" t="s">
        <v>121</v>
      </c>
      <c r="BM111" s="1" t="s">
        <v>121</v>
      </c>
      <c r="BN111" s="1" t="s">
        <v>121</v>
      </c>
      <c r="BO111" s="1" t="s">
        <v>121</v>
      </c>
      <c r="BP111" s="1" t="s">
        <v>121</v>
      </c>
      <c r="BQ111" s="1" t="s">
        <v>121</v>
      </c>
    </row>
    <row r="112" spans="1:69" ht="15" customHeight="1" x14ac:dyDescent="0.25">
      <c r="A112" s="72">
        <v>112</v>
      </c>
      <c r="B112" s="230" t="s">
        <v>340</v>
      </c>
      <c r="C112" s="150" t="s">
        <v>121</v>
      </c>
      <c r="D112" s="164" t="s">
        <v>121</v>
      </c>
      <c r="E112" s="151" t="s">
        <v>121</v>
      </c>
      <c r="F112" s="312">
        <v>145041</v>
      </c>
      <c r="G112" s="312">
        <v>135342</v>
      </c>
      <c r="H112" s="312">
        <v>130807</v>
      </c>
      <c r="I112" s="312">
        <v>121424</v>
      </c>
      <c r="J112" s="312">
        <v>115999</v>
      </c>
      <c r="K112" s="312">
        <v>115518</v>
      </c>
      <c r="L112" s="312">
        <v>113597</v>
      </c>
      <c r="M112" s="312">
        <v>113473</v>
      </c>
      <c r="N112" s="312">
        <v>110763</v>
      </c>
      <c r="O112" s="312">
        <v>105349</v>
      </c>
      <c r="P112" s="312">
        <v>100530</v>
      </c>
      <c r="Q112" s="312">
        <v>95160</v>
      </c>
      <c r="R112" s="406"/>
      <c r="S112" s="406"/>
      <c r="T112" s="406"/>
      <c r="U112" s="312">
        <v>87411</v>
      </c>
      <c r="V112" s="312">
        <v>82465.227000000014</v>
      </c>
      <c r="W112" s="294">
        <v>81410.591</v>
      </c>
      <c r="X112" s="294">
        <v>76767.051999999996</v>
      </c>
      <c r="Y112" s="294">
        <v>73854.351999999999</v>
      </c>
      <c r="Z112" s="294">
        <v>69249.313999999998</v>
      </c>
      <c r="AA112" s="212">
        <v>64484.328000000001</v>
      </c>
      <c r="AB112" s="212">
        <v>64878.018000000004</v>
      </c>
      <c r="AC112" s="212">
        <v>64384.263000000006</v>
      </c>
      <c r="AD112" s="212">
        <v>64620.304000000004</v>
      </c>
      <c r="AE112" s="212">
        <v>64027.057000000001</v>
      </c>
      <c r="AF112" s="212">
        <v>60815.93</v>
      </c>
      <c r="AG112" s="212">
        <v>58518.332999999999</v>
      </c>
      <c r="AH112" s="212">
        <v>56557.99</v>
      </c>
      <c r="AI112" s="1">
        <v>55125.798999999999</v>
      </c>
      <c r="AJ112" s="1">
        <v>54160.32</v>
      </c>
      <c r="AK112" s="1" t="s">
        <v>121</v>
      </c>
      <c r="AL112" s="1" t="s">
        <v>121</v>
      </c>
      <c r="AM112" s="1" t="s">
        <v>121</v>
      </c>
      <c r="AN112" s="1" t="s">
        <v>121</v>
      </c>
      <c r="AO112" s="1" t="s">
        <v>121</v>
      </c>
      <c r="AP112" s="1" t="s">
        <v>121</v>
      </c>
      <c r="AQ112" s="1" t="s">
        <v>121</v>
      </c>
      <c r="AR112" s="1" t="s">
        <v>121</v>
      </c>
      <c r="AS112" s="1" t="s">
        <v>121</v>
      </c>
      <c r="AT112" s="1" t="s">
        <v>121</v>
      </c>
      <c r="AU112" s="1" t="s">
        <v>121</v>
      </c>
      <c r="AV112" s="1" t="s">
        <v>121</v>
      </c>
      <c r="AW112" s="1" t="s">
        <v>121</v>
      </c>
      <c r="AX112" s="1" t="s">
        <v>121</v>
      </c>
      <c r="AY112" s="1" t="s">
        <v>121</v>
      </c>
      <c r="AZ112" s="1" t="s">
        <v>121</v>
      </c>
      <c r="BA112" s="1" t="s">
        <v>121</v>
      </c>
      <c r="BB112" s="1" t="s">
        <v>121</v>
      </c>
      <c r="BC112" s="1" t="s">
        <v>121</v>
      </c>
      <c r="BD112" s="1" t="s">
        <v>121</v>
      </c>
      <c r="BE112" s="1" t="s">
        <v>121</v>
      </c>
      <c r="BF112" s="1" t="s">
        <v>121</v>
      </c>
      <c r="BG112" s="1" t="s">
        <v>121</v>
      </c>
      <c r="BH112" s="1" t="s">
        <v>121</v>
      </c>
      <c r="BI112" s="1" t="s">
        <v>121</v>
      </c>
      <c r="BJ112" s="1" t="s">
        <v>121</v>
      </c>
      <c r="BK112" s="1" t="s">
        <v>121</v>
      </c>
      <c r="BL112" s="1" t="s">
        <v>121</v>
      </c>
      <c r="BM112" s="1" t="s">
        <v>121</v>
      </c>
      <c r="BN112" s="1" t="s">
        <v>121</v>
      </c>
      <c r="BO112" s="1" t="s">
        <v>121</v>
      </c>
      <c r="BP112" s="1" t="s">
        <v>121</v>
      </c>
      <c r="BQ112" s="1" t="s">
        <v>121</v>
      </c>
    </row>
    <row r="113" spans="1:69" ht="15" customHeight="1" x14ac:dyDescent="0.25">
      <c r="A113" s="72">
        <v>113</v>
      </c>
      <c r="B113" s="231" t="s">
        <v>14</v>
      </c>
      <c r="C113" s="150" t="s">
        <v>121</v>
      </c>
      <c r="D113" s="164" t="s">
        <v>121</v>
      </c>
      <c r="E113" s="151" t="s">
        <v>121</v>
      </c>
      <c r="F113" s="244">
        <v>-198</v>
      </c>
      <c r="G113" s="244">
        <v>-184</v>
      </c>
      <c r="H113" s="244">
        <v>-178</v>
      </c>
      <c r="I113" s="244">
        <v>-165</v>
      </c>
      <c r="J113" s="244">
        <v>-142</v>
      </c>
      <c r="K113" s="244">
        <v>-142</v>
      </c>
      <c r="L113" s="244">
        <v>-155</v>
      </c>
      <c r="M113" s="244">
        <v>-156</v>
      </c>
      <c r="N113" s="244">
        <v>-168</v>
      </c>
      <c r="O113" s="244">
        <v>-161</v>
      </c>
      <c r="P113" s="244">
        <v>-164</v>
      </c>
      <c r="Q113" s="244">
        <v>-154</v>
      </c>
      <c r="R113" s="406"/>
      <c r="S113" s="406"/>
      <c r="T113" s="406"/>
      <c r="U113" s="244">
        <v>-142</v>
      </c>
      <c r="V113" s="244">
        <v>-225.67</v>
      </c>
      <c r="W113" s="250">
        <v>-482.54599999999999</v>
      </c>
      <c r="X113" s="250">
        <v>-456.79899999999998</v>
      </c>
      <c r="Y113" s="250">
        <v>-449.68599999999998</v>
      </c>
      <c r="Z113" s="250">
        <v>-322.07299999999998</v>
      </c>
      <c r="AA113" s="165">
        <v>-319.59399999999999</v>
      </c>
      <c r="AB113" s="229">
        <v>-164.41</v>
      </c>
      <c r="AC113" s="229">
        <v>-136.529</v>
      </c>
      <c r="AD113" s="165">
        <v>-126.113</v>
      </c>
      <c r="AE113" s="165">
        <v>-124.83799999999999</v>
      </c>
      <c r="AF113" s="165">
        <v>-118.5</v>
      </c>
      <c r="AG113" s="165">
        <v>-78.043000000000006</v>
      </c>
      <c r="AH113" s="165">
        <v>-114.845</v>
      </c>
      <c r="AI113" s="1">
        <v>-112.51300000000001</v>
      </c>
      <c r="AJ113" s="1">
        <v>-110.244</v>
      </c>
      <c r="AK113" s="1" t="s">
        <v>121</v>
      </c>
      <c r="AL113" s="1" t="s">
        <v>121</v>
      </c>
      <c r="AM113" s="1" t="s">
        <v>121</v>
      </c>
      <c r="AN113" s="1" t="s">
        <v>121</v>
      </c>
      <c r="AO113" s="1" t="s">
        <v>121</v>
      </c>
      <c r="AP113" s="1" t="s">
        <v>121</v>
      </c>
      <c r="AQ113" s="1" t="s">
        <v>121</v>
      </c>
      <c r="AR113" s="1" t="s">
        <v>121</v>
      </c>
      <c r="AS113" s="1" t="s">
        <v>121</v>
      </c>
      <c r="AT113" s="1" t="s">
        <v>121</v>
      </c>
      <c r="AU113" s="1" t="s">
        <v>121</v>
      </c>
      <c r="AV113" s="1" t="s">
        <v>121</v>
      </c>
      <c r="AW113" s="1" t="s">
        <v>121</v>
      </c>
      <c r="AX113" s="1" t="s">
        <v>121</v>
      </c>
      <c r="AY113" s="1" t="s">
        <v>121</v>
      </c>
      <c r="AZ113" s="1" t="s">
        <v>121</v>
      </c>
      <c r="BA113" s="1" t="s">
        <v>121</v>
      </c>
      <c r="BB113" s="1" t="s">
        <v>121</v>
      </c>
      <c r="BC113" s="1" t="s">
        <v>121</v>
      </c>
      <c r="BD113" s="1" t="s">
        <v>121</v>
      </c>
      <c r="BE113" s="1" t="s">
        <v>121</v>
      </c>
      <c r="BF113" s="1" t="s">
        <v>121</v>
      </c>
      <c r="BG113" s="1" t="s">
        <v>121</v>
      </c>
      <c r="BH113" s="1" t="s">
        <v>121</v>
      </c>
      <c r="BI113" s="1" t="s">
        <v>121</v>
      </c>
      <c r="BJ113" s="1" t="s">
        <v>121</v>
      </c>
      <c r="BK113" s="1" t="s">
        <v>121</v>
      </c>
      <c r="BL113" s="1" t="s">
        <v>121</v>
      </c>
      <c r="BM113" s="1" t="s">
        <v>121</v>
      </c>
      <c r="BN113" s="1" t="s">
        <v>121</v>
      </c>
      <c r="BO113" s="1" t="s">
        <v>121</v>
      </c>
      <c r="BP113" s="1" t="s">
        <v>121</v>
      </c>
      <c r="BQ113" s="1" t="s">
        <v>121</v>
      </c>
    </row>
    <row r="114" spans="1:69" s="39" customFormat="1" ht="15" customHeight="1" x14ac:dyDescent="0.25">
      <c r="A114" s="72">
        <v>114</v>
      </c>
      <c r="B114" s="230" t="s">
        <v>341</v>
      </c>
      <c r="C114" s="150" t="s">
        <v>121</v>
      </c>
      <c r="D114" s="164" t="s">
        <v>121</v>
      </c>
      <c r="E114" s="151" t="s">
        <v>121</v>
      </c>
      <c r="F114" s="312">
        <v>144843</v>
      </c>
      <c r="G114" s="312">
        <v>135158</v>
      </c>
      <c r="H114" s="312">
        <v>130629</v>
      </c>
      <c r="I114" s="312">
        <v>121259</v>
      </c>
      <c r="J114" s="312">
        <v>115857</v>
      </c>
      <c r="K114" s="312">
        <v>115376</v>
      </c>
      <c r="L114" s="312">
        <v>113442</v>
      </c>
      <c r="M114" s="312">
        <v>113317</v>
      </c>
      <c r="N114" s="312">
        <v>110595</v>
      </c>
      <c r="O114" s="312">
        <v>105188</v>
      </c>
      <c r="P114" s="312">
        <v>100366</v>
      </c>
      <c r="Q114" s="312">
        <v>95006</v>
      </c>
      <c r="R114" s="406"/>
      <c r="S114" s="406"/>
      <c r="T114" s="406"/>
      <c r="U114" s="312">
        <v>87269</v>
      </c>
      <c r="V114" s="312">
        <v>82239.557000000015</v>
      </c>
      <c r="W114" s="294">
        <v>80928.044999999998</v>
      </c>
      <c r="X114" s="294">
        <v>76310.252999999997</v>
      </c>
      <c r="Y114" s="294">
        <v>73404.665999999997</v>
      </c>
      <c r="Z114" s="294">
        <v>68927.240999999995</v>
      </c>
      <c r="AA114" s="212">
        <v>64164.734000000004</v>
      </c>
      <c r="AB114" s="212">
        <v>64713.608</v>
      </c>
      <c r="AC114" s="212">
        <v>64247.734000000004</v>
      </c>
      <c r="AD114" s="212">
        <v>64494.191000000006</v>
      </c>
      <c r="AE114" s="212">
        <v>63902.218999999997</v>
      </c>
      <c r="AF114" s="212">
        <v>60697.43</v>
      </c>
      <c r="AG114" s="212">
        <v>58440.29</v>
      </c>
      <c r="AH114" s="212">
        <v>56443.144999999997</v>
      </c>
      <c r="AI114" s="39">
        <v>55013.286</v>
      </c>
      <c r="AJ114" s="39">
        <v>54050.076000000001</v>
      </c>
      <c r="AK114" s="39" t="s">
        <v>121</v>
      </c>
      <c r="AL114" s="39" t="s">
        <v>121</v>
      </c>
      <c r="AM114" s="39" t="s">
        <v>121</v>
      </c>
      <c r="AN114" s="39" t="s">
        <v>121</v>
      </c>
      <c r="AO114" s="39" t="s">
        <v>121</v>
      </c>
      <c r="AP114" s="39" t="s">
        <v>121</v>
      </c>
      <c r="AQ114" s="39" t="s">
        <v>121</v>
      </c>
      <c r="AR114" s="39" t="s">
        <v>121</v>
      </c>
      <c r="AS114" s="39" t="s">
        <v>121</v>
      </c>
      <c r="AT114" s="39" t="s">
        <v>121</v>
      </c>
      <c r="AU114" s="39" t="s">
        <v>121</v>
      </c>
      <c r="AV114" s="39" t="s">
        <v>121</v>
      </c>
      <c r="AW114" s="39" t="s">
        <v>121</v>
      </c>
      <c r="AX114" s="39" t="s">
        <v>121</v>
      </c>
      <c r="AY114" s="39" t="s">
        <v>121</v>
      </c>
      <c r="AZ114" s="39" t="s">
        <v>121</v>
      </c>
      <c r="BA114" s="39" t="s">
        <v>121</v>
      </c>
      <c r="BB114" s="39" t="s">
        <v>121</v>
      </c>
      <c r="BC114" s="39" t="s">
        <v>121</v>
      </c>
      <c r="BD114" s="39" t="s">
        <v>121</v>
      </c>
      <c r="BE114" s="39" t="s">
        <v>121</v>
      </c>
      <c r="BF114" s="39" t="s">
        <v>121</v>
      </c>
      <c r="BG114" s="39" t="s">
        <v>121</v>
      </c>
      <c r="BH114" s="39" t="s">
        <v>121</v>
      </c>
      <c r="BI114" s="39" t="s">
        <v>121</v>
      </c>
      <c r="BJ114" s="39" t="s">
        <v>121</v>
      </c>
      <c r="BK114" s="39" t="s">
        <v>121</v>
      </c>
      <c r="BL114" s="39" t="s">
        <v>121</v>
      </c>
      <c r="BM114" s="39" t="s">
        <v>121</v>
      </c>
      <c r="BN114" s="39" t="s">
        <v>121</v>
      </c>
      <c r="BO114" s="39" t="s">
        <v>121</v>
      </c>
      <c r="BP114" s="39" t="s">
        <v>121</v>
      </c>
      <c r="BQ114" s="39" t="s">
        <v>121</v>
      </c>
    </row>
    <row r="115" spans="1:69" s="39" customFormat="1" ht="15" customHeight="1" x14ac:dyDescent="0.25">
      <c r="A115" s="72">
        <v>115</v>
      </c>
      <c r="B115" s="232" t="s">
        <v>342</v>
      </c>
      <c r="C115" s="150" t="s">
        <v>121</v>
      </c>
      <c r="D115" s="164" t="s">
        <v>121</v>
      </c>
      <c r="E115" s="151" t="s">
        <v>121</v>
      </c>
      <c r="F115" s="326" t="s">
        <v>121</v>
      </c>
      <c r="G115" s="326" t="s">
        <v>121</v>
      </c>
      <c r="H115" s="326" t="s">
        <v>121</v>
      </c>
      <c r="I115" s="326" t="s">
        <v>121</v>
      </c>
      <c r="J115" s="326" t="s">
        <v>121</v>
      </c>
      <c r="K115" s="326" t="s">
        <v>121</v>
      </c>
      <c r="L115" s="326" t="s">
        <v>121</v>
      </c>
      <c r="M115" s="326" t="s">
        <v>121</v>
      </c>
      <c r="N115" s="326" t="s">
        <v>121</v>
      </c>
      <c r="O115" s="326" t="s">
        <v>121</v>
      </c>
      <c r="P115" s="326" t="s">
        <v>121</v>
      </c>
      <c r="Q115" s="326" t="s">
        <v>121</v>
      </c>
      <c r="R115" s="406"/>
      <c r="S115" s="406"/>
      <c r="T115" s="406"/>
      <c r="U115" s="326" t="s">
        <v>121</v>
      </c>
      <c r="V115" s="326" t="s">
        <v>121</v>
      </c>
      <c r="W115" s="275" t="s">
        <v>121</v>
      </c>
      <c r="X115" s="275" t="s">
        <v>121</v>
      </c>
      <c r="Y115" s="275" t="s">
        <v>121</v>
      </c>
      <c r="Z115" s="275" t="s">
        <v>121</v>
      </c>
      <c r="AA115" s="164" t="s">
        <v>121</v>
      </c>
      <c r="AB115" s="164" t="s">
        <v>121</v>
      </c>
      <c r="AC115" s="164" t="s">
        <v>121</v>
      </c>
      <c r="AD115" s="164" t="s">
        <v>121</v>
      </c>
      <c r="AE115" s="164" t="s">
        <v>121</v>
      </c>
      <c r="AF115" s="164" t="s">
        <v>121</v>
      </c>
      <c r="AG115" s="164" t="s">
        <v>121</v>
      </c>
      <c r="AH115" s="165" t="s">
        <v>121</v>
      </c>
      <c r="AI115" s="39" t="s">
        <v>121</v>
      </c>
      <c r="AJ115" s="39" t="s">
        <v>121</v>
      </c>
      <c r="AK115" s="39" t="s">
        <v>121</v>
      </c>
      <c r="AL115" s="39" t="s">
        <v>121</v>
      </c>
      <c r="AM115" s="39" t="s">
        <v>121</v>
      </c>
      <c r="AN115" s="39" t="s">
        <v>121</v>
      </c>
      <c r="AO115" s="39" t="s">
        <v>121</v>
      </c>
      <c r="AP115" s="39" t="s">
        <v>121</v>
      </c>
      <c r="AQ115" s="39" t="s">
        <v>121</v>
      </c>
      <c r="AR115" s="39" t="s">
        <v>121</v>
      </c>
      <c r="AS115" s="39" t="s">
        <v>121</v>
      </c>
      <c r="AT115" s="39" t="s">
        <v>121</v>
      </c>
      <c r="AU115" s="39" t="s">
        <v>121</v>
      </c>
      <c r="AV115" s="39" t="s">
        <v>121</v>
      </c>
      <c r="AW115" s="39" t="s">
        <v>121</v>
      </c>
      <c r="AX115" s="39" t="s">
        <v>121</v>
      </c>
      <c r="AY115" s="39" t="s">
        <v>121</v>
      </c>
      <c r="AZ115" s="39" t="s">
        <v>121</v>
      </c>
      <c r="BA115" s="39" t="s">
        <v>121</v>
      </c>
      <c r="BB115" s="39" t="s">
        <v>121</v>
      </c>
      <c r="BC115" s="39" t="s">
        <v>121</v>
      </c>
      <c r="BD115" s="39" t="s">
        <v>121</v>
      </c>
      <c r="BE115" s="39" t="s">
        <v>121</v>
      </c>
      <c r="BF115" s="39" t="s">
        <v>121</v>
      </c>
      <c r="BG115" s="39" t="s">
        <v>121</v>
      </c>
      <c r="BH115" s="39" t="s">
        <v>121</v>
      </c>
      <c r="BI115" s="39" t="s">
        <v>121</v>
      </c>
      <c r="BJ115" s="39" t="s">
        <v>121</v>
      </c>
      <c r="BK115" s="39" t="s">
        <v>121</v>
      </c>
      <c r="BL115" s="39" t="s">
        <v>121</v>
      </c>
      <c r="BM115" s="39" t="s">
        <v>121</v>
      </c>
      <c r="BN115" s="39" t="s">
        <v>121</v>
      </c>
      <c r="BO115" s="39" t="s">
        <v>121</v>
      </c>
      <c r="BP115" s="39" t="s">
        <v>121</v>
      </c>
      <c r="BQ115" s="39" t="s">
        <v>121</v>
      </c>
    </row>
    <row r="116" spans="1:69" s="25" customFormat="1" ht="15" customHeight="1" x14ac:dyDescent="0.25">
      <c r="A116" s="72">
        <v>116</v>
      </c>
      <c r="B116" s="217" t="s">
        <v>353</v>
      </c>
      <c r="C116" s="150" t="s">
        <v>121</v>
      </c>
      <c r="D116" s="164" t="s">
        <v>121</v>
      </c>
      <c r="E116" s="151" t="s">
        <v>121</v>
      </c>
      <c r="F116" s="244">
        <v>1566</v>
      </c>
      <c r="G116" s="244">
        <v>1422</v>
      </c>
      <c r="H116" s="244">
        <v>1275</v>
      </c>
      <c r="I116" s="244">
        <v>1428</v>
      </c>
      <c r="J116" s="244">
        <v>1143</v>
      </c>
      <c r="K116" s="244">
        <v>1231</v>
      </c>
      <c r="L116" s="244">
        <v>1123</v>
      </c>
      <c r="M116" s="244">
        <v>512</v>
      </c>
      <c r="N116" s="244">
        <v>1228</v>
      </c>
      <c r="O116" s="244">
        <v>1218</v>
      </c>
      <c r="P116" s="244">
        <v>1217</v>
      </c>
      <c r="Q116" s="244">
        <v>1294</v>
      </c>
      <c r="R116" s="406"/>
      <c r="S116" s="406"/>
      <c r="T116" s="406"/>
      <c r="U116" s="244">
        <v>833</v>
      </c>
      <c r="V116" s="244">
        <v>1721.229</v>
      </c>
      <c r="W116" s="250">
        <v>1379.5340000000001</v>
      </c>
      <c r="X116" s="250">
        <v>1380.7529999999999</v>
      </c>
      <c r="Y116" s="250">
        <v>1692.8920000000001</v>
      </c>
      <c r="Z116" s="250">
        <v>1660.4090000000001</v>
      </c>
      <c r="AA116" s="165">
        <v>1489.8889999999999</v>
      </c>
      <c r="AB116" s="229">
        <v>646.66200000000003</v>
      </c>
      <c r="AC116" s="229">
        <v>593.59699999999998</v>
      </c>
      <c r="AD116" s="165">
        <v>191.364</v>
      </c>
      <c r="AE116" s="165" t="s">
        <v>121</v>
      </c>
      <c r="AF116" s="250" t="s">
        <v>121</v>
      </c>
      <c r="AG116" s="250" t="s">
        <v>121</v>
      </c>
      <c r="AH116" s="165" t="s">
        <v>121</v>
      </c>
      <c r="AI116" s="25" t="s">
        <v>121</v>
      </c>
      <c r="AJ116" s="25" t="s">
        <v>121</v>
      </c>
      <c r="AK116" s="25" t="s">
        <v>121</v>
      </c>
      <c r="AL116" s="25" t="s">
        <v>121</v>
      </c>
      <c r="AM116" s="25" t="s">
        <v>121</v>
      </c>
      <c r="AN116" s="25" t="s">
        <v>121</v>
      </c>
      <c r="AO116" s="25" t="s">
        <v>121</v>
      </c>
      <c r="AP116" s="25" t="s">
        <v>121</v>
      </c>
      <c r="AQ116" s="25" t="s">
        <v>121</v>
      </c>
      <c r="AR116" s="25" t="s">
        <v>121</v>
      </c>
      <c r="AS116" s="25" t="s">
        <v>121</v>
      </c>
      <c r="AT116" s="25" t="s">
        <v>121</v>
      </c>
      <c r="AU116" s="25" t="s">
        <v>121</v>
      </c>
      <c r="AV116" s="25" t="s">
        <v>121</v>
      </c>
      <c r="AW116" s="25" t="s">
        <v>121</v>
      </c>
      <c r="AX116" s="25" t="s">
        <v>121</v>
      </c>
      <c r="AY116" s="25" t="s">
        <v>121</v>
      </c>
      <c r="AZ116" s="25" t="s">
        <v>121</v>
      </c>
      <c r="BA116" s="25" t="s">
        <v>121</v>
      </c>
      <c r="BB116" s="25" t="s">
        <v>121</v>
      </c>
      <c r="BC116" s="25" t="s">
        <v>121</v>
      </c>
      <c r="BD116" s="25" t="s">
        <v>121</v>
      </c>
      <c r="BE116" s="25" t="s">
        <v>121</v>
      </c>
      <c r="BF116" s="25" t="s">
        <v>121</v>
      </c>
      <c r="BG116" s="25" t="s">
        <v>121</v>
      </c>
      <c r="BH116" s="25" t="s">
        <v>121</v>
      </c>
      <c r="BI116" s="25" t="s">
        <v>121</v>
      </c>
      <c r="BJ116" s="25" t="s">
        <v>121</v>
      </c>
      <c r="BK116" s="25" t="s">
        <v>121</v>
      </c>
      <c r="BL116" s="25" t="s">
        <v>121</v>
      </c>
      <c r="BM116" s="25" t="s">
        <v>121</v>
      </c>
      <c r="BN116" s="25" t="s">
        <v>121</v>
      </c>
      <c r="BO116" s="25" t="s">
        <v>121</v>
      </c>
      <c r="BP116" s="25" t="s">
        <v>121</v>
      </c>
      <c r="BQ116" s="25" t="s">
        <v>121</v>
      </c>
    </row>
    <row r="117" spans="1:69" s="19" customFormat="1" ht="26.1" customHeight="1" x14ac:dyDescent="0.25">
      <c r="A117" s="72">
        <v>117</v>
      </c>
      <c r="B117" s="217" t="s">
        <v>354</v>
      </c>
      <c r="C117" s="150" t="s">
        <v>121</v>
      </c>
      <c r="D117" s="164" t="s">
        <v>121</v>
      </c>
      <c r="E117" s="151" t="s">
        <v>121</v>
      </c>
      <c r="F117" s="244">
        <v>898</v>
      </c>
      <c r="G117" s="244">
        <v>933</v>
      </c>
      <c r="H117" s="244">
        <v>925</v>
      </c>
      <c r="I117" s="244">
        <v>571</v>
      </c>
      <c r="J117" s="244">
        <v>857</v>
      </c>
      <c r="K117" s="244">
        <v>771</v>
      </c>
      <c r="L117" s="244">
        <v>817</v>
      </c>
      <c r="M117" s="244">
        <v>596</v>
      </c>
      <c r="N117" s="244">
        <v>751</v>
      </c>
      <c r="O117" s="244">
        <v>759</v>
      </c>
      <c r="P117" s="244">
        <v>873</v>
      </c>
      <c r="Q117" s="244">
        <v>751</v>
      </c>
      <c r="R117" s="406"/>
      <c r="S117" s="406"/>
      <c r="T117" s="406"/>
      <c r="U117" s="244">
        <v>494</v>
      </c>
      <c r="V117" s="244">
        <v>770.55399999999997</v>
      </c>
      <c r="W117" s="250">
        <v>868.18900000000008</v>
      </c>
      <c r="X117" s="250">
        <v>901.62300000000005</v>
      </c>
      <c r="Y117" s="250">
        <v>800.95799999999997</v>
      </c>
      <c r="Z117" s="250">
        <v>978.85699999999997</v>
      </c>
      <c r="AA117" s="165">
        <v>1184.567</v>
      </c>
      <c r="AB117" s="229">
        <v>661.07999999999993</v>
      </c>
      <c r="AC117" s="229">
        <v>674.03099999999995</v>
      </c>
      <c r="AD117" s="165">
        <v>701.221</v>
      </c>
      <c r="AE117" s="165">
        <v>523.48500000000001</v>
      </c>
      <c r="AF117" s="250">
        <v>459.43599999999998</v>
      </c>
      <c r="AG117" s="250">
        <v>275.36200000000002</v>
      </c>
      <c r="AH117" s="165">
        <v>379.26499999999999</v>
      </c>
      <c r="AI117" s="19">
        <v>369.29199999999997</v>
      </c>
      <c r="AJ117" s="19">
        <v>374.447</v>
      </c>
      <c r="AK117" s="19" t="s">
        <v>121</v>
      </c>
      <c r="AL117" s="19" t="s">
        <v>121</v>
      </c>
      <c r="AM117" s="19" t="s">
        <v>121</v>
      </c>
      <c r="AN117" s="19" t="s">
        <v>121</v>
      </c>
      <c r="AO117" s="19" t="s">
        <v>121</v>
      </c>
      <c r="AP117" s="19" t="s">
        <v>121</v>
      </c>
      <c r="AQ117" s="19" t="s">
        <v>121</v>
      </c>
      <c r="AR117" s="19" t="s">
        <v>121</v>
      </c>
      <c r="AS117" s="19" t="s">
        <v>121</v>
      </c>
      <c r="AT117" s="19" t="s">
        <v>121</v>
      </c>
      <c r="AU117" s="19" t="s">
        <v>121</v>
      </c>
      <c r="AV117" s="19" t="s">
        <v>121</v>
      </c>
      <c r="AW117" s="19" t="s">
        <v>121</v>
      </c>
      <c r="AX117" s="19" t="s">
        <v>121</v>
      </c>
      <c r="AY117" s="19" t="s">
        <v>121</v>
      </c>
      <c r="AZ117" s="19" t="s">
        <v>121</v>
      </c>
      <c r="BA117" s="19" t="s">
        <v>121</v>
      </c>
      <c r="BB117" s="19" t="s">
        <v>121</v>
      </c>
      <c r="BC117" s="19" t="s">
        <v>121</v>
      </c>
      <c r="BD117" s="19" t="s">
        <v>121</v>
      </c>
      <c r="BE117" s="19" t="s">
        <v>121</v>
      </c>
      <c r="BF117" s="19" t="s">
        <v>121</v>
      </c>
      <c r="BG117" s="19" t="s">
        <v>121</v>
      </c>
      <c r="BH117" s="19" t="s">
        <v>121</v>
      </c>
      <c r="BI117" s="19" t="s">
        <v>121</v>
      </c>
      <c r="BJ117" s="19" t="s">
        <v>121</v>
      </c>
      <c r="BK117" s="19" t="s">
        <v>121</v>
      </c>
      <c r="BL117" s="19" t="s">
        <v>121</v>
      </c>
      <c r="BM117" s="19" t="s">
        <v>121</v>
      </c>
      <c r="BN117" s="19" t="s">
        <v>121</v>
      </c>
      <c r="BO117" s="19" t="s">
        <v>121</v>
      </c>
      <c r="BP117" s="19" t="s">
        <v>121</v>
      </c>
      <c r="BQ117" s="19" t="s">
        <v>121</v>
      </c>
    </row>
    <row r="118" spans="1:69" x14ac:dyDescent="0.25">
      <c r="A118" s="72">
        <v>118</v>
      </c>
      <c r="B118" s="233" t="s">
        <v>343</v>
      </c>
      <c r="C118" s="150" t="s">
        <v>121</v>
      </c>
      <c r="D118" s="164" t="s">
        <v>121</v>
      </c>
      <c r="E118" s="151" t="s">
        <v>121</v>
      </c>
      <c r="F118" s="312">
        <v>2464</v>
      </c>
      <c r="G118" s="312">
        <v>2355</v>
      </c>
      <c r="H118" s="312">
        <v>2200</v>
      </c>
      <c r="I118" s="312">
        <v>1999</v>
      </c>
      <c r="J118" s="312">
        <v>2000</v>
      </c>
      <c r="K118" s="312">
        <v>2002</v>
      </c>
      <c r="L118" s="312">
        <v>1940</v>
      </c>
      <c r="M118" s="312">
        <v>1108</v>
      </c>
      <c r="N118" s="312">
        <v>1979</v>
      </c>
      <c r="O118" s="312">
        <v>1977</v>
      </c>
      <c r="P118" s="312">
        <v>2090</v>
      </c>
      <c r="Q118" s="312">
        <v>2045</v>
      </c>
      <c r="R118" s="406"/>
      <c r="S118" s="406"/>
      <c r="T118" s="406"/>
      <c r="U118" s="312">
        <v>1327</v>
      </c>
      <c r="V118" s="312">
        <v>2491.7829999999999</v>
      </c>
      <c r="W118" s="294">
        <v>2247.723</v>
      </c>
      <c r="X118" s="294">
        <v>2282.3760000000002</v>
      </c>
      <c r="Y118" s="294">
        <v>2493.85</v>
      </c>
      <c r="Z118" s="294">
        <v>2639.2660000000001</v>
      </c>
      <c r="AA118" s="212">
        <v>2674.4560000000001</v>
      </c>
      <c r="AB118" s="212">
        <v>1307.742</v>
      </c>
      <c r="AC118" s="212">
        <v>1267.6279999999999</v>
      </c>
      <c r="AD118" s="212">
        <v>892.58500000000004</v>
      </c>
      <c r="AE118" s="212">
        <v>523.48500000000001</v>
      </c>
      <c r="AF118" s="212">
        <v>459.43599999999998</v>
      </c>
      <c r="AG118" s="212">
        <v>275.36200000000002</v>
      </c>
      <c r="AH118" s="212">
        <v>379.26499999999999</v>
      </c>
      <c r="AI118" s="1">
        <v>369.29199999999997</v>
      </c>
      <c r="AJ118" s="1">
        <v>374.447</v>
      </c>
      <c r="AK118" s="1" t="s">
        <v>121</v>
      </c>
      <c r="AL118" s="1" t="s">
        <v>121</v>
      </c>
      <c r="AM118" s="1" t="s">
        <v>121</v>
      </c>
      <c r="AN118" s="1" t="s">
        <v>121</v>
      </c>
      <c r="AO118" s="1" t="s">
        <v>121</v>
      </c>
      <c r="AP118" s="1" t="s">
        <v>121</v>
      </c>
      <c r="AQ118" s="1" t="s">
        <v>121</v>
      </c>
      <c r="AR118" s="1" t="s">
        <v>121</v>
      </c>
      <c r="AS118" s="1" t="s">
        <v>121</v>
      </c>
      <c r="AT118" s="1" t="s">
        <v>121</v>
      </c>
      <c r="AU118" s="1" t="s">
        <v>121</v>
      </c>
      <c r="AV118" s="1" t="s">
        <v>121</v>
      </c>
      <c r="AW118" s="1" t="s">
        <v>121</v>
      </c>
      <c r="AX118" s="1" t="s">
        <v>121</v>
      </c>
      <c r="AY118" s="1" t="s">
        <v>121</v>
      </c>
      <c r="AZ118" s="1" t="s">
        <v>121</v>
      </c>
      <c r="BA118" s="1" t="s">
        <v>121</v>
      </c>
      <c r="BB118" s="1" t="s">
        <v>121</v>
      </c>
      <c r="BC118" s="1" t="s">
        <v>121</v>
      </c>
      <c r="BD118" s="1" t="s">
        <v>121</v>
      </c>
      <c r="BE118" s="1" t="s">
        <v>121</v>
      </c>
      <c r="BF118" s="1" t="s">
        <v>121</v>
      </c>
      <c r="BG118" s="1" t="s">
        <v>121</v>
      </c>
      <c r="BH118" s="1" t="s">
        <v>121</v>
      </c>
      <c r="BI118" s="1" t="s">
        <v>121</v>
      </c>
      <c r="BJ118" s="1" t="s">
        <v>121</v>
      </c>
      <c r="BK118" s="1" t="s">
        <v>121</v>
      </c>
      <c r="BL118" s="1" t="s">
        <v>121</v>
      </c>
      <c r="BM118" s="1" t="s">
        <v>121</v>
      </c>
      <c r="BN118" s="1" t="s">
        <v>121</v>
      </c>
      <c r="BO118" s="1" t="s">
        <v>121</v>
      </c>
      <c r="BP118" s="1" t="s">
        <v>121</v>
      </c>
      <c r="BQ118" s="1" t="s">
        <v>121</v>
      </c>
    </row>
    <row r="119" spans="1:69" x14ac:dyDescent="0.25">
      <c r="A119" s="72">
        <v>119</v>
      </c>
      <c r="B119" s="231" t="s">
        <v>14</v>
      </c>
      <c r="C119" s="150" t="s">
        <v>121</v>
      </c>
      <c r="D119" s="164" t="s">
        <v>121</v>
      </c>
      <c r="E119" s="151" t="s">
        <v>121</v>
      </c>
      <c r="F119" s="244">
        <v>-104</v>
      </c>
      <c r="G119" s="244">
        <v>-100</v>
      </c>
      <c r="H119" s="244">
        <v>-101</v>
      </c>
      <c r="I119" s="244">
        <v>-89</v>
      </c>
      <c r="J119" s="244">
        <v>-88</v>
      </c>
      <c r="K119" s="244">
        <v>-89</v>
      </c>
      <c r="L119" s="244">
        <v>-84</v>
      </c>
      <c r="M119" s="244">
        <v>-49</v>
      </c>
      <c r="N119" s="244">
        <v>-68</v>
      </c>
      <c r="O119" s="244">
        <v>-78</v>
      </c>
      <c r="P119" s="244">
        <v>-87</v>
      </c>
      <c r="Q119" s="244">
        <v>-91</v>
      </c>
      <c r="R119" s="406"/>
      <c r="S119" s="406"/>
      <c r="T119" s="406"/>
      <c r="U119" s="244">
        <v>-63</v>
      </c>
      <c r="V119" s="244">
        <v>-112.63800000000001</v>
      </c>
      <c r="W119" s="250">
        <v>-216.517</v>
      </c>
      <c r="X119" s="250">
        <v>-224.47</v>
      </c>
      <c r="Y119" s="250">
        <v>-230.74100000000001</v>
      </c>
      <c r="Z119" s="250">
        <v>-304.74400000000003</v>
      </c>
      <c r="AA119" s="165">
        <v>-339.36599999999999</v>
      </c>
      <c r="AB119" s="229">
        <v>-239.38800000000001</v>
      </c>
      <c r="AC119" s="229">
        <v>-219.46700000000001</v>
      </c>
      <c r="AD119" s="165">
        <v>-184.43600000000001</v>
      </c>
      <c r="AE119" s="165">
        <v>-107.71299999999999</v>
      </c>
      <c r="AF119" s="165">
        <v>-94.850999999999999</v>
      </c>
      <c r="AG119" s="165">
        <v>-56.137</v>
      </c>
      <c r="AH119" s="165">
        <v>-78.366</v>
      </c>
      <c r="AI119" s="1">
        <v>-76.298000000000002</v>
      </c>
      <c r="AJ119" s="1">
        <v>-79.456999999999994</v>
      </c>
      <c r="AK119" s="1" t="s">
        <v>121</v>
      </c>
      <c r="AL119" s="1" t="s">
        <v>121</v>
      </c>
      <c r="AM119" s="1" t="s">
        <v>121</v>
      </c>
      <c r="AN119" s="1" t="s">
        <v>121</v>
      </c>
      <c r="AO119" s="1" t="s">
        <v>121</v>
      </c>
      <c r="AP119" s="1" t="s">
        <v>121</v>
      </c>
      <c r="AQ119" s="1" t="s">
        <v>121</v>
      </c>
      <c r="AR119" s="1" t="s">
        <v>121</v>
      </c>
      <c r="AS119" s="1" t="s">
        <v>121</v>
      </c>
      <c r="AT119" s="1" t="s">
        <v>121</v>
      </c>
      <c r="AU119" s="1" t="s">
        <v>121</v>
      </c>
      <c r="AV119" s="1" t="s">
        <v>121</v>
      </c>
      <c r="AW119" s="1" t="s">
        <v>121</v>
      </c>
      <c r="AX119" s="1" t="s">
        <v>121</v>
      </c>
      <c r="AY119" s="1" t="s">
        <v>121</v>
      </c>
      <c r="AZ119" s="1" t="s">
        <v>121</v>
      </c>
      <c r="BA119" s="1" t="s">
        <v>121</v>
      </c>
      <c r="BB119" s="1" t="s">
        <v>121</v>
      </c>
      <c r="BC119" s="1" t="s">
        <v>121</v>
      </c>
      <c r="BD119" s="1" t="s">
        <v>121</v>
      </c>
      <c r="BE119" s="1" t="s">
        <v>121</v>
      </c>
      <c r="BF119" s="1" t="s">
        <v>121</v>
      </c>
      <c r="BG119" s="1" t="s">
        <v>121</v>
      </c>
      <c r="BH119" s="1" t="s">
        <v>121</v>
      </c>
      <c r="BI119" s="1" t="s">
        <v>121</v>
      </c>
      <c r="BJ119" s="1" t="s">
        <v>121</v>
      </c>
      <c r="BK119" s="1" t="s">
        <v>121</v>
      </c>
      <c r="BL119" s="1" t="s">
        <v>121</v>
      </c>
      <c r="BM119" s="1" t="s">
        <v>121</v>
      </c>
      <c r="BN119" s="1" t="s">
        <v>121</v>
      </c>
      <c r="BO119" s="1" t="s">
        <v>121</v>
      </c>
      <c r="BP119" s="1" t="s">
        <v>121</v>
      </c>
      <c r="BQ119" s="1" t="s">
        <v>121</v>
      </c>
    </row>
    <row r="120" spans="1:69" x14ac:dyDescent="0.25">
      <c r="A120" s="72">
        <v>120</v>
      </c>
      <c r="B120" s="233" t="s">
        <v>344</v>
      </c>
      <c r="C120" s="150" t="s">
        <v>121</v>
      </c>
      <c r="D120" s="164" t="s">
        <v>121</v>
      </c>
      <c r="E120" s="151" t="s">
        <v>121</v>
      </c>
      <c r="F120" s="312">
        <v>2360</v>
      </c>
      <c r="G120" s="312">
        <v>2255</v>
      </c>
      <c r="H120" s="312">
        <v>2099</v>
      </c>
      <c r="I120" s="312">
        <v>1910</v>
      </c>
      <c r="J120" s="312">
        <v>1912</v>
      </c>
      <c r="K120" s="312">
        <v>1913</v>
      </c>
      <c r="L120" s="312">
        <v>1856</v>
      </c>
      <c r="M120" s="312">
        <v>1059</v>
      </c>
      <c r="N120" s="312">
        <v>1911</v>
      </c>
      <c r="O120" s="312">
        <v>1899</v>
      </c>
      <c r="P120" s="312">
        <v>2003</v>
      </c>
      <c r="Q120" s="312">
        <v>1954</v>
      </c>
      <c r="R120" s="406"/>
      <c r="S120" s="406"/>
      <c r="T120" s="406"/>
      <c r="U120" s="312">
        <v>1264</v>
      </c>
      <c r="V120" s="312">
        <v>2379.145</v>
      </c>
      <c r="W120" s="294">
        <v>2031.2059999999999</v>
      </c>
      <c r="X120" s="294">
        <v>2057.9060000000004</v>
      </c>
      <c r="Y120" s="294">
        <v>2263.1089999999999</v>
      </c>
      <c r="Z120" s="294">
        <v>2334.5219999999999</v>
      </c>
      <c r="AA120" s="212">
        <v>2335.09</v>
      </c>
      <c r="AB120" s="212">
        <v>1068.354</v>
      </c>
      <c r="AC120" s="212">
        <v>1048.1609999999998</v>
      </c>
      <c r="AD120" s="212">
        <v>708.149</v>
      </c>
      <c r="AE120" s="212">
        <v>415.77200000000005</v>
      </c>
      <c r="AF120" s="212">
        <v>364.58499999999998</v>
      </c>
      <c r="AG120" s="212">
        <v>219.22500000000002</v>
      </c>
      <c r="AH120" s="212">
        <v>300.899</v>
      </c>
      <c r="AI120" s="1">
        <v>292.99399999999997</v>
      </c>
      <c r="AJ120" s="1">
        <v>294.99</v>
      </c>
      <c r="AK120" s="1" t="s">
        <v>121</v>
      </c>
      <c r="AL120" s="1" t="s">
        <v>121</v>
      </c>
      <c r="AM120" s="1" t="s">
        <v>121</v>
      </c>
      <c r="AN120" s="1" t="s">
        <v>121</v>
      </c>
      <c r="AO120" s="1" t="s">
        <v>121</v>
      </c>
      <c r="AP120" s="1" t="s">
        <v>121</v>
      </c>
      <c r="AQ120" s="1" t="s">
        <v>121</v>
      </c>
      <c r="AR120" s="1" t="s">
        <v>121</v>
      </c>
      <c r="AS120" s="1" t="s">
        <v>121</v>
      </c>
      <c r="AT120" s="1" t="s">
        <v>121</v>
      </c>
      <c r="AU120" s="1" t="s">
        <v>121</v>
      </c>
      <c r="AV120" s="1" t="s">
        <v>121</v>
      </c>
      <c r="AW120" s="1" t="s">
        <v>121</v>
      </c>
      <c r="AX120" s="1" t="s">
        <v>121</v>
      </c>
      <c r="AY120" s="1" t="s">
        <v>121</v>
      </c>
      <c r="AZ120" s="1" t="s">
        <v>121</v>
      </c>
      <c r="BA120" s="1" t="s">
        <v>121</v>
      </c>
      <c r="BB120" s="1" t="s">
        <v>121</v>
      </c>
      <c r="BC120" s="1" t="s">
        <v>121</v>
      </c>
      <c r="BD120" s="1" t="s">
        <v>121</v>
      </c>
      <c r="BE120" s="1" t="s">
        <v>121</v>
      </c>
      <c r="BF120" s="1" t="s">
        <v>121</v>
      </c>
      <c r="BG120" s="1" t="s">
        <v>121</v>
      </c>
      <c r="BH120" s="1" t="s">
        <v>121</v>
      </c>
      <c r="BI120" s="1" t="s">
        <v>121</v>
      </c>
      <c r="BJ120" s="1" t="s">
        <v>121</v>
      </c>
      <c r="BK120" s="1" t="s">
        <v>121</v>
      </c>
      <c r="BL120" s="1" t="s">
        <v>121</v>
      </c>
      <c r="BM120" s="1" t="s">
        <v>121</v>
      </c>
      <c r="BN120" s="1" t="s">
        <v>121</v>
      </c>
      <c r="BO120" s="1" t="s">
        <v>121</v>
      </c>
      <c r="BP120" s="1" t="s">
        <v>121</v>
      </c>
      <c r="BQ120" s="1" t="s">
        <v>121</v>
      </c>
    </row>
    <row r="121" spans="1:69" x14ac:dyDescent="0.25">
      <c r="A121" s="72">
        <v>121</v>
      </c>
      <c r="B121" s="232" t="s">
        <v>345</v>
      </c>
      <c r="C121" s="150" t="s">
        <v>121</v>
      </c>
      <c r="D121" s="164" t="s">
        <v>121</v>
      </c>
      <c r="E121" s="151" t="s">
        <v>121</v>
      </c>
      <c r="F121" s="326" t="s">
        <v>121</v>
      </c>
      <c r="G121" s="326" t="s">
        <v>121</v>
      </c>
      <c r="H121" s="326" t="s">
        <v>121</v>
      </c>
      <c r="I121" s="326" t="s">
        <v>121</v>
      </c>
      <c r="J121" s="326" t="s">
        <v>121</v>
      </c>
      <c r="K121" s="326" t="s">
        <v>121</v>
      </c>
      <c r="L121" s="326" t="s">
        <v>121</v>
      </c>
      <c r="M121" s="326" t="s">
        <v>121</v>
      </c>
      <c r="N121" s="326" t="s">
        <v>121</v>
      </c>
      <c r="O121" s="326" t="s">
        <v>121</v>
      </c>
      <c r="P121" s="326" t="s">
        <v>121</v>
      </c>
      <c r="Q121" s="326" t="s">
        <v>121</v>
      </c>
      <c r="R121" s="406"/>
      <c r="S121" s="406"/>
      <c r="T121" s="406"/>
      <c r="U121" s="326" t="s">
        <v>121</v>
      </c>
      <c r="V121" s="326" t="s">
        <v>121</v>
      </c>
      <c r="W121" s="275" t="s">
        <v>121</v>
      </c>
      <c r="X121" s="275" t="s">
        <v>121</v>
      </c>
      <c r="Y121" s="275" t="s">
        <v>121</v>
      </c>
      <c r="Z121" s="275" t="s">
        <v>121</v>
      </c>
      <c r="AA121" s="164" t="s">
        <v>121</v>
      </c>
      <c r="AB121" s="164" t="s">
        <v>121</v>
      </c>
      <c r="AC121" s="164" t="s">
        <v>121</v>
      </c>
      <c r="AD121" s="164" t="s">
        <v>121</v>
      </c>
      <c r="AE121" s="164" t="s">
        <v>121</v>
      </c>
      <c r="AF121" s="164" t="s">
        <v>121</v>
      </c>
      <c r="AG121" s="164" t="s">
        <v>121</v>
      </c>
      <c r="AH121" s="165" t="s">
        <v>121</v>
      </c>
      <c r="AI121" s="1" t="s">
        <v>121</v>
      </c>
      <c r="AJ121" s="1" t="s">
        <v>121</v>
      </c>
      <c r="AK121" s="1" t="s">
        <v>121</v>
      </c>
      <c r="AL121" s="1" t="s">
        <v>121</v>
      </c>
      <c r="AM121" s="1" t="s">
        <v>121</v>
      </c>
      <c r="AN121" s="1" t="s">
        <v>121</v>
      </c>
      <c r="AO121" s="1" t="s">
        <v>121</v>
      </c>
      <c r="AP121" s="1" t="s">
        <v>121</v>
      </c>
      <c r="AQ121" s="1" t="s">
        <v>121</v>
      </c>
      <c r="AR121" s="1" t="s">
        <v>121</v>
      </c>
      <c r="AS121" s="1" t="s">
        <v>121</v>
      </c>
      <c r="AT121" s="1" t="s">
        <v>121</v>
      </c>
      <c r="AU121" s="1" t="s">
        <v>121</v>
      </c>
      <c r="AV121" s="1" t="s">
        <v>121</v>
      </c>
      <c r="AW121" s="1" t="s">
        <v>121</v>
      </c>
      <c r="AX121" s="1" t="s">
        <v>121</v>
      </c>
      <c r="AY121" s="1" t="s">
        <v>121</v>
      </c>
      <c r="AZ121" s="1" t="s">
        <v>121</v>
      </c>
      <c r="BA121" s="1" t="s">
        <v>121</v>
      </c>
      <c r="BB121" s="1" t="s">
        <v>121</v>
      </c>
      <c r="BC121" s="1" t="s">
        <v>121</v>
      </c>
      <c r="BD121" s="1" t="s">
        <v>121</v>
      </c>
      <c r="BE121" s="1" t="s">
        <v>121</v>
      </c>
      <c r="BF121" s="1" t="s">
        <v>121</v>
      </c>
      <c r="BG121" s="1" t="s">
        <v>121</v>
      </c>
      <c r="BH121" s="1" t="s">
        <v>121</v>
      </c>
      <c r="BI121" s="1" t="s">
        <v>121</v>
      </c>
      <c r="BJ121" s="1" t="s">
        <v>121</v>
      </c>
      <c r="BK121" s="1" t="s">
        <v>121</v>
      </c>
      <c r="BL121" s="1" t="s">
        <v>121</v>
      </c>
      <c r="BM121" s="1" t="s">
        <v>121</v>
      </c>
      <c r="BN121" s="1" t="s">
        <v>121</v>
      </c>
      <c r="BO121" s="1" t="s">
        <v>121</v>
      </c>
      <c r="BP121" s="1" t="s">
        <v>121</v>
      </c>
      <c r="BQ121" s="1" t="s">
        <v>121</v>
      </c>
    </row>
    <row r="122" spans="1:69" x14ac:dyDescent="0.25">
      <c r="A122" s="72">
        <v>122</v>
      </c>
      <c r="B122" s="217" t="s">
        <v>353</v>
      </c>
      <c r="C122" s="150" t="s">
        <v>121</v>
      </c>
      <c r="D122" s="164" t="s">
        <v>121</v>
      </c>
      <c r="E122" s="151" t="s">
        <v>121</v>
      </c>
      <c r="F122" s="244">
        <v>144</v>
      </c>
      <c r="G122" s="244">
        <v>167</v>
      </c>
      <c r="H122" s="244">
        <v>194</v>
      </c>
      <c r="I122" s="244">
        <v>207</v>
      </c>
      <c r="J122" s="244">
        <v>168</v>
      </c>
      <c r="K122" s="244">
        <v>185</v>
      </c>
      <c r="L122" s="244">
        <v>168</v>
      </c>
      <c r="M122" s="244">
        <v>195</v>
      </c>
      <c r="N122" s="244">
        <v>169</v>
      </c>
      <c r="O122" s="244">
        <v>159</v>
      </c>
      <c r="P122" s="244">
        <v>148</v>
      </c>
      <c r="Q122" s="244">
        <v>152</v>
      </c>
      <c r="R122" s="406"/>
      <c r="S122" s="406"/>
      <c r="T122" s="406"/>
      <c r="U122" s="244">
        <v>188</v>
      </c>
      <c r="V122" s="244">
        <v>210.50200000000001</v>
      </c>
      <c r="W122" s="250">
        <v>177.50899999999999</v>
      </c>
      <c r="X122" s="250">
        <v>133.63900000000001</v>
      </c>
      <c r="Y122" s="250">
        <v>121.444</v>
      </c>
      <c r="Z122" s="250">
        <v>125.649</v>
      </c>
      <c r="AA122" s="165">
        <v>119.931</v>
      </c>
      <c r="AB122" s="229">
        <v>137.12</v>
      </c>
      <c r="AC122" s="229">
        <v>128.49100000000001</v>
      </c>
      <c r="AD122" s="165">
        <v>153.78200000000001</v>
      </c>
      <c r="AE122" s="165">
        <v>151.4</v>
      </c>
      <c r="AF122" s="165">
        <v>178.565</v>
      </c>
      <c r="AG122" s="165">
        <v>166.893</v>
      </c>
      <c r="AH122" s="165">
        <v>150.38499999999999</v>
      </c>
      <c r="AI122" s="1">
        <v>140.52099999999999</v>
      </c>
      <c r="AJ122" s="1" t="s">
        <v>121</v>
      </c>
      <c r="AK122" s="1" t="s">
        <v>121</v>
      </c>
      <c r="AL122" s="1" t="s">
        <v>121</v>
      </c>
      <c r="AM122" s="1" t="s">
        <v>121</v>
      </c>
      <c r="AN122" s="1" t="s">
        <v>121</v>
      </c>
      <c r="AO122" s="1" t="s">
        <v>121</v>
      </c>
      <c r="AP122" s="1" t="s">
        <v>121</v>
      </c>
      <c r="AQ122" s="1" t="s">
        <v>121</v>
      </c>
      <c r="AR122" s="1" t="s">
        <v>121</v>
      </c>
      <c r="AS122" s="1" t="s">
        <v>121</v>
      </c>
      <c r="AT122" s="1" t="s">
        <v>121</v>
      </c>
      <c r="AU122" s="1" t="s">
        <v>121</v>
      </c>
      <c r="AV122" s="1" t="s">
        <v>121</v>
      </c>
      <c r="AW122" s="1" t="s">
        <v>121</v>
      </c>
      <c r="AX122" s="1" t="s">
        <v>121</v>
      </c>
      <c r="AY122" s="1" t="s">
        <v>121</v>
      </c>
      <c r="AZ122" s="1" t="s">
        <v>121</v>
      </c>
      <c r="BA122" s="1" t="s">
        <v>121</v>
      </c>
      <c r="BB122" s="1" t="s">
        <v>121</v>
      </c>
      <c r="BC122" s="1" t="s">
        <v>121</v>
      </c>
      <c r="BD122" s="1" t="s">
        <v>121</v>
      </c>
      <c r="BE122" s="1" t="s">
        <v>121</v>
      </c>
      <c r="BF122" s="1" t="s">
        <v>121</v>
      </c>
      <c r="BG122" s="1" t="s">
        <v>121</v>
      </c>
      <c r="BH122" s="1" t="s">
        <v>121</v>
      </c>
      <c r="BI122" s="1" t="s">
        <v>121</v>
      </c>
      <c r="BJ122" s="1" t="s">
        <v>121</v>
      </c>
      <c r="BK122" s="1" t="s">
        <v>121</v>
      </c>
      <c r="BL122" s="1" t="s">
        <v>121</v>
      </c>
      <c r="BM122" s="1" t="s">
        <v>121</v>
      </c>
      <c r="BN122" s="1" t="s">
        <v>121</v>
      </c>
      <c r="BO122" s="1" t="s">
        <v>121</v>
      </c>
      <c r="BP122" s="1" t="s">
        <v>121</v>
      </c>
      <c r="BQ122" s="1" t="s">
        <v>121</v>
      </c>
    </row>
    <row r="123" spans="1:69" ht="15" customHeight="1" x14ac:dyDescent="0.25">
      <c r="A123" s="72">
        <v>123</v>
      </c>
      <c r="B123" s="217" t="s">
        <v>354</v>
      </c>
      <c r="C123" s="150" t="s">
        <v>121</v>
      </c>
      <c r="D123" s="164" t="s">
        <v>121</v>
      </c>
      <c r="E123" s="151" t="s">
        <v>121</v>
      </c>
      <c r="F123" s="244">
        <v>45</v>
      </c>
      <c r="G123" s="244">
        <v>111</v>
      </c>
      <c r="H123" s="244">
        <v>70</v>
      </c>
      <c r="I123" s="244">
        <v>41</v>
      </c>
      <c r="J123" s="244">
        <v>74</v>
      </c>
      <c r="K123" s="244">
        <v>90</v>
      </c>
      <c r="L123" s="244">
        <v>58</v>
      </c>
      <c r="M123" s="244">
        <v>28</v>
      </c>
      <c r="N123" s="244">
        <v>45</v>
      </c>
      <c r="O123" s="244">
        <v>97</v>
      </c>
      <c r="P123" s="244">
        <v>57</v>
      </c>
      <c r="Q123" s="244">
        <v>48</v>
      </c>
      <c r="R123" s="406"/>
      <c r="S123" s="406"/>
      <c r="T123" s="406"/>
      <c r="U123" s="244">
        <v>39</v>
      </c>
      <c r="V123" s="244">
        <v>49.842999999999996</v>
      </c>
      <c r="W123" s="250">
        <v>10.632000000000001</v>
      </c>
      <c r="X123" s="250">
        <v>42.748000000000005</v>
      </c>
      <c r="Y123" s="250">
        <v>21.09</v>
      </c>
      <c r="Z123" s="250">
        <v>32.625</v>
      </c>
      <c r="AA123" s="165">
        <v>34.962999999999994</v>
      </c>
      <c r="AB123" s="229">
        <v>23.103000000000002</v>
      </c>
      <c r="AC123" s="229">
        <v>32.439</v>
      </c>
      <c r="AD123" s="165">
        <v>44.731999999999999</v>
      </c>
      <c r="AE123" s="165">
        <v>20.588000000000001</v>
      </c>
      <c r="AF123" s="250">
        <v>18.692</v>
      </c>
      <c r="AG123" s="165">
        <v>61.703999999999994</v>
      </c>
      <c r="AH123" s="165">
        <v>8.5739999999999998</v>
      </c>
      <c r="AI123" s="1">
        <v>19.413</v>
      </c>
      <c r="AJ123" s="1" t="s">
        <v>121</v>
      </c>
      <c r="AK123" s="1" t="s">
        <v>121</v>
      </c>
      <c r="AL123" s="1" t="s">
        <v>121</v>
      </c>
      <c r="AM123" s="1" t="s">
        <v>121</v>
      </c>
      <c r="AN123" s="1" t="s">
        <v>121</v>
      </c>
      <c r="AO123" s="1" t="s">
        <v>121</v>
      </c>
      <c r="AP123" s="1" t="s">
        <v>121</v>
      </c>
      <c r="AQ123" s="1" t="s">
        <v>121</v>
      </c>
      <c r="AR123" s="1" t="s">
        <v>121</v>
      </c>
      <c r="AS123" s="1" t="s">
        <v>121</v>
      </c>
      <c r="AT123" s="1" t="s">
        <v>121</v>
      </c>
      <c r="AU123" s="1" t="s">
        <v>121</v>
      </c>
      <c r="AV123" s="1" t="s">
        <v>121</v>
      </c>
      <c r="AW123" s="1" t="s">
        <v>121</v>
      </c>
      <c r="AX123" s="1" t="s">
        <v>121</v>
      </c>
      <c r="AY123" s="1" t="s">
        <v>121</v>
      </c>
      <c r="AZ123" s="1" t="s">
        <v>121</v>
      </c>
      <c r="BA123" s="1" t="s">
        <v>121</v>
      </c>
      <c r="BB123" s="1" t="s">
        <v>121</v>
      </c>
      <c r="BC123" s="1" t="s">
        <v>121</v>
      </c>
      <c r="BD123" s="1" t="s">
        <v>121</v>
      </c>
      <c r="BE123" s="1" t="s">
        <v>121</v>
      </c>
      <c r="BF123" s="1" t="s">
        <v>121</v>
      </c>
      <c r="BG123" s="1" t="s">
        <v>121</v>
      </c>
      <c r="BH123" s="1" t="s">
        <v>121</v>
      </c>
      <c r="BI123" s="1" t="s">
        <v>121</v>
      </c>
      <c r="BJ123" s="1" t="s">
        <v>121</v>
      </c>
      <c r="BK123" s="1" t="s">
        <v>121</v>
      </c>
      <c r="BL123" s="1" t="s">
        <v>121</v>
      </c>
      <c r="BM123" s="1" t="s">
        <v>121</v>
      </c>
      <c r="BN123" s="1" t="s">
        <v>121</v>
      </c>
      <c r="BO123" s="1" t="s">
        <v>121</v>
      </c>
      <c r="BP123" s="1" t="s">
        <v>121</v>
      </c>
      <c r="BQ123" s="1" t="s">
        <v>121</v>
      </c>
    </row>
    <row r="124" spans="1:69" ht="15" customHeight="1" x14ac:dyDescent="0.25">
      <c r="A124" s="72">
        <v>124</v>
      </c>
      <c r="B124" s="217" t="s">
        <v>355</v>
      </c>
      <c r="C124" s="150" t="s">
        <v>121</v>
      </c>
      <c r="D124" s="164" t="s">
        <v>121</v>
      </c>
      <c r="E124" s="151" t="s">
        <v>121</v>
      </c>
      <c r="F124" s="244">
        <v>1199</v>
      </c>
      <c r="G124" s="244">
        <v>1124</v>
      </c>
      <c r="H124" s="244">
        <v>1092</v>
      </c>
      <c r="I124" s="244">
        <v>1140</v>
      </c>
      <c r="J124" s="244">
        <v>1247</v>
      </c>
      <c r="K124" s="244">
        <v>1128</v>
      </c>
      <c r="L124" s="244">
        <v>1106</v>
      </c>
      <c r="M124" s="244">
        <v>1102</v>
      </c>
      <c r="N124" s="244">
        <v>1140</v>
      </c>
      <c r="O124" s="244">
        <v>1270</v>
      </c>
      <c r="P124" s="244">
        <v>1354</v>
      </c>
      <c r="Q124" s="244">
        <v>1294</v>
      </c>
      <c r="R124" s="406"/>
      <c r="S124" s="406"/>
      <c r="T124" s="406"/>
      <c r="U124" s="244">
        <v>1195</v>
      </c>
      <c r="V124" s="244">
        <v>1412.877</v>
      </c>
      <c r="W124" s="250">
        <v>1505.365</v>
      </c>
      <c r="X124" s="250">
        <v>1703.847</v>
      </c>
      <c r="Y124" s="250">
        <v>1789.585</v>
      </c>
      <c r="Z124" s="250">
        <v>1817.1469999999999</v>
      </c>
      <c r="AA124" s="165">
        <v>1553.4670000000001</v>
      </c>
      <c r="AB124" s="165">
        <v>1262.0239999999999</v>
      </c>
      <c r="AC124" s="165">
        <v>1201.741</v>
      </c>
      <c r="AD124" s="165">
        <v>1248.903</v>
      </c>
      <c r="AE124" s="165">
        <v>1188.6310000000001</v>
      </c>
      <c r="AF124" s="250">
        <v>1023.4829999999999</v>
      </c>
      <c r="AG124" s="250">
        <v>955.75</v>
      </c>
      <c r="AH124" s="165">
        <v>951.79499999999996</v>
      </c>
      <c r="AI124" s="1">
        <v>952.76599999999996</v>
      </c>
      <c r="AJ124" s="1">
        <v>833.96799999999996</v>
      </c>
      <c r="AK124" s="1" t="s">
        <v>121</v>
      </c>
      <c r="AL124" s="1" t="s">
        <v>121</v>
      </c>
      <c r="AM124" s="1" t="s">
        <v>121</v>
      </c>
      <c r="AN124" s="1" t="s">
        <v>121</v>
      </c>
      <c r="AO124" s="1" t="s">
        <v>121</v>
      </c>
      <c r="AP124" s="1" t="s">
        <v>121</v>
      </c>
      <c r="AQ124" s="1" t="s">
        <v>121</v>
      </c>
      <c r="AR124" s="1" t="s">
        <v>121</v>
      </c>
      <c r="AS124" s="1" t="s">
        <v>121</v>
      </c>
      <c r="AT124" s="1" t="s">
        <v>121</v>
      </c>
      <c r="AU124" s="1" t="s">
        <v>121</v>
      </c>
      <c r="AV124" s="1" t="s">
        <v>121</v>
      </c>
      <c r="AW124" s="1" t="s">
        <v>121</v>
      </c>
      <c r="AX124" s="1" t="s">
        <v>121</v>
      </c>
      <c r="AY124" s="1" t="s">
        <v>121</v>
      </c>
      <c r="AZ124" s="1" t="s">
        <v>121</v>
      </c>
      <c r="BA124" s="1" t="s">
        <v>121</v>
      </c>
      <c r="BB124" s="1" t="s">
        <v>121</v>
      </c>
      <c r="BC124" s="1" t="s">
        <v>121</v>
      </c>
      <c r="BD124" s="1" t="s">
        <v>121</v>
      </c>
      <c r="BE124" s="1" t="s">
        <v>121</v>
      </c>
      <c r="BF124" s="1" t="s">
        <v>121</v>
      </c>
      <c r="BG124" s="1" t="s">
        <v>121</v>
      </c>
      <c r="BH124" s="1" t="s">
        <v>121</v>
      </c>
      <c r="BI124" s="1" t="s">
        <v>121</v>
      </c>
      <c r="BJ124" s="1" t="s">
        <v>121</v>
      </c>
      <c r="BK124" s="1" t="s">
        <v>121</v>
      </c>
      <c r="BL124" s="1" t="s">
        <v>121</v>
      </c>
      <c r="BM124" s="1" t="s">
        <v>121</v>
      </c>
      <c r="BN124" s="1" t="s">
        <v>121</v>
      </c>
      <c r="BO124" s="1" t="s">
        <v>121</v>
      </c>
      <c r="BP124" s="1" t="s">
        <v>121</v>
      </c>
      <c r="BQ124" s="1" t="s">
        <v>121</v>
      </c>
    </row>
    <row r="125" spans="1:69" x14ac:dyDescent="0.25">
      <c r="A125" s="72">
        <v>125</v>
      </c>
      <c r="B125" s="233" t="s">
        <v>346</v>
      </c>
      <c r="C125" s="150" t="s">
        <v>121</v>
      </c>
      <c r="D125" s="164" t="s">
        <v>121</v>
      </c>
      <c r="E125" s="151" t="s">
        <v>121</v>
      </c>
      <c r="F125" s="312">
        <v>1388</v>
      </c>
      <c r="G125" s="312">
        <v>1402</v>
      </c>
      <c r="H125" s="312">
        <v>1356</v>
      </c>
      <c r="I125" s="312">
        <v>1388</v>
      </c>
      <c r="J125" s="312">
        <v>1489</v>
      </c>
      <c r="K125" s="312">
        <v>1403</v>
      </c>
      <c r="L125" s="312">
        <v>1332</v>
      </c>
      <c r="M125" s="312">
        <v>1325</v>
      </c>
      <c r="N125" s="312">
        <v>1354</v>
      </c>
      <c r="O125" s="312">
        <v>1526</v>
      </c>
      <c r="P125" s="312">
        <v>1559</v>
      </c>
      <c r="Q125" s="312">
        <v>1494</v>
      </c>
      <c r="R125" s="406"/>
      <c r="S125" s="406"/>
      <c r="T125" s="406"/>
      <c r="U125" s="312">
        <v>1422</v>
      </c>
      <c r="V125" s="312">
        <v>1673.222</v>
      </c>
      <c r="W125" s="294">
        <v>1693.5060000000001</v>
      </c>
      <c r="X125" s="294">
        <v>1880.2339999999999</v>
      </c>
      <c r="Y125" s="294">
        <v>1932.1190000000001</v>
      </c>
      <c r="Z125" s="294">
        <v>1975.4209999999998</v>
      </c>
      <c r="AA125" s="212">
        <v>1708.3610000000001</v>
      </c>
      <c r="AB125" s="212">
        <v>1422.2469999999998</v>
      </c>
      <c r="AC125" s="212">
        <v>1362.671</v>
      </c>
      <c r="AD125" s="212">
        <v>1447.4169999999999</v>
      </c>
      <c r="AE125" s="212">
        <v>1360.6190000000001</v>
      </c>
      <c r="AF125" s="212">
        <v>1220.74</v>
      </c>
      <c r="AG125" s="212">
        <v>1184.347</v>
      </c>
      <c r="AH125" s="212">
        <v>1110.7539999999999</v>
      </c>
      <c r="AI125" s="1">
        <v>1112.7</v>
      </c>
      <c r="AJ125" s="1">
        <v>833.96799999999996</v>
      </c>
      <c r="AK125" s="1" t="s">
        <v>121</v>
      </c>
      <c r="AL125" s="1" t="s">
        <v>121</v>
      </c>
      <c r="AM125" s="1" t="s">
        <v>121</v>
      </c>
      <c r="AN125" s="1" t="s">
        <v>121</v>
      </c>
      <c r="AO125" s="1" t="s">
        <v>121</v>
      </c>
      <c r="AP125" s="1" t="s">
        <v>121</v>
      </c>
      <c r="AQ125" s="1" t="s">
        <v>121</v>
      </c>
      <c r="AR125" s="1" t="s">
        <v>121</v>
      </c>
      <c r="AS125" s="1" t="s">
        <v>121</v>
      </c>
      <c r="AT125" s="1" t="s">
        <v>121</v>
      </c>
      <c r="AU125" s="1" t="s">
        <v>121</v>
      </c>
      <c r="AV125" s="1" t="s">
        <v>121</v>
      </c>
      <c r="AW125" s="1" t="s">
        <v>121</v>
      </c>
      <c r="AX125" s="1" t="s">
        <v>121</v>
      </c>
      <c r="AY125" s="1" t="s">
        <v>121</v>
      </c>
      <c r="AZ125" s="1" t="s">
        <v>121</v>
      </c>
      <c r="BA125" s="1" t="s">
        <v>121</v>
      </c>
      <c r="BB125" s="1" t="s">
        <v>121</v>
      </c>
      <c r="BC125" s="1" t="s">
        <v>121</v>
      </c>
      <c r="BD125" s="1" t="s">
        <v>121</v>
      </c>
      <c r="BE125" s="1" t="s">
        <v>121</v>
      </c>
      <c r="BF125" s="1" t="s">
        <v>121</v>
      </c>
      <c r="BG125" s="1" t="s">
        <v>121</v>
      </c>
      <c r="BH125" s="1" t="s">
        <v>121</v>
      </c>
      <c r="BI125" s="1" t="s">
        <v>121</v>
      </c>
      <c r="BJ125" s="1" t="s">
        <v>121</v>
      </c>
      <c r="BK125" s="1" t="s">
        <v>121</v>
      </c>
      <c r="BL125" s="1" t="s">
        <v>121</v>
      </c>
      <c r="BM125" s="1" t="s">
        <v>121</v>
      </c>
      <c r="BN125" s="1" t="s">
        <v>121</v>
      </c>
      <c r="BO125" s="1" t="s">
        <v>121</v>
      </c>
      <c r="BP125" s="1" t="s">
        <v>121</v>
      </c>
      <c r="BQ125" s="1" t="s">
        <v>121</v>
      </c>
    </row>
    <row r="126" spans="1:69" x14ac:dyDescent="0.25">
      <c r="A126" s="72">
        <v>126</v>
      </c>
      <c r="B126" s="231" t="s">
        <v>14</v>
      </c>
      <c r="C126" s="150" t="s">
        <v>121</v>
      </c>
      <c r="D126" s="164" t="s">
        <v>121</v>
      </c>
      <c r="E126" s="151" t="s">
        <v>121</v>
      </c>
      <c r="F126" s="244">
        <v>-375</v>
      </c>
      <c r="G126" s="244">
        <v>-356</v>
      </c>
      <c r="H126" s="244">
        <v>-348</v>
      </c>
      <c r="I126" s="244">
        <v>-371</v>
      </c>
      <c r="J126" s="244">
        <v>-360</v>
      </c>
      <c r="K126" s="244">
        <v>-347</v>
      </c>
      <c r="L126" s="244">
        <v>-339</v>
      </c>
      <c r="M126" s="244">
        <v>-315</v>
      </c>
      <c r="N126" s="244">
        <v>-331</v>
      </c>
      <c r="O126" s="244">
        <v>-398</v>
      </c>
      <c r="P126" s="244">
        <v>-404</v>
      </c>
      <c r="Q126" s="244">
        <v>-387</v>
      </c>
      <c r="R126" s="406"/>
      <c r="S126" s="406"/>
      <c r="T126" s="406"/>
      <c r="U126" s="244">
        <v>-338</v>
      </c>
      <c r="V126" s="244">
        <v>-505.09500000000003</v>
      </c>
      <c r="W126" s="250">
        <v>-575.20299999999997</v>
      </c>
      <c r="X126" s="250">
        <v>-626.16099999999994</v>
      </c>
      <c r="Y126" s="250">
        <v>-625.95899999999995</v>
      </c>
      <c r="Z126" s="250">
        <v>-629.5</v>
      </c>
      <c r="AA126" s="165">
        <v>-558.95699999999999</v>
      </c>
      <c r="AB126" s="229">
        <v>-478.661</v>
      </c>
      <c r="AC126" s="229">
        <v>-508.68900000000002</v>
      </c>
      <c r="AD126" s="165">
        <v>-510.04899999999998</v>
      </c>
      <c r="AE126" s="165">
        <v>-488.05599999999998</v>
      </c>
      <c r="AF126" s="165">
        <v>-463.14299999999997</v>
      </c>
      <c r="AG126" s="165">
        <v>-449.27699999999999</v>
      </c>
      <c r="AH126" s="165">
        <v>-391.52600000000001</v>
      </c>
      <c r="AI126" s="1">
        <v>-380.88499999999999</v>
      </c>
      <c r="AJ126" s="1">
        <v>-268.327</v>
      </c>
      <c r="AK126" s="1" t="s">
        <v>121</v>
      </c>
      <c r="AL126" s="1" t="s">
        <v>121</v>
      </c>
      <c r="AM126" s="1" t="s">
        <v>121</v>
      </c>
      <c r="AN126" s="1" t="s">
        <v>121</v>
      </c>
      <c r="AO126" s="1" t="s">
        <v>121</v>
      </c>
      <c r="AP126" s="1" t="s">
        <v>121</v>
      </c>
      <c r="AQ126" s="1" t="s">
        <v>121</v>
      </c>
      <c r="AR126" s="1" t="s">
        <v>121</v>
      </c>
      <c r="AS126" s="1" t="s">
        <v>121</v>
      </c>
      <c r="AT126" s="1" t="s">
        <v>121</v>
      </c>
      <c r="AU126" s="1" t="s">
        <v>121</v>
      </c>
      <c r="AV126" s="1" t="s">
        <v>121</v>
      </c>
      <c r="AW126" s="1" t="s">
        <v>121</v>
      </c>
      <c r="AX126" s="1" t="s">
        <v>121</v>
      </c>
      <c r="AY126" s="1" t="s">
        <v>121</v>
      </c>
      <c r="AZ126" s="1" t="s">
        <v>121</v>
      </c>
      <c r="BA126" s="1" t="s">
        <v>121</v>
      </c>
      <c r="BB126" s="1" t="s">
        <v>121</v>
      </c>
      <c r="BC126" s="1" t="s">
        <v>121</v>
      </c>
      <c r="BD126" s="1" t="s">
        <v>121</v>
      </c>
      <c r="BE126" s="1" t="s">
        <v>121</v>
      </c>
      <c r="BF126" s="1" t="s">
        <v>121</v>
      </c>
      <c r="BG126" s="1" t="s">
        <v>121</v>
      </c>
      <c r="BH126" s="1" t="s">
        <v>121</v>
      </c>
      <c r="BI126" s="1" t="s">
        <v>121</v>
      </c>
      <c r="BJ126" s="1" t="s">
        <v>121</v>
      </c>
      <c r="BK126" s="1" t="s">
        <v>121</v>
      </c>
      <c r="BL126" s="1" t="s">
        <v>121</v>
      </c>
      <c r="BM126" s="1" t="s">
        <v>121</v>
      </c>
      <c r="BN126" s="1" t="s">
        <v>121</v>
      </c>
      <c r="BO126" s="1" t="s">
        <v>121</v>
      </c>
      <c r="BP126" s="1" t="s">
        <v>121</v>
      </c>
      <c r="BQ126" s="1" t="s">
        <v>121</v>
      </c>
    </row>
    <row r="127" spans="1:69" ht="21" customHeight="1" x14ac:dyDescent="0.25">
      <c r="A127" s="72">
        <v>127</v>
      </c>
      <c r="B127" s="233" t="s">
        <v>347</v>
      </c>
      <c r="C127" s="150" t="s">
        <v>121</v>
      </c>
      <c r="D127" s="164" t="s">
        <v>121</v>
      </c>
      <c r="E127" s="151" t="s">
        <v>121</v>
      </c>
      <c r="F127" s="312">
        <v>1013</v>
      </c>
      <c r="G127" s="312">
        <v>1046</v>
      </c>
      <c r="H127" s="312">
        <v>1008</v>
      </c>
      <c r="I127" s="312">
        <v>1017</v>
      </c>
      <c r="J127" s="312">
        <v>1129</v>
      </c>
      <c r="K127" s="312">
        <v>1056</v>
      </c>
      <c r="L127" s="312">
        <v>993</v>
      </c>
      <c r="M127" s="312">
        <v>1010</v>
      </c>
      <c r="N127" s="312">
        <v>1023</v>
      </c>
      <c r="O127" s="312">
        <v>1128</v>
      </c>
      <c r="P127" s="312">
        <v>1155</v>
      </c>
      <c r="Q127" s="312">
        <v>1107</v>
      </c>
      <c r="R127" s="406"/>
      <c r="S127" s="406"/>
      <c r="T127" s="406"/>
      <c r="U127" s="312">
        <v>1084</v>
      </c>
      <c r="V127" s="312">
        <v>1168.127</v>
      </c>
      <c r="W127" s="294">
        <v>1118.3030000000001</v>
      </c>
      <c r="X127" s="294">
        <v>1254.0729999999999</v>
      </c>
      <c r="Y127" s="294">
        <v>1306.1600000000003</v>
      </c>
      <c r="Z127" s="294">
        <v>1345.9209999999998</v>
      </c>
      <c r="AA127" s="212">
        <v>1149.404</v>
      </c>
      <c r="AB127" s="212">
        <v>943.58599999999979</v>
      </c>
      <c r="AC127" s="212">
        <v>853.98199999999997</v>
      </c>
      <c r="AD127" s="212">
        <v>937.36799999999994</v>
      </c>
      <c r="AE127" s="212">
        <v>872.5630000000001</v>
      </c>
      <c r="AF127" s="212">
        <v>757.59699999999998</v>
      </c>
      <c r="AG127" s="212">
        <v>735.06999999999994</v>
      </c>
      <c r="AH127" s="212">
        <v>719.22799999999984</v>
      </c>
      <c r="AI127" s="13">
        <v>731.81500000000005</v>
      </c>
      <c r="AJ127" s="13">
        <v>565.64099999999996</v>
      </c>
      <c r="AK127" s="13" t="s">
        <v>121</v>
      </c>
      <c r="AL127" s="13" t="s">
        <v>121</v>
      </c>
      <c r="AM127" s="13" t="s">
        <v>121</v>
      </c>
      <c r="AN127" s="1" t="s">
        <v>121</v>
      </c>
      <c r="AO127" s="1" t="s">
        <v>121</v>
      </c>
      <c r="AP127" s="1" t="s">
        <v>121</v>
      </c>
      <c r="AQ127" s="1" t="s">
        <v>121</v>
      </c>
      <c r="AR127" s="1" t="s">
        <v>121</v>
      </c>
      <c r="AS127" s="1" t="s">
        <v>121</v>
      </c>
      <c r="AT127" s="1" t="s">
        <v>121</v>
      </c>
      <c r="AU127" s="1" t="s">
        <v>121</v>
      </c>
      <c r="AV127" s="1" t="s">
        <v>121</v>
      </c>
      <c r="AW127" s="1" t="s">
        <v>121</v>
      </c>
      <c r="AX127" s="1" t="s">
        <v>121</v>
      </c>
      <c r="AY127" s="1" t="s">
        <v>121</v>
      </c>
      <c r="AZ127" s="1" t="s">
        <v>121</v>
      </c>
      <c r="BA127" s="1" t="s">
        <v>121</v>
      </c>
      <c r="BB127" s="1" t="s">
        <v>121</v>
      </c>
      <c r="BC127" s="1" t="s">
        <v>121</v>
      </c>
      <c r="BD127" s="1" t="s">
        <v>121</v>
      </c>
      <c r="BE127" s="1" t="s">
        <v>121</v>
      </c>
      <c r="BF127" s="1" t="s">
        <v>121</v>
      </c>
      <c r="BG127" s="1" t="s">
        <v>121</v>
      </c>
      <c r="BH127" s="1" t="s">
        <v>121</v>
      </c>
      <c r="BI127" s="1" t="s">
        <v>121</v>
      </c>
      <c r="BJ127" s="1" t="s">
        <v>121</v>
      </c>
      <c r="BK127" s="1" t="s">
        <v>121</v>
      </c>
      <c r="BL127" s="1" t="s">
        <v>121</v>
      </c>
      <c r="BM127" s="1" t="s">
        <v>121</v>
      </c>
      <c r="BN127" s="1" t="s">
        <v>121</v>
      </c>
      <c r="BO127" s="1" t="s">
        <v>121</v>
      </c>
      <c r="BP127" s="1" t="s">
        <v>121</v>
      </c>
      <c r="BQ127" s="1" t="s">
        <v>121</v>
      </c>
    </row>
    <row r="128" spans="1:69" x14ac:dyDescent="0.25">
      <c r="A128" s="72">
        <v>128</v>
      </c>
      <c r="B128" s="218" t="s">
        <v>356</v>
      </c>
      <c r="C128" s="182" t="s">
        <v>121</v>
      </c>
      <c r="D128" s="179" t="s">
        <v>121</v>
      </c>
      <c r="E128" s="234" t="s">
        <v>121</v>
      </c>
      <c r="F128" s="312">
        <v>148893</v>
      </c>
      <c r="G128" s="312">
        <v>139099</v>
      </c>
      <c r="H128" s="312">
        <v>134363</v>
      </c>
      <c r="I128" s="312">
        <v>124811</v>
      </c>
      <c r="J128" s="312">
        <v>119488</v>
      </c>
      <c r="K128" s="312">
        <v>118923</v>
      </c>
      <c r="L128" s="312">
        <v>116869</v>
      </c>
      <c r="M128" s="312">
        <v>115906</v>
      </c>
      <c r="N128" s="312">
        <v>114096</v>
      </c>
      <c r="O128" s="312">
        <v>108852</v>
      </c>
      <c r="P128" s="312">
        <v>104179</v>
      </c>
      <c r="Q128" s="312">
        <v>98699</v>
      </c>
      <c r="R128" s="406"/>
      <c r="S128" s="406"/>
      <c r="T128" s="406"/>
      <c r="U128" s="312">
        <v>90160</v>
      </c>
      <c r="V128" s="312">
        <v>86630.232000000004</v>
      </c>
      <c r="W128" s="294">
        <v>85351.819999999992</v>
      </c>
      <c r="X128" s="294">
        <v>80929.661999999997</v>
      </c>
      <c r="Y128" s="294">
        <v>78280.321000000011</v>
      </c>
      <c r="Z128" s="294">
        <v>73864.001000000004</v>
      </c>
      <c r="AA128" s="212">
        <v>68867.145000000004</v>
      </c>
      <c r="AB128" s="212">
        <v>67608.007000000012</v>
      </c>
      <c r="AC128" s="212">
        <v>67014.562000000005</v>
      </c>
      <c r="AD128" s="212">
        <v>66960.305999999997</v>
      </c>
      <c r="AE128" s="212">
        <v>65911.161000000007</v>
      </c>
      <c r="AF128" s="212">
        <v>62496.106</v>
      </c>
      <c r="AG128" s="212">
        <v>59978.042000000001</v>
      </c>
      <c r="AH128" s="212">
        <v>58048.008999999998</v>
      </c>
      <c r="AI128" s="1">
        <v>56607.790999999997</v>
      </c>
      <c r="AJ128" s="1">
        <v>55368.735000000001</v>
      </c>
      <c r="AK128" s="1" t="s">
        <v>121</v>
      </c>
      <c r="AL128" s="1" t="s">
        <v>121</v>
      </c>
      <c r="AM128" s="1" t="s">
        <v>121</v>
      </c>
      <c r="AN128" s="1" t="s">
        <v>121</v>
      </c>
      <c r="AO128" s="1" t="s">
        <v>121</v>
      </c>
      <c r="AP128" s="1" t="s">
        <v>121</v>
      </c>
      <c r="AQ128" s="1" t="s">
        <v>121</v>
      </c>
      <c r="AR128" s="1" t="s">
        <v>121</v>
      </c>
      <c r="AS128" s="1" t="s">
        <v>121</v>
      </c>
      <c r="AT128" s="1" t="s">
        <v>121</v>
      </c>
      <c r="AU128" s="1" t="s">
        <v>121</v>
      </c>
      <c r="AV128" s="1" t="s">
        <v>121</v>
      </c>
      <c r="AW128" s="1" t="s">
        <v>121</v>
      </c>
      <c r="AX128" s="1" t="s">
        <v>121</v>
      </c>
      <c r="AY128" s="1" t="s">
        <v>121</v>
      </c>
      <c r="AZ128" s="1" t="s">
        <v>121</v>
      </c>
      <c r="BA128" s="1" t="s">
        <v>121</v>
      </c>
      <c r="BB128" s="1" t="s">
        <v>121</v>
      </c>
      <c r="BC128" s="1" t="s">
        <v>121</v>
      </c>
      <c r="BD128" s="1" t="s">
        <v>121</v>
      </c>
      <c r="BE128" s="1" t="s">
        <v>121</v>
      </c>
      <c r="BF128" s="1" t="s">
        <v>121</v>
      </c>
      <c r="BG128" s="1" t="s">
        <v>121</v>
      </c>
      <c r="BH128" s="1" t="s">
        <v>121</v>
      </c>
      <c r="BI128" s="1" t="s">
        <v>121</v>
      </c>
      <c r="BJ128" s="1" t="s">
        <v>121</v>
      </c>
      <c r="BK128" s="1" t="s">
        <v>121</v>
      </c>
      <c r="BL128" s="1" t="s">
        <v>121</v>
      </c>
      <c r="BM128" s="1" t="s">
        <v>121</v>
      </c>
      <c r="BN128" s="1" t="s">
        <v>121</v>
      </c>
      <c r="BO128" s="1" t="s">
        <v>121</v>
      </c>
      <c r="BP128" s="1" t="s">
        <v>121</v>
      </c>
      <c r="BQ128" s="1" t="s">
        <v>121</v>
      </c>
    </row>
    <row r="129" spans="1:69" x14ac:dyDescent="0.25">
      <c r="A129" s="72">
        <v>129</v>
      </c>
      <c r="B129" s="147" t="s">
        <v>14</v>
      </c>
      <c r="C129" s="150" t="s">
        <v>121</v>
      </c>
      <c r="D129" s="164" t="s">
        <v>121</v>
      </c>
      <c r="E129" s="151" t="s">
        <v>121</v>
      </c>
      <c r="F129" s="250">
        <v>-677</v>
      </c>
      <c r="G129" s="250">
        <v>-640</v>
      </c>
      <c r="H129" s="250">
        <v>-627</v>
      </c>
      <c r="I129" s="250">
        <v>-625</v>
      </c>
      <c r="J129" s="250">
        <v>-590</v>
      </c>
      <c r="K129" s="250">
        <v>-578</v>
      </c>
      <c r="L129" s="250">
        <v>-578</v>
      </c>
      <c r="M129" s="250">
        <v>-520</v>
      </c>
      <c r="N129" s="250">
        <v>-567</v>
      </c>
      <c r="O129" s="250">
        <v>-637</v>
      </c>
      <c r="P129" s="250">
        <v>-655</v>
      </c>
      <c r="Q129" s="250">
        <v>-632</v>
      </c>
      <c r="R129" s="406"/>
      <c r="S129" s="406"/>
      <c r="T129" s="406"/>
      <c r="U129" s="250">
        <v>-543</v>
      </c>
      <c r="V129" s="250">
        <v>-843.40300000000002</v>
      </c>
      <c r="W129" s="250">
        <v>-1274.2660000000001</v>
      </c>
      <c r="X129" s="250">
        <v>-1307.4299999999998</v>
      </c>
      <c r="Y129" s="250">
        <v>-1306.386</v>
      </c>
      <c r="Z129" s="250">
        <v>-1256.317</v>
      </c>
      <c r="AA129" s="165">
        <v>-1217.9169999999999</v>
      </c>
      <c r="AB129" s="165">
        <v>-882.45900000000006</v>
      </c>
      <c r="AC129" s="165">
        <v>-864.68499999999995</v>
      </c>
      <c r="AD129" s="165">
        <v>-820.59799999999996</v>
      </c>
      <c r="AE129" s="165">
        <v>-720.60699999999997</v>
      </c>
      <c r="AF129" s="165">
        <v>-676.49399999999991</v>
      </c>
      <c r="AG129" s="165">
        <v>-583.45699999999999</v>
      </c>
      <c r="AH129" s="165">
        <v>-584.73700000000008</v>
      </c>
      <c r="AI129" s="1">
        <v>-569.69600000000003</v>
      </c>
      <c r="AJ129" s="1">
        <v>-458.02800000000002</v>
      </c>
      <c r="AK129" s="1" t="s">
        <v>121</v>
      </c>
      <c r="AL129" s="1" t="s">
        <v>121</v>
      </c>
      <c r="AM129" s="1" t="s">
        <v>121</v>
      </c>
      <c r="AN129" s="1" t="s">
        <v>121</v>
      </c>
      <c r="AO129" s="1" t="s">
        <v>121</v>
      </c>
      <c r="AP129" s="1" t="s">
        <v>121</v>
      </c>
      <c r="AQ129" s="1" t="s">
        <v>121</v>
      </c>
      <c r="AR129" s="1" t="s">
        <v>121</v>
      </c>
      <c r="AS129" s="1" t="s">
        <v>121</v>
      </c>
      <c r="AT129" s="1" t="s">
        <v>121</v>
      </c>
      <c r="AU129" s="1" t="s">
        <v>121</v>
      </c>
      <c r="AV129" s="1" t="s">
        <v>121</v>
      </c>
      <c r="AW129" s="1" t="s">
        <v>121</v>
      </c>
      <c r="AX129" s="1" t="s">
        <v>121</v>
      </c>
      <c r="AY129" s="1" t="s">
        <v>121</v>
      </c>
      <c r="AZ129" s="1" t="s">
        <v>121</v>
      </c>
      <c r="BA129" s="1" t="s">
        <v>121</v>
      </c>
      <c r="BB129" s="1" t="s">
        <v>121</v>
      </c>
      <c r="BC129" s="1" t="s">
        <v>121</v>
      </c>
      <c r="BD129" s="1" t="s">
        <v>121</v>
      </c>
      <c r="BE129" s="1" t="s">
        <v>121</v>
      </c>
      <c r="BF129" s="1" t="s">
        <v>121</v>
      </c>
      <c r="BG129" s="1" t="s">
        <v>121</v>
      </c>
      <c r="BH129" s="1" t="s">
        <v>121</v>
      </c>
      <c r="BI129" s="1" t="s">
        <v>121</v>
      </c>
      <c r="BJ129" s="1" t="s">
        <v>121</v>
      </c>
      <c r="BK129" s="1" t="s">
        <v>121</v>
      </c>
      <c r="BL129" s="1" t="s">
        <v>121</v>
      </c>
      <c r="BM129" s="1" t="s">
        <v>121</v>
      </c>
      <c r="BN129" s="1" t="s">
        <v>121</v>
      </c>
      <c r="BO129" s="1" t="s">
        <v>121</v>
      </c>
      <c r="BP129" s="1" t="s">
        <v>121</v>
      </c>
      <c r="BQ129" s="1" t="s">
        <v>121</v>
      </c>
    </row>
    <row r="130" spans="1:69" x14ac:dyDescent="0.25">
      <c r="A130" s="72">
        <v>130</v>
      </c>
      <c r="B130" s="235" t="s">
        <v>357</v>
      </c>
      <c r="C130" s="182" t="s">
        <v>121</v>
      </c>
      <c r="D130" s="179" t="s">
        <v>121</v>
      </c>
      <c r="E130" s="234" t="s">
        <v>121</v>
      </c>
      <c r="F130" s="312">
        <v>148216</v>
      </c>
      <c r="G130" s="312">
        <v>138459</v>
      </c>
      <c r="H130" s="312">
        <v>133736</v>
      </c>
      <c r="I130" s="312">
        <v>124186</v>
      </c>
      <c r="J130" s="312">
        <v>118898</v>
      </c>
      <c r="K130" s="312">
        <v>118345</v>
      </c>
      <c r="L130" s="312">
        <v>116291</v>
      </c>
      <c r="M130" s="312">
        <v>115386</v>
      </c>
      <c r="N130" s="312">
        <v>113529</v>
      </c>
      <c r="O130" s="312">
        <v>108215</v>
      </c>
      <c r="P130" s="312">
        <v>103524</v>
      </c>
      <c r="Q130" s="312">
        <v>98067</v>
      </c>
      <c r="R130" s="406"/>
      <c r="S130" s="406"/>
      <c r="T130" s="406"/>
      <c r="U130" s="312">
        <v>89617</v>
      </c>
      <c r="V130" s="312">
        <v>85786.828999999998</v>
      </c>
      <c r="W130" s="296">
        <v>84077.553999999989</v>
      </c>
      <c r="X130" s="296">
        <v>79622.232000000004</v>
      </c>
      <c r="Y130" s="296">
        <v>76973.935000000012</v>
      </c>
      <c r="Z130" s="296">
        <v>72607.684000000008</v>
      </c>
      <c r="AA130" s="159">
        <v>67649.228000000003</v>
      </c>
      <c r="AB130" s="159">
        <v>66725.54800000001</v>
      </c>
      <c r="AC130" s="159">
        <v>66149.877000000008</v>
      </c>
      <c r="AD130" s="159">
        <v>66139.707999999999</v>
      </c>
      <c r="AE130" s="159">
        <v>65190.554000000004</v>
      </c>
      <c r="AF130" s="159">
        <v>61819.612000000001</v>
      </c>
      <c r="AG130" s="159">
        <v>59394.584999999999</v>
      </c>
      <c r="AH130" s="159">
        <v>57463.271999999997</v>
      </c>
      <c r="AI130" s="1">
        <v>56038.094999999994</v>
      </c>
      <c r="AJ130" s="1">
        <v>54910.707000000002</v>
      </c>
      <c r="AK130" s="1" t="s">
        <v>121</v>
      </c>
      <c r="AL130" s="1" t="s">
        <v>121</v>
      </c>
      <c r="AM130" s="1" t="s">
        <v>121</v>
      </c>
      <c r="AN130" s="1" t="s">
        <v>121</v>
      </c>
      <c r="AO130" s="1" t="s">
        <v>121</v>
      </c>
      <c r="AP130" s="1" t="s">
        <v>121</v>
      </c>
      <c r="AQ130" s="1" t="s">
        <v>121</v>
      </c>
      <c r="AR130" s="1" t="s">
        <v>121</v>
      </c>
      <c r="AS130" s="1" t="s">
        <v>121</v>
      </c>
      <c r="AT130" s="1" t="s">
        <v>121</v>
      </c>
      <c r="AU130" s="1" t="s">
        <v>121</v>
      </c>
      <c r="AV130" s="1" t="s">
        <v>121</v>
      </c>
      <c r="AW130" s="1" t="s">
        <v>121</v>
      </c>
      <c r="AX130" s="1" t="s">
        <v>121</v>
      </c>
      <c r="AY130" s="1" t="s">
        <v>121</v>
      </c>
      <c r="AZ130" s="1" t="s">
        <v>121</v>
      </c>
      <c r="BA130" s="1" t="s">
        <v>121</v>
      </c>
      <c r="BB130" s="1" t="s">
        <v>121</v>
      </c>
      <c r="BC130" s="1" t="s">
        <v>121</v>
      </c>
      <c r="BD130" s="1" t="s">
        <v>121</v>
      </c>
      <c r="BE130" s="1" t="s">
        <v>121</v>
      </c>
      <c r="BF130" s="1" t="s">
        <v>121</v>
      </c>
      <c r="BG130" s="1" t="s">
        <v>121</v>
      </c>
      <c r="BH130" s="1" t="s">
        <v>121</v>
      </c>
      <c r="BI130" s="1" t="s">
        <v>121</v>
      </c>
      <c r="BJ130" s="1" t="s">
        <v>121</v>
      </c>
      <c r="BK130" s="1" t="s">
        <v>121</v>
      </c>
      <c r="BL130" s="1" t="s">
        <v>121</v>
      </c>
      <c r="BM130" s="1" t="s">
        <v>121</v>
      </c>
      <c r="BN130" s="1" t="s">
        <v>121</v>
      </c>
      <c r="BO130" s="1" t="s">
        <v>121</v>
      </c>
      <c r="BP130" s="1" t="s">
        <v>121</v>
      </c>
      <c r="BQ130" s="1" t="s">
        <v>121</v>
      </c>
    </row>
    <row r="131" spans="1:69" ht="27" hidden="1" customHeight="1" x14ac:dyDescent="0.25">
      <c r="A131" s="72">
        <v>131</v>
      </c>
      <c r="B131" s="5" t="s">
        <v>121</v>
      </c>
      <c r="C131" s="91" t="s">
        <v>121</v>
      </c>
      <c r="D131" s="86" t="s">
        <v>121</v>
      </c>
      <c r="E131" s="92" t="s">
        <v>121</v>
      </c>
      <c r="F131" s="326" t="s">
        <v>121</v>
      </c>
      <c r="G131" s="326" t="s">
        <v>121</v>
      </c>
      <c r="H131" s="326" t="s">
        <v>121</v>
      </c>
      <c r="I131" s="326" t="s">
        <v>121</v>
      </c>
      <c r="J131" s="326" t="s">
        <v>121</v>
      </c>
      <c r="K131" s="326" t="s">
        <v>121</v>
      </c>
      <c r="L131" s="326" t="s">
        <v>121</v>
      </c>
      <c r="M131" s="326" t="s">
        <v>121</v>
      </c>
      <c r="N131" s="326" t="s">
        <v>121</v>
      </c>
      <c r="O131" s="326" t="s">
        <v>121</v>
      </c>
      <c r="P131" s="326" t="s">
        <v>121</v>
      </c>
      <c r="Q131" s="326" t="s">
        <v>121</v>
      </c>
      <c r="R131" s="406"/>
      <c r="S131" s="406"/>
      <c r="T131" s="406"/>
      <c r="U131" s="326" t="s">
        <v>121</v>
      </c>
      <c r="V131" s="326" t="s">
        <v>121</v>
      </c>
      <c r="W131" s="275" t="s">
        <v>121</v>
      </c>
      <c r="X131" s="275" t="s">
        <v>121</v>
      </c>
      <c r="Y131" s="275" t="s">
        <v>121</v>
      </c>
      <c r="Z131" s="275" t="s">
        <v>121</v>
      </c>
      <c r="AA131" s="86" t="s">
        <v>121</v>
      </c>
      <c r="AB131" s="86" t="s">
        <v>121</v>
      </c>
      <c r="AC131" s="86" t="s">
        <v>121</v>
      </c>
      <c r="AD131" s="86" t="s">
        <v>121</v>
      </c>
      <c r="AE131" s="86" t="s">
        <v>121</v>
      </c>
      <c r="AF131" s="86" t="s">
        <v>121</v>
      </c>
      <c r="AG131" s="86" t="s">
        <v>121</v>
      </c>
      <c r="AH131" s="41" t="s">
        <v>121</v>
      </c>
      <c r="AI131" s="1" t="s">
        <v>121</v>
      </c>
      <c r="AJ131" s="1" t="s">
        <v>121</v>
      </c>
      <c r="AK131" s="1" t="s">
        <v>121</v>
      </c>
      <c r="AL131" s="1" t="s">
        <v>121</v>
      </c>
      <c r="AM131" s="1" t="s">
        <v>121</v>
      </c>
      <c r="AN131" s="1" t="s">
        <v>121</v>
      </c>
      <c r="AO131" s="1" t="s">
        <v>121</v>
      </c>
      <c r="AP131" s="1" t="s">
        <v>121</v>
      </c>
      <c r="AQ131" s="1" t="s">
        <v>121</v>
      </c>
      <c r="AR131" s="1" t="s">
        <v>121</v>
      </c>
      <c r="AS131" s="1" t="s">
        <v>121</v>
      </c>
      <c r="AT131" s="1" t="s">
        <v>121</v>
      </c>
      <c r="AU131" s="1" t="s">
        <v>121</v>
      </c>
      <c r="AV131" s="1" t="s">
        <v>121</v>
      </c>
      <c r="AW131" s="1" t="s">
        <v>121</v>
      </c>
      <c r="AX131" s="1" t="s">
        <v>121</v>
      </c>
      <c r="AY131" s="1" t="s">
        <v>121</v>
      </c>
      <c r="AZ131" s="1" t="s">
        <v>121</v>
      </c>
      <c r="BA131" s="1" t="s">
        <v>121</v>
      </c>
      <c r="BB131" s="1" t="s">
        <v>121</v>
      </c>
      <c r="BC131" s="1" t="s">
        <v>121</v>
      </c>
      <c r="BD131" s="1" t="s">
        <v>121</v>
      </c>
      <c r="BE131" s="1" t="s">
        <v>121</v>
      </c>
      <c r="BF131" s="1" t="s">
        <v>121</v>
      </c>
      <c r="BG131" s="1" t="s">
        <v>121</v>
      </c>
      <c r="BH131" s="1" t="s">
        <v>121</v>
      </c>
      <c r="BI131" s="1" t="s">
        <v>121</v>
      </c>
      <c r="BJ131" s="1" t="s">
        <v>121</v>
      </c>
      <c r="BK131" s="1" t="s">
        <v>121</v>
      </c>
      <c r="BL131" s="1" t="s">
        <v>121</v>
      </c>
      <c r="BM131" s="1" t="s">
        <v>121</v>
      </c>
      <c r="BN131" s="1" t="s">
        <v>121</v>
      </c>
      <c r="BO131" s="1" t="s">
        <v>121</v>
      </c>
      <c r="BP131" s="1" t="s">
        <v>121</v>
      </c>
      <c r="BQ131" s="1" t="s">
        <v>121</v>
      </c>
    </row>
    <row r="132" spans="1:69" ht="14.45" hidden="1" customHeight="1" x14ac:dyDescent="0.25">
      <c r="A132" s="72">
        <v>132</v>
      </c>
      <c r="B132" s="400" t="s">
        <v>358</v>
      </c>
      <c r="C132" s="225" t="s">
        <v>121</v>
      </c>
      <c r="D132" s="227" t="s">
        <v>121</v>
      </c>
      <c r="E132" s="226" t="s">
        <v>121</v>
      </c>
      <c r="F132" s="328" t="s">
        <v>121</v>
      </c>
      <c r="G132" s="328" t="s">
        <v>121</v>
      </c>
      <c r="H132" s="328" t="s">
        <v>121</v>
      </c>
      <c r="I132" s="328" t="s">
        <v>121</v>
      </c>
      <c r="J132" s="328" t="s">
        <v>121</v>
      </c>
      <c r="K132" s="328" t="s">
        <v>121</v>
      </c>
      <c r="L132" s="328" t="s">
        <v>121</v>
      </c>
      <c r="M132" s="328" t="s">
        <v>121</v>
      </c>
      <c r="N132" s="328" t="s">
        <v>121</v>
      </c>
      <c r="O132" s="328" t="s">
        <v>121</v>
      </c>
      <c r="P132" s="328" t="s">
        <v>121</v>
      </c>
      <c r="Q132" s="328" t="s">
        <v>121</v>
      </c>
      <c r="R132" s="406"/>
      <c r="S132" s="406"/>
      <c r="T132" s="406"/>
      <c r="U132" s="328" t="s">
        <v>121</v>
      </c>
      <c r="V132" s="328" t="s">
        <v>121</v>
      </c>
      <c r="W132" s="295" t="s">
        <v>121</v>
      </c>
      <c r="X132" s="295" t="s">
        <v>121</v>
      </c>
      <c r="Y132" s="295" t="s">
        <v>121</v>
      </c>
      <c r="Z132" s="295" t="s">
        <v>121</v>
      </c>
      <c r="AA132" s="227" t="s">
        <v>121</v>
      </c>
      <c r="AB132" s="227" t="s">
        <v>121</v>
      </c>
      <c r="AC132" s="227" t="s">
        <v>121</v>
      </c>
      <c r="AD132" s="227" t="s">
        <v>121</v>
      </c>
      <c r="AE132" s="227" t="s">
        <v>121</v>
      </c>
      <c r="AF132" s="227" t="s">
        <v>121</v>
      </c>
      <c r="AG132" s="227" t="s">
        <v>121</v>
      </c>
      <c r="AH132" s="227" t="s">
        <v>121</v>
      </c>
      <c r="AI132" s="1" t="s">
        <v>121</v>
      </c>
      <c r="AJ132" s="1" t="s">
        <v>121</v>
      </c>
      <c r="AK132" s="1" t="s">
        <v>121</v>
      </c>
      <c r="AL132" s="1" t="s">
        <v>121</v>
      </c>
      <c r="AM132" s="1" t="s">
        <v>121</v>
      </c>
      <c r="AN132" s="1" t="s">
        <v>121</v>
      </c>
      <c r="AO132" s="1" t="s">
        <v>121</v>
      </c>
      <c r="AP132" s="1" t="s">
        <v>121</v>
      </c>
      <c r="AQ132" s="1" t="s">
        <v>121</v>
      </c>
      <c r="AR132" s="1" t="s">
        <v>121</v>
      </c>
      <c r="AS132" s="1" t="s">
        <v>121</v>
      </c>
      <c r="AT132" s="1" t="s">
        <v>121</v>
      </c>
      <c r="AU132" s="1" t="s">
        <v>121</v>
      </c>
      <c r="AV132" s="1" t="s">
        <v>121</v>
      </c>
      <c r="AW132" s="1" t="s">
        <v>121</v>
      </c>
      <c r="AX132" s="1" t="s">
        <v>121</v>
      </c>
      <c r="AY132" s="1" t="s">
        <v>121</v>
      </c>
      <c r="AZ132" s="1" t="s">
        <v>121</v>
      </c>
      <c r="BA132" s="1" t="s">
        <v>121</v>
      </c>
      <c r="BB132" s="1" t="s">
        <v>121</v>
      </c>
      <c r="BC132" s="1" t="s">
        <v>121</v>
      </c>
      <c r="BD132" s="1" t="s">
        <v>121</v>
      </c>
      <c r="BE132" s="1" t="s">
        <v>121</v>
      </c>
      <c r="BF132" s="1" t="s">
        <v>121</v>
      </c>
      <c r="BG132" s="1" t="s">
        <v>121</v>
      </c>
      <c r="BH132" s="1" t="s">
        <v>121</v>
      </c>
      <c r="BI132" s="1" t="s">
        <v>121</v>
      </c>
      <c r="BJ132" s="1" t="s">
        <v>121</v>
      </c>
      <c r="BK132" s="1" t="s">
        <v>121</v>
      </c>
      <c r="BL132" s="1" t="s">
        <v>121</v>
      </c>
      <c r="BM132" s="1" t="s">
        <v>121</v>
      </c>
      <c r="BN132" s="1" t="s">
        <v>121</v>
      </c>
      <c r="BO132" s="1" t="s">
        <v>121</v>
      </c>
      <c r="BP132" s="1" t="s">
        <v>121</v>
      </c>
      <c r="BQ132" s="1" t="s">
        <v>121</v>
      </c>
    </row>
    <row r="133" spans="1:69" ht="14.45" hidden="1" customHeight="1" x14ac:dyDescent="0.25">
      <c r="A133" s="72">
        <v>133</v>
      </c>
      <c r="B133" s="228" t="s">
        <v>334</v>
      </c>
      <c r="C133" s="223" t="s">
        <v>121</v>
      </c>
      <c r="D133" s="216" t="s">
        <v>121</v>
      </c>
      <c r="E133" s="224" t="s">
        <v>121</v>
      </c>
      <c r="F133" s="329" t="s">
        <v>121</v>
      </c>
      <c r="G133" s="329" t="s">
        <v>121</v>
      </c>
      <c r="H133" s="329" t="s">
        <v>121</v>
      </c>
      <c r="I133" s="329" t="s">
        <v>121</v>
      </c>
      <c r="J133" s="329" t="s">
        <v>121</v>
      </c>
      <c r="K133" s="329" t="s">
        <v>121</v>
      </c>
      <c r="L133" s="329" t="s">
        <v>121</v>
      </c>
      <c r="M133" s="329" t="s">
        <v>121</v>
      </c>
      <c r="N133" s="329" t="s">
        <v>121</v>
      </c>
      <c r="O133" s="329" t="s">
        <v>121</v>
      </c>
      <c r="P133" s="329" t="s">
        <v>121</v>
      </c>
      <c r="Q133" s="329" t="s">
        <v>121</v>
      </c>
      <c r="R133" s="406"/>
      <c r="S133" s="406"/>
      <c r="T133" s="406"/>
      <c r="U133" s="329" t="s">
        <v>121</v>
      </c>
      <c r="V133" s="329" t="s">
        <v>121</v>
      </c>
      <c r="W133" s="320" t="s">
        <v>121</v>
      </c>
      <c r="X133" s="320" t="s">
        <v>121</v>
      </c>
      <c r="Y133" s="293" t="s">
        <v>121</v>
      </c>
      <c r="Z133" s="293" t="s">
        <v>121</v>
      </c>
      <c r="AA133" s="216" t="s">
        <v>121</v>
      </c>
      <c r="AB133" s="216" t="s">
        <v>121</v>
      </c>
      <c r="AC133" s="216" t="s">
        <v>121</v>
      </c>
      <c r="AD133" s="216" t="s">
        <v>121</v>
      </c>
      <c r="AE133" s="216" t="s">
        <v>121</v>
      </c>
      <c r="AF133" s="216" t="s">
        <v>121</v>
      </c>
      <c r="AG133" s="216" t="s">
        <v>121</v>
      </c>
      <c r="AH133" s="216" t="s">
        <v>121</v>
      </c>
      <c r="AI133" s="1" t="s">
        <v>121</v>
      </c>
      <c r="AJ133" s="1" t="s">
        <v>121</v>
      </c>
      <c r="AK133" s="1" t="s">
        <v>121</v>
      </c>
      <c r="AL133" s="1" t="s">
        <v>121</v>
      </c>
      <c r="AM133" s="1" t="s">
        <v>121</v>
      </c>
      <c r="AN133" s="1" t="s">
        <v>121</v>
      </c>
      <c r="AO133" s="1" t="s">
        <v>121</v>
      </c>
      <c r="AP133" s="1" t="s">
        <v>121</v>
      </c>
      <c r="AQ133" s="1" t="s">
        <v>121</v>
      </c>
      <c r="AR133" s="1" t="s">
        <v>121</v>
      </c>
      <c r="AS133" s="1" t="s">
        <v>121</v>
      </c>
      <c r="AT133" s="1" t="s">
        <v>121</v>
      </c>
      <c r="AU133" s="1" t="s">
        <v>121</v>
      </c>
      <c r="AV133" s="1" t="s">
        <v>121</v>
      </c>
      <c r="AW133" s="1" t="s">
        <v>121</v>
      </c>
      <c r="AX133" s="1" t="s">
        <v>121</v>
      </c>
      <c r="AY133" s="1" t="s">
        <v>121</v>
      </c>
      <c r="AZ133" s="1" t="s">
        <v>121</v>
      </c>
      <c r="BA133" s="1" t="s">
        <v>121</v>
      </c>
      <c r="BB133" s="1" t="s">
        <v>121</v>
      </c>
      <c r="BC133" s="1" t="s">
        <v>121</v>
      </c>
      <c r="BD133" s="1" t="s">
        <v>121</v>
      </c>
      <c r="BE133" s="1" t="s">
        <v>121</v>
      </c>
      <c r="BF133" s="1" t="s">
        <v>121</v>
      </c>
      <c r="BG133" s="1" t="s">
        <v>121</v>
      </c>
      <c r="BH133" s="1" t="s">
        <v>121</v>
      </c>
      <c r="BI133" s="1" t="s">
        <v>121</v>
      </c>
      <c r="BJ133" s="1" t="s">
        <v>121</v>
      </c>
      <c r="BK133" s="1" t="s">
        <v>121</v>
      </c>
      <c r="BL133" s="1" t="s">
        <v>121</v>
      </c>
      <c r="BM133" s="1" t="s">
        <v>121</v>
      </c>
      <c r="BN133" s="1" t="s">
        <v>121</v>
      </c>
      <c r="BO133" s="1" t="s">
        <v>121</v>
      </c>
      <c r="BP133" s="1" t="s">
        <v>121</v>
      </c>
      <c r="BQ133" s="1" t="s">
        <v>121</v>
      </c>
    </row>
    <row r="134" spans="1:69" ht="14.45" hidden="1" customHeight="1" x14ac:dyDescent="0.25">
      <c r="A134" s="72">
        <v>134</v>
      </c>
      <c r="B134" s="217" t="s">
        <v>353</v>
      </c>
      <c r="C134" s="150" t="s">
        <v>121</v>
      </c>
      <c r="D134" s="164" t="s">
        <v>121</v>
      </c>
      <c r="E134" s="151" t="s">
        <v>121</v>
      </c>
      <c r="F134" s="244" t="s">
        <v>121</v>
      </c>
      <c r="G134" s="244" t="s">
        <v>121</v>
      </c>
      <c r="H134" s="244" t="s">
        <v>121</v>
      </c>
      <c r="I134" s="244" t="s">
        <v>121</v>
      </c>
      <c r="J134" s="244" t="s">
        <v>121</v>
      </c>
      <c r="K134" s="244" t="s">
        <v>121</v>
      </c>
      <c r="L134" s="244" t="s">
        <v>121</v>
      </c>
      <c r="M134" s="244" t="s">
        <v>121</v>
      </c>
      <c r="N134" s="244" t="s">
        <v>121</v>
      </c>
      <c r="O134" s="244" t="s">
        <v>121</v>
      </c>
      <c r="P134" s="244" t="s">
        <v>121</v>
      </c>
      <c r="Q134" s="244" t="s">
        <v>121</v>
      </c>
      <c r="R134" s="406"/>
      <c r="S134" s="406"/>
      <c r="T134" s="406"/>
      <c r="U134" s="244" t="s">
        <v>121</v>
      </c>
      <c r="V134" s="244" t="s">
        <v>121</v>
      </c>
      <c r="W134" s="250" t="s">
        <v>121</v>
      </c>
      <c r="X134" s="250" t="s">
        <v>121</v>
      </c>
      <c r="Y134" s="250" t="s">
        <v>121</v>
      </c>
      <c r="Z134" s="250" t="s">
        <v>121</v>
      </c>
      <c r="AA134" s="165" t="s">
        <v>121</v>
      </c>
      <c r="AB134" s="165" t="s">
        <v>121</v>
      </c>
      <c r="AC134" s="165" t="s">
        <v>121</v>
      </c>
      <c r="AD134" s="165" t="s">
        <v>121</v>
      </c>
      <c r="AE134" s="165" t="s">
        <v>121</v>
      </c>
      <c r="AF134" s="165" t="s">
        <v>121</v>
      </c>
      <c r="AG134" s="165" t="s">
        <v>121</v>
      </c>
      <c r="AH134" s="165" t="s">
        <v>121</v>
      </c>
      <c r="AI134" s="1" t="s">
        <v>121</v>
      </c>
      <c r="AJ134" s="1" t="s">
        <v>121</v>
      </c>
      <c r="AK134" s="1" t="s">
        <v>121</v>
      </c>
      <c r="AL134" s="1" t="s">
        <v>121</v>
      </c>
      <c r="AM134" s="1" t="s">
        <v>121</v>
      </c>
      <c r="AN134" s="1" t="s">
        <v>121</v>
      </c>
      <c r="AO134" s="1" t="s">
        <v>121</v>
      </c>
      <c r="AP134" s="1" t="s">
        <v>121</v>
      </c>
      <c r="AQ134" s="1" t="s">
        <v>121</v>
      </c>
      <c r="AR134" s="1" t="s">
        <v>121</v>
      </c>
      <c r="AS134" s="1" t="s">
        <v>121</v>
      </c>
      <c r="AT134" s="1" t="s">
        <v>121</v>
      </c>
      <c r="AU134" s="1" t="s">
        <v>121</v>
      </c>
      <c r="AV134" s="1" t="s">
        <v>121</v>
      </c>
      <c r="AW134" s="1" t="s">
        <v>121</v>
      </c>
      <c r="AX134" s="1" t="s">
        <v>121</v>
      </c>
      <c r="AY134" s="1" t="s">
        <v>121</v>
      </c>
      <c r="AZ134" s="1" t="s">
        <v>121</v>
      </c>
      <c r="BA134" s="1" t="s">
        <v>121</v>
      </c>
      <c r="BB134" s="1" t="s">
        <v>121</v>
      </c>
      <c r="BC134" s="1" t="s">
        <v>121</v>
      </c>
      <c r="BD134" s="1" t="s">
        <v>121</v>
      </c>
      <c r="BE134" s="1" t="s">
        <v>121</v>
      </c>
      <c r="BF134" s="1" t="s">
        <v>121</v>
      </c>
      <c r="BG134" s="1" t="s">
        <v>121</v>
      </c>
      <c r="BH134" s="1" t="s">
        <v>121</v>
      </c>
      <c r="BI134" s="1" t="s">
        <v>121</v>
      </c>
      <c r="BJ134" s="1" t="s">
        <v>121</v>
      </c>
      <c r="BK134" s="1" t="s">
        <v>121</v>
      </c>
      <c r="BL134" s="1" t="s">
        <v>121</v>
      </c>
      <c r="BM134" s="1" t="s">
        <v>121</v>
      </c>
      <c r="BN134" s="1" t="s">
        <v>121</v>
      </c>
      <c r="BO134" s="1" t="s">
        <v>121</v>
      </c>
      <c r="BP134" s="1" t="s">
        <v>121</v>
      </c>
      <c r="BQ134" s="1" t="s">
        <v>121</v>
      </c>
    </row>
    <row r="135" spans="1:69" ht="14.45" hidden="1" customHeight="1" x14ac:dyDescent="0.25">
      <c r="A135" s="72">
        <v>135</v>
      </c>
      <c r="B135" s="217" t="s">
        <v>354</v>
      </c>
      <c r="C135" s="150" t="s">
        <v>121</v>
      </c>
      <c r="D135" s="164" t="s">
        <v>121</v>
      </c>
      <c r="E135" s="151" t="s">
        <v>121</v>
      </c>
      <c r="F135" s="244" t="s">
        <v>121</v>
      </c>
      <c r="G135" s="244" t="s">
        <v>121</v>
      </c>
      <c r="H135" s="244" t="s">
        <v>121</v>
      </c>
      <c r="I135" s="244" t="s">
        <v>121</v>
      </c>
      <c r="J135" s="244" t="s">
        <v>121</v>
      </c>
      <c r="K135" s="244" t="s">
        <v>121</v>
      </c>
      <c r="L135" s="244" t="s">
        <v>121</v>
      </c>
      <c r="M135" s="244" t="s">
        <v>121</v>
      </c>
      <c r="N135" s="244" t="s">
        <v>121</v>
      </c>
      <c r="O135" s="244" t="s">
        <v>121</v>
      </c>
      <c r="P135" s="244" t="s">
        <v>121</v>
      </c>
      <c r="Q135" s="244" t="s">
        <v>121</v>
      </c>
      <c r="R135" s="406"/>
      <c r="S135" s="406"/>
      <c r="T135" s="406"/>
      <c r="U135" s="244" t="s">
        <v>121</v>
      </c>
      <c r="V135" s="244" t="s">
        <v>121</v>
      </c>
      <c r="W135" s="250" t="s">
        <v>121</v>
      </c>
      <c r="X135" s="250" t="s">
        <v>121</v>
      </c>
      <c r="Y135" s="250" t="s">
        <v>121</v>
      </c>
      <c r="Z135" s="250" t="s">
        <v>121</v>
      </c>
      <c r="AA135" s="165" t="s">
        <v>121</v>
      </c>
      <c r="AB135" s="165" t="s">
        <v>121</v>
      </c>
      <c r="AC135" s="165" t="s">
        <v>121</v>
      </c>
      <c r="AD135" s="165" t="s">
        <v>121</v>
      </c>
      <c r="AE135" s="165" t="s">
        <v>121</v>
      </c>
      <c r="AF135" s="165" t="s">
        <v>121</v>
      </c>
      <c r="AG135" s="165" t="s">
        <v>121</v>
      </c>
      <c r="AH135" s="165" t="s">
        <v>121</v>
      </c>
      <c r="AI135" s="1" t="s">
        <v>121</v>
      </c>
      <c r="AJ135" s="1" t="s">
        <v>121</v>
      </c>
      <c r="AK135" s="1" t="s">
        <v>121</v>
      </c>
      <c r="AL135" s="1" t="s">
        <v>121</v>
      </c>
      <c r="AM135" s="1" t="s">
        <v>121</v>
      </c>
      <c r="AN135" s="1" t="s">
        <v>121</v>
      </c>
      <c r="AO135" s="1" t="s">
        <v>121</v>
      </c>
      <c r="AP135" s="1" t="s">
        <v>121</v>
      </c>
      <c r="AQ135" s="1" t="s">
        <v>121</v>
      </c>
      <c r="AR135" s="1" t="s">
        <v>121</v>
      </c>
      <c r="AS135" s="1" t="s">
        <v>121</v>
      </c>
      <c r="AT135" s="1" t="s">
        <v>121</v>
      </c>
      <c r="AU135" s="1" t="s">
        <v>121</v>
      </c>
      <c r="AV135" s="1" t="s">
        <v>121</v>
      </c>
      <c r="AW135" s="1" t="s">
        <v>121</v>
      </c>
      <c r="AX135" s="1" t="s">
        <v>121</v>
      </c>
      <c r="AY135" s="1" t="s">
        <v>121</v>
      </c>
      <c r="AZ135" s="1" t="s">
        <v>121</v>
      </c>
      <c r="BA135" s="1" t="s">
        <v>121</v>
      </c>
      <c r="BB135" s="1" t="s">
        <v>121</v>
      </c>
      <c r="BC135" s="1" t="s">
        <v>121</v>
      </c>
      <c r="BD135" s="1" t="s">
        <v>121</v>
      </c>
      <c r="BE135" s="1" t="s">
        <v>121</v>
      </c>
      <c r="BF135" s="1" t="s">
        <v>121</v>
      </c>
      <c r="BG135" s="1" t="s">
        <v>121</v>
      </c>
      <c r="BH135" s="1" t="s">
        <v>121</v>
      </c>
      <c r="BI135" s="1" t="s">
        <v>121</v>
      </c>
      <c r="BJ135" s="1" t="s">
        <v>121</v>
      </c>
      <c r="BK135" s="1" t="s">
        <v>121</v>
      </c>
      <c r="BL135" s="1" t="s">
        <v>121</v>
      </c>
      <c r="BM135" s="1" t="s">
        <v>121</v>
      </c>
      <c r="BN135" s="1" t="s">
        <v>121</v>
      </c>
      <c r="BO135" s="1" t="s">
        <v>121</v>
      </c>
      <c r="BP135" s="1" t="s">
        <v>121</v>
      </c>
      <c r="BQ135" s="1" t="s">
        <v>121</v>
      </c>
    </row>
    <row r="136" spans="1:69" ht="14.45" hidden="1" customHeight="1" x14ac:dyDescent="0.25">
      <c r="A136" s="72">
        <v>136</v>
      </c>
      <c r="B136" s="230" t="s">
        <v>340</v>
      </c>
      <c r="C136" s="150" t="s">
        <v>121</v>
      </c>
      <c r="D136" s="164" t="s">
        <v>121</v>
      </c>
      <c r="E136" s="151" t="s">
        <v>121</v>
      </c>
      <c r="F136" s="312" t="s">
        <v>121</v>
      </c>
      <c r="G136" s="312" t="s">
        <v>121</v>
      </c>
      <c r="H136" s="312" t="s">
        <v>121</v>
      </c>
      <c r="I136" s="312" t="s">
        <v>121</v>
      </c>
      <c r="J136" s="312" t="s">
        <v>121</v>
      </c>
      <c r="K136" s="312" t="s">
        <v>121</v>
      </c>
      <c r="L136" s="312" t="s">
        <v>121</v>
      </c>
      <c r="M136" s="312" t="s">
        <v>121</v>
      </c>
      <c r="N136" s="312" t="s">
        <v>121</v>
      </c>
      <c r="O136" s="312" t="s">
        <v>121</v>
      </c>
      <c r="P136" s="312" t="s">
        <v>121</v>
      </c>
      <c r="Q136" s="312" t="s">
        <v>121</v>
      </c>
      <c r="R136" s="406"/>
      <c r="S136" s="406"/>
      <c r="T136" s="406"/>
      <c r="U136" s="312" t="s">
        <v>121</v>
      </c>
      <c r="V136" s="312" t="s">
        <v>121</v>
      </c>
      <c r="W136" s="294" t="s">
        <v>121</v>
      </c>
      <c r="X136" s="294" t="s">
        <v>121</v>
      </c>
      <c r="Y136" s="294" t="s">
        <v>121</v>
      </c>
      <c r="Z136" s="294" t="s">
        <v>121</v>
      </c>
      <c r="AA136" s="212" t="s">
        <v>121</v>
      </c>
      <c r="AB136" s="212" t="s">
        <v>121</v>
      </c>
      <c r="AC136" s="212" t="s">
        <v>121</v>
      </c>
      <c r="AD136" s="212" t="s">
        <v>121</v>
      </c>
      <c r="AE136" s="212" t="s">
        <v>121</v>
      </c>
      <c r="AF136" s="212" t="s">
        <v>121</v>
      </c>
      <c r="AG136" s="212" t="s">
        <v>121</v>
      </c>
      <c r="AH136" s="212" t="s">
        <v>121</v>
      </c>
      <c r="AI136" s="1" t="s">
        <v>121</v>
      </c>
      <c r="AJ136" s="1" t="s">
        <v>121</v>
      </c>
      <c r="AK136" s="1" t="s">
        <v>121</v>
      </c>
      <c r="AL136" s="1" t="s">
        <v>121</v>
      </c>
      <c r="AM136" s="1" t="s">
        <v>121</v>
      </c>
      <c r="AN136" s="1" t="s">
        <v>121</v>
      </c>
      <c r="AO136" s="1" t="s">
        <v>121</v>
      </c>
      <c r="AP136" s="1" t="s">
        <v>121</v>
      </c>
      <c r="AQ136" s="1" t="s">
        <v>121</v>
      </c>
      <c r="AR136" s="1" t="s">
        <v>121</v>
      </c>
      <c r="AS136" s="1" t="s">
        <v>121</v>
      </c>
      <c r="AT136" s="1" t="s">
        <v>121</v>
      </c>
      <c r="AU136" s="1" t="s">
        <v>121</v>
      </c>
      <c r="AV136" s="1" t="s">
        <v>121</v>
      </c>
      <c r="AW136" s="1" t="s">
        <v>121</v>
      </c>
      <c r="AX136" s="1" t="s">
        <v>121</v>
      </c>
      <c r="AY136" s="1" t="s">
        <v>121</v>
      </c>
      <c r="AZ136" s="1" t="s">
        <v>121</v>
      </c>
      <c r="BA136" s="1" t="s">
        <v>121</v>
      </c>
      <c r="BB136" s="1" t="s">
        <v>121</v>
      </c>
      <c r="BC136" s="1" t="s">
        <v>121</v>
      </c>
      <c r="BD136" s="1" t="s">
        <v>121</v>
      </c>
      <c r="BE136" s="1" t="s">
        <v>121</v>
      </c>
      <c r="BF136" s="1" t="s">
        <v>121</v>
      </c>
      <c r="BG136" s="1" t="s">
        <v>121</v>
      </c>
      <c r="BH136" s="1" t="s">
        <v>121</v>
      </c>
      <c r="BI136" s="1" t="s">
        <v>121</v>
      </c>
      <c r="BJ136" s="1" t="s">
        <v>121</v>
      </c>
      <c r="BK136" s="1" t="s">
        <v>121</v>
      </c>
      <c r="BL136" s="1" t="s">
        <v>121</v>
      </c>
      <c r="BM136" s="1" t="s">
        <v>121</v>
      </c>
      <c r="BN136" s="1" t="s">
        <v>121</v>
      </c>
      <c r="BO136" s="1" t="s">
        <v>121</v>
      </c>
      <c r="BP136" s="1" t="s">
        <v>121</v>
      </c>
      <c r="BQ136" s="1" t="s">
        <v>121</v>
      </c>
    </row>
    <row r="137" spans="1:69" ht="14.45" hidden="1" customHeight="1" x14ac:dyDescent="0.25">
      <c r="A137" s="72">
        <v>137</v>
      </c>
      <c r="B137" s="231" t="s">
        <v>14</v>
      </c>
      <c r="C137" s="150" t="s">
        <v>121</v>
      </c>
      <c r="D137" s="164" t="s">
        <v>121</v>
      </c>
      <c r="E137" s="151" t="s">
        <v>121</v>
      </c>
      <c r="F137" s="244" t="s">
        <v>121</v>
      </c>
      <c r="G137" s="244" t="s">
        <v>121</v>
      </c>
      <c r="H137" s="244" t="s">
        <v>121</v>
      </c>
      <c r="I137" s="244" t="s">
        <v>121</v>
      </c>
      <c r="J137" s="244" t="s">
        <v>121</v>
      </c>
      <c r="K137" s="244" t="s">
        <v>121</v>
      </c>
      <c r="L137" s="244" t="s">
        <v>121</v>
      </c>
      <c r="M137" s="244" t="s">
        <v>121</v>
      </c>
      <c r="N137" s="244" t="s">
        <v>121</v>
      </c>
      <c r="O137" s="244" t="s">
        <v>121</v>
      </c>
      <c r="P137" s="244" t="s">
        <v>121</v>
      </c>
      <c r="Q137" s="244" t="s">
        <v>121</v>
      </c>
      <c r="R137" s="406"/>
      <c r="S137" s="406"/>
      <c r="T137" s="406"/>
      <c r="U137" s="244" t="s">
        <v>121</v>
      </c>
      <c r="V137" s="244" t="s">
        <v>121</v>
      </c>
      <c r="W137" s="250" t="s">
        <v>121</v>
      </c>
      <c r="X137" s="250" t="s">
        <v>121</v>
      </c>
      <c r="Y137" s="250" t="s">
        <v>121</v>
      </c>
      <c r="Z137" s="250" t="s">
        <v>121</v>
      </c>
      <c r="AA137" s="165" t="s">
        <v>121</v>
      </c>
      <c r="AB137" s="165" t="s">
        <v>121</v>
      </c>
      <c r="AC137" s="165" t="s">
        <v>121</v>
      </c>
      <c r="AD137" s="165" t="s">
        <v>121</v>
      </c>
      <c r="AE137" s="165" t="s">
        <v>121</v>
      </c>
      <c r="AF137" s="165" t="s">
        <v>121</v>
      </c>
      <c r="AG137" s="165" t="s">
        <v>121</v>
      </c>
      <c r="AH137" s="165" t="s">
        <v>121</v>
      </c>
      <c r="AI137" s="1" t="s">
        <v>121</v>
      </c>
      <c r="AJ137" s="1" t="s">
        <v>121</v>
      </c>
      <c r="AK137" s="1" t="s">
        <v>121</v>
      </c>
      <c r="AL137" s="1" t="s">
        <v>121</v>
      </c>
      <c r="AM137" s="1" t="s">
        <v>121</v>
      </c>
      <c r="AN137" s="1" t="s">
        <v>121</v>
      </c>
      <c r="AO137" s="1" t="s">
        <v>121</v>
      </c>
      <c r="AP137" s="1" t="s">
        <v>121</v>
      </c>
      <c r="AQ137" s="1" t="s">
        <v>121</v>
      </c>
      <c r="AR137" s="1" t="s">
        <v>121</v>
      </c>
      <c r="AS137" s="1" t="s">
        <v>121</v>
      </c>
      <c r="AT137" s="1" t="s">
        <v>121</v>
      </c>
      <c r="AU137" s="1" t="s">
        <v>121</v>
      </c>
      <c r="AV137" s="1" t="s">
        <v>121</v>
      </c>
      <c r="AW137" s="1" t="s">
        <v>121</v>
      </c>
      <c r="AX137" s="1" t="s">
        <v>121</v>
      </c>
      <c r="AY137" s="1" t="s">
        <v>121</v>
      </c>
      <c r="AZ137" s="1" t="s">
        <v>121</v>
      </c>
      <c r="BA137" s="1" t="s">
        <v>121</v>
      </c>
      <c r="BB137" s="1" t="s">
        <v>121</v>
      </c>
      <c r="BC137" s="1" t="s">
        <v>121</v>
      </c>
      <c r="BD137" s="1" t="s">
        <v>121</v>
      </c>
      <c r="BE137" s="1" t="s">
        <v>121</v>
      </c>
      <c r="BF137" s="1" t="s">
        <v>121</v>
      </c>
      <c r="BG137" s="1" t="s">
        <v>121</v>
      </c>
      <c r="BH137" s="1" t="s">
        <v>121</v>
      </c>
      <c r="BI137" s="1" t="s">
        <v>121</v>
      </c>
      <c r="BJ137" s="1" t="s">
        <v>121</v>
      </c>
      <c r="BK137" s="1" t="s">
        <v>121</v>
      </c>
      <c r="BL137" s="1" t="s">
        <v>121</v>
      </c>
      <c r="BM137" s="1" t="s">
        <v>121</v>
      </c>
      <c r="BN137" s="1" t="s">
        <v>121</v>
      </c>
      <c r="BO137" s="1" t="s">
        <v>121</v>
      </c>
      <c r="BP137" s="1" t="s">
        <v>121</v>
      </c>
      <c r="BQ137" s="1" t="s">
        <v>121</v>
      </c>
    </row>
    <row r="138" spans="1:69" ht="14.45" hidden="1" customHeight="1" x14ac:dyDescent="0.25">
      <c r="A138" s="72">
        <v>138</v>
      </c>
      <c r="B138" s="230" t="s">
        <v>341</v>
      </c>
      <c r="C138" s="150" t="s">
        <v>121</v>
      </c>
      <c r="D138" s="164" t="s">
        <v>121</v>
      </c>
      <c r="E138" s="151" t="s">
        <v>121</v>
      </c>
      <c r="F138" s="312" t="s">
        <v>121</v>
      </c>
      <c r="G138" s="312" t="s">
        <v>121</v>
      </c>
      <c r="H138" s="312" t="s">
        <v>121</v>
      </c>
      <c r="I138" s="312" t="s">
        <v>121</v>
      </c>
      <c r="J138" s="312" t="s">
        <v>121</v>
      </c>
      <c r="K138" s="312" t="s">
        <v>121</v>
      </c>
      <c r="L138" s="312" t="s">
        <v>121</v>
      </c>
      <c r="M138" s="312" t="s">
        <v>121</v>
      </c>
      <c r="N138" s="312" t="s">
        <v>121</v>
      </c>
      <c r="O138" s="312" t="s">
        <v>121</v>
      </c>
      <c r="P138" s="312" t="s">
        <v>121</v>
      </c>
      <c r="Q138" s="312" t="s">
        <v>121</v>
      </c>
      <c r="R138" s="406"/>
      <c r="S138" s="406"/>
      <c r="T138" s="406"/>
      <c r="U138" s="312" t="s">
        <v>121</v>
      </c>
      <c r="V138" s="312" t="s">
        <v>121</v>
      </c>
      <c r="W138" s="294" t="s">
        <v>121</v>
      </c>
      <c r="X138" s="294" t="s">
        <v>121</v>
      </c>
      <c r="Y138" s="294" t="s">
        <v>121</v>
      </c>
      <c r="Z138" s="294" t="s">
        <v>121</v>
      </c>
      <c r="AA138" s="212" t="s">
        <v>121</v>
      </c>
      <c r="AB138" s="212" t="s">
        <v>121</v>
      </c>
      <c r="AC138" s="212" t="s">
        <v>121</v>
      </c>
      <c r="AD138" s="212" t="s">
        <v>121</v>
      </c>
      <c r="AE138" s="212" t="s">
        <v>121</v>
      </c>
      <c r="AF138" s="212" t="s">
        <v>121</v>
      </c>
      <c r="AG138" s="212" t="s">
        <v>121</v>
      </c>
      <c r="AH138" s="212" t="s">
        <v>121</v>
      </c>
      <c r="AI138" s="1" t="s">
        <v>121</v>
      </c>
      <c r="AJ138" s="1" t="s">
        <v>121</v>
      </c>
      <c r="AK138" s="1" t="s">
        <v>121</v>
      </c>
      <c r="AL138" s="1" t="s">
        <v>121</v>
      </c>
      <c r="AM138" s="1" t="s">
        <v>121</v>
      </c>
      <c r="AN138" s="1" t="s">
        <v>121</v>
      </c>
      <c r="AO138" s="1" t="s">
        <v>121</v>
      </c>
      <c r="AP138" s="1" t="s">
        <v>121</v>
      </c>
      <c r="AQ138" s="1" t="s">
        <v>121</v>
      </c>
      <c r="AR138" s="1" t="s">
        <v>121</v>
      </c>
      <c r="AS138" s="1" t="s">
        <v>121</v>
      </c>
      <c r="AT138" s="1" t="s">
        <v>121</v>
      </c>
      <c r="AU138" s="1" t="s">
        <v>121</v>
      </c>
      <c r="AV138" s="1" t="s">
        <v>121</v>
      </c>
      <c r="AW138" s="1" t="s">
        <v>121</v>
      </c>
      <c r="AX138" s="1" t="s">
        <v>121</v>
      </c>
      <c r="AY138" s="1" t="s">
        <v>121</v>
      </c>
      <c r="AZ138" s="1" t="s">
        <v>121</v>
      </c>
      <c r="BA138" s="1" t="s">
        <v>121</v>
      </c>
      <c r="BB138" s="1" t="s">
        <v>121</v>
      </c>
      <c r="BC138" s="1" t="s">
        <v>121</v>
      </c>
      <c r="BD138" s="1" t="s">
        <v>121</v>
      </c>
      <c r="BE138" s="1" t="s">
        <v>121</v>
      </c>
      <c r="BF138" s="1" t="s">
        <v>121</v>
      </c>
      <c r="BG138" s="1" t="s">
        <v>121</v>
      </c>
      <c r="BH138" s="1" t="s">
        <v>121</v>
      </c>
      <c r="BI138" s="1" t="s">
        <v>121</v>
      </c>
      <c r="BJ138" s="1" t="s">
        <v>121</v>
      </c>
      <c r="BK138" s="1" t="s">
        <v>121</v>
      </c>
      <c r="BL138" s="1" t="s">
        <v>121</v>
      </c>
      <c r="BM138" s="1" t="s">
        <v>121</v>
      </c>
      <c r="BN138" s="1" t="s">
        <v>121</v>
      </c>
      <c r="BO138" s="1" t="s">
        <v>121</v>
      </c>
      <c r="BP138" s="1" t="s">
        <v>121</v>
      </c>
      <c r="BQ138" s="1" t="s">
        <v>121</v>
      </c>
    </row>
    <row r="139" spans="1:69" ht="14.45" hidden="1" customHeight="1" x14ac:dyDescent="0.25">
      <c r="A139" s="72">
        <v>139</v>
      </c>
      <c r="B139" s="232" t="s">
        <v>342</v>
      </c>
      <c r="C139" s="150" t="s">
        <v>121</v>
      </c>
      <c r="D139" s="164" t="s">
        <v>121</v>
      </c>
      <c r="E139" s="151" t="s">
        <v>121</v>
      </c>
      <c r="F139" s="326" t="s">
        <v>121</v>
      </c>
      <c r="G139" s="326" t="s">
        <v>121</v>
      </c>
      <c r="H139" s="326" t="s">
        <v>121</v>
      </c>
      <c r="I139" s="326" t="s">
        <v>121</v>
      </c>
      <c r="J139" s="326" t="s">
        <v>121</v>
      </c>
      <c r="K139" s="326" t="s">
        <v>121</v>
      </c>
      <c r="L139" s="326" t="s">
        <v>121</v>
      </c>
      <c r="M139" s="326" t="s">
        <v>121</v>
      </c>
      <c r="N139" s="326" t="s">
        <v>121</v>
      </c>
      <c r="O139" s="326" t="s">
        <v>121</v>
      </c>
      <c r="P139" s="326" t="s">
        <v>121</v>
      </c>
      <c r="Q139" s="326" t="s">
        <v>121</v>
      </c>
      <c r="R139" s="406"/>
      <c r="S139" s="406"/>
      <c r="T139" s="406"/>
      <c r="U139" s="326" t="s">
        <v>121</v>
      </c>
      <c r="V139" s="326" t="s">
        <v>121</v>
      </c>
      <c r="W139" s="275" t="s">
        <v>121</v>
      </c>
      <c r="X139" s="275" t="s">
        <v>121</v>
      </c>
      <c r="Y139" s="275" t="s">
        <v>121</v>
      </c>
      <c r="Z139" s="275" t="s">
        <v>121</v>
      </c>
      <c r="AA139" s="164" t="s">
        <v>121</v>
      </c>
      <c r="AB139" s="164" t="s">
        <v>121</v>
      </c>
      <c r="AC139" s="164" t="s">
        <v>121</v>
      </c>
      <c r="AD139" s="164" t="s">
        <v>121</v>
      </c>
      <c r="AE139" s="164" t="s">
        <v>121</v>
      </c>
      <c r="AF139" s="164" t="s">
        <v>121</v>
      </c>
      <c r="AG139" s="164" t="s">
        <v>121</v>
      </c>
      <c r="AH139" s="165" t="s">
        <v>121</v>
      </c>
      <c r="AI139" s="1" t="s">
        <v>121</v>
      </c>
      <c r="AJ139" s="1" t="s">
        <v>121</v>
      </c>
      <c r="AK139" s="1" t="s">
        <v>121</v>
      </c>
      <c r="AL139" s="1" t="s">
        <v>121</v>
      </c>
      <c r="AM139" s="1" t="s">
        <v>121</v>
      </c>
      <c r="AN139" s="1" t="s">
        <v>121</v>
      </c>
      <c r="AO139" s="1" t="s">
        <v>121</v>
      </c>
      <c r="AP139" s="1" t="s">
        <v>121</v>
      </c>
      <c r="AQ139" s="1" t="s">
        <v>121</v>
      </c>
      <c r="AR139" s="1" t="s">
        <v>121</v>
      </c>
      <c r="AS139" s="1" t="s">
        <v>121</v>
      </c>
      <c r="AT139" s="1" t="s">
        <v>121</v>
      </c>
      <c r="AU139" s="1" t="s">
        <v>121</v>
      </c>
      <c r="AV139" s="1" t="s">
        <v>121</v>
      </c>
      <c r="AW139" s="1" t="s">
        <v>121</v>
      </c>
      <c r="AX139" s="1" t="s">
        <v>121</v>
      </c>
      <c r="AY139" s="1" t="s">
        <v>121</v>
      </c>
      <c r="AZ139" s="1" t="s">
        <v>121</v>
      </c>
      <c r="BA139" s="1" t="s">
        <v>121</v>
      </c>
      <c r="BB139" s="1" t="s">
        <v>121</v>
      </c>
      <c r="BC139" s="1" t="s">
        <v>121</v>
      </c>
      <c r="BD139" s="1" t="s">
        <v>121</v>
      </c>
      <c r="BE139" s="1" t="s">
        <v>121</v>
      </c>
      <c r="BF139" s="1" t="s">
        <v>121</v>
      </c>
      <c r="BG139" s="1" t="s">
        <v>121</v>
      </c>
      <c r="BH139" s="1" t="s">
        <v>121</v>
      </c>
      <c r="BI139" s="1" t="s">
        <v>121</v>
      </c>
      <c r="BJ139" s="1" t="s">
        <v>121</v>
      </c>
      <c r="BK139" s="1" t="s">
        <v>121</v>
      </c>
      <c r="BL139" s="1" t="s">
        <v>121</v>
      </c>
      <c r="BM139" s="1" t="s">
        <v>121</v>
      </c>
      <c r="BN139" s="1" t="s">
        <v>121</v>
      </c>
      <c r="BO139" s="1" t="s">
        <v>121</v>
      </c>
      <c r="BP139" s="1" t="s">
        <v>121</v>
      </c>
      <c r="BQ139" s="1" t="s">
        <v>121</v>
      </c>
    </row>
    <row r="140" spans="1:69" ht="14.45" hidden="1" customHeight="1" x14ac:dyDescent="0.25">
      <c r="A140" s="72">
        <v>140</v>
      </c>
      <c r="B140" s="217" t="s">
        <v>353</v>
      </c>
      <c r="C140" s="150" t="s">
        <v>121</v>
      </c>
      <c r="D140" s="164" t="s">
        <v>121</v>
      </c>
      <c r="E140" s="151" t="s">
        <v>121</v>
      </c>
      <c r="F140" s="244" t="s">
        <v>121</v>
      </c>
      <c r="G140" s="244" t="s">
        <v>121</v>
      </c>
      <c r="H140" s="244" t="s">
        <v>121</v>
      </c>
      <c r="I140" s="244" t="s">
        <v>121</v>
      </c>
      <c r="J140" s="244" t="s">
        <v>121</v>
      </c>
      <c r="K140" s="244" t="s">
        <v>121</v>
      </c>
      <c r="L140" s="244" t="s">
        <v>121</v>
      </c>
      <c r="M140" s="244" t="s">
        <v>121</v>
      </c>
      <c r="N140" s="244" t="s">
        <v>121</v>
      </c>
      <c r="O140" s="244" t="s">
        <v>121</v>
      </c>
      <c r="P140" s="244" t="s">
        <v>121</v>
      </c>
      <c r="Q140" s="244" t="s">
        <v>121</v>
      </c>
      <c r="R140" s="406"/>
      <c r="S140" s="406"/>
      <c r="T140" s="406"/>
      <c r="U140" s="244" t="s">
        <v>121</v>
      </c>
      <c r="V140" s="244" t="s">
        <v>121</v>
      </c>
      <c r="W140" s="250" t="s">
        <v>121</v>
      </c>
      <c r="X140" s="250" t="s">
        <v>121</v>
      </c>
      <c r="Y140" s="250" t="s">
        <v>121</v>
      </c>
      <c r="Z140" s="250" t="s">
        <v>121</v>
      </c>
      <c r="AA140" s="250" t="s">
        <v>121</v>
      </c>
      <c r="AB140" s="250" t="s">
        <v>121</v>
      </c>
      <c r="AC140" s="164" t="s">
        <v>121</v>
      </c>
      <c r="AD140" s="164" t="s">
        <v>121</v>
      </c>
      <c r="AE140" s="164" t="s">
        <v>121</v>
      </c>
      <c r="AF140" s="164" t="s">
        <v>121</v>
      </c>
      <c r="AG140" s="164" t="s">
        <v>121</v>
      </c>
      <c r="AH140" s="165" t="s">
        <v>121</v>
      </c>
      <c r="AI140" s="1" t="s">
        <v>121</v>
      </c>
      <c r="AJ140" s="1" t="s">
        <v>121</v>
      </c>
      <c r="AK140" s="1" t="s">
        <v>121</v>
      </c>
      <c r="AL140" s="1" t="s">
        <v>121</v>
      </c>
      <c r="AM140" s="1" t="s">
        <v>121</v>
      </c>
      <c r="AN140" s="1" t="s">
        <v>121</v>
      </c>
      <c r="AO140" s="1" t="s">
        <v>121</v>
      </c>
      <c r="AP140" s="1" t="s">
        <v>121</v>
      </c>
      <c r="AQ140" s="1" t="s">
        <v>121</v>
      </c>
      <c r="AR140" s="1" t="s">
        <v>121</v>
      </c>
      <c r="AS140" s="1" t="s">
        <v>121</v>
      </c>
      <c r="AT140" s="1" t="s">
        <v>121</v>
      </c>
      <c r="AU140" s="1" t="s">
        <v>121</v>
      </c>
      <c r="AV140" s="1" t="s">
        <v>121</v>
      </c>
      <c r="AW140" s="1" t="s">
        <v>121</v>
      </c>
      <c r="AX140" s="1" t="s">
        <v>121</v>
      </c>
      <c r="AY140" s="1" t="s">
        <v>121</v>
      </c>
      <c r="AZ140" s="1" t="s">
        <v>121</v>
      </c>
      <c r="BA140" s="1" t="s">
        <v>121</v>
      </c>
      <c r="BB140" s="1" t="s">
        <v>121</v>
      </c>
      <c r="BC140" s="1" t="s">
        <v>121</v>
      </c>
      <c r="BD140" s="1" t="s">
        <v>121</v>
      </c>
      <c r="BE140" s="1" t="s">
        <v>121</v>
      </c>
      <c r="BF140" s="1" t="s">
        <v>121</v>
      </c>
      <c r="BG140" s="1" t="s">
        <v>121</v>
      </c>
      <c r="BH140" s="1" t="s">
        <v>121</v>
      </c>
      <c r="BI140" s="1" t="s">
        <v>121</v>
      </c>
      <c r="BJ140" s="1" t="s">
        <v>121</v>
      </c>
      <c r="BK140" s="1" t="s">
        <v>121</v>
      </c>
      <c r="BL140" s="1" t="s">
        <v>121</v>
      </c>
      <c r="BM140" s="1" t="s">
        <v>121</v>
      </c>
      <c r="BN140" s="1" t="s">
        <v>121</v>
      </c>
      <c r="BO140" s="1" t="s">
        <v>121</v>
      </c>
      <c r="BP140" s="1" t="s">
        <v>121</v>
      </c>
      <c r="BQ140" s="1" t="s">
        <v>121</v>
      </c>
    </row>
    <row r="141" spans="1:69" ht="14.45" hidden="1" customHeight="1" x14ac:dyDescent="0.25">
      <c r="A141" s="72">
        <v>141</v>
      </c>
      <c r="B141" s="217" t="s">
        <v>354</v>
      </c>
      <c r="C141" s="150" t="s">
        <v>121</v>
      </c>
      <c r="D141" s="164" t="s">
        <v>121</v>
      </c>
      <c r="E141" s="151" t="s">
        <v>121</v>
      </c>
      <c r="F141" s="244" t="s">
        <v>121</v>
      </c>
      <c r="G141" s="244" t="s">
        <v>121</v>
      </c>
      <c r="H141" s="244" t="s">
        <v>121</v>
      </c>
      <c r="I141" s="244" t="s">
        <v>121</v>
      </c>
      <c r="J141" s="244" t="s">
        <v>121</v>
      </c>
      <c r="K141" s="244" t="s">
        <v>121</v>
      </c>
      <c r="L141" s="244" t="s">
        <v>121</v>
      </c>
      <c r="M141" s="244" t="s">
        <v>121</v>
      </c>
      <c r="N141" s="244" t="s">
        <v>121</v>
      </c>
      <c r="O141" s="244" t="s">
        <v>121</v>
      </c>
      <c r="P141" s="244" t="s">
        <v>121</v>
      </c>
      <c r="Q141" s="244" t="s">
        <v>121</v>
      </c>
      <c r="R141" s="406"/>
      <c r="S141" s="406"/>
      <c r="T141" s="406"/>
      <c r="U141" s="244" t="s">
        <v>121</v>
      </c>
      <c r="V141" s="244" t="s">
        <v>121</v>
      </c>
      <c r="W141" s="250" t="s">
        <v>121</v>
      </c>
      <c r="X141" s="250" t="s">
        <v>121</v>
      </c>
      <c r="Y141" s="250" t="s">
        <v>121</v>
      </c>
      <c r="Z141" s="250" t="s">
        <v>121</v>
      </c>
      <c r="AA141" s="250" t="s">
        <v>121</v>
      </c>
      <c r="AB141" s="250" t="s">
        <v>121</v>
      </c>
      <c r="AC141" s="250" t="s">
        <v>121</v>
      </c>
      <c r="AD141" s="250" t="s">
        <v>121</v>
      </c>
      <c r="AE141" s="250" t="s">
        <v>121</v>
      </c>
      <c r="AF141" s="250" t="s">
        <v>121</v>
      </c>
      <c r="AG141" s="250" t="s">
        <v>121</v>
      </c>
      <c r="AH141" s="165" t="s">
        <v>121</v>
      </c>
      <c r="AI141" s="1" t="s">
        <v>121</v>
      </c>
      <c r="AJ141" s="1" t="s">
        <v>121</v>
      </c>
      <c r="AK141" s="1" t="s">
        <v>121</v>
      </c>
      <c r="AL141" s="1" t="s">
        <v>121</v>
      </c>
      <c r="AM141" s="1" t="s">
        <v>121</v>
      </c>
      <c r="AN141" s="1" t="s">
        <v>121</v>
      </c>
      <c r="AO141" s="1" t="s">
        <v>121</v>
      </c>
      <c r="AP141" s="1" t="s">
        <v>121</v>
      </c>
      <c r="AQ141" s="1" t="s">
        <v>121</v>
      </c>
      <c r="AR141" s="1" t="s">
        <v>121</v>
      </c>
      <c r="AS141" s="1" t="s">
        <v>121</v>
      </c>
      <c r="AT141" s="1" t="s">
        <v>121</v>
      </c>
      <c r="AU141" s="1" t="s">
        <v>121</v>
      </c>
      <c r="AV141" s="1" t="s">
        <v>121</v>
      </c>
      <c r="AW141" s="1" t="s">
        <v>121</v>
      </c>
      <c r="AX141" s="1" t="s">
        <v>121</v>
      </c>
      <c r="AY141" s="1" t="s">
        <v>121</v>
      </c>
      <c r="AZ141" s="1" t="s">
        <v>121</v>
      </c>
      <c r="BA141" s="1" t="s">
        <v>121</v>
      </c>
      <c r="BB141" s="1" t="s">
        <v>121</v>
      </c>
      <c r="BC141" s="1" t="s">
        <v>121</v>
      </c>
      <c r="BD141" s="1" t="s">
        <v>121</v>
      </c>
      <c r="BE141" s="1" t="s">
        <v>121</v>
      </c>
      <c r="BF141" s="1" t="s">
        <v>121</v>
      </c>
      <c r="BG141" s="1" t="s">
        <v>121</v>
      </c>
      <c r="BH141" s="1" t="s">
        <v>121</v>
      </c>
      <c r="BI141" s="1" t="s">
        <v>121</v>
      </c>
      <c r="BJ141" s="1" t="s">
        <v>121</v>
      </c>
      <c r="BK141" s="1" t="s">
        <v>121</v>
      </c>
      <c r="BL141" s="1" t="s">
        <v>121</v>
      </c>
      <c r="BM141" s="1" t="s">
        <v>121</v>
      </c>
      <c r="BN141" s="1" t="s">
        <v>121</v>
      </c>
      <c r="BO141" s="1" t="s">
        <v>121</v>
      </c>
      <c r="BP141" s="1" t="s">
        <v>121</v>
      </c>
      <c r="BQ141" s="1" t="s">
        <v>121</v>
      </c>
    </row>
    <row r="142" spans="1:69" ht="14.45" hidden="1" customHeight="1" x14ac:dyDescent="0.25">
      <c r="A142" s="72">
        <v>142</v>
      </c>
      <c r="B142" s="233" t="s">
        <v>343</v>
      </c>
      <c r="C142" s="150" t="s">
        <v>121</v>
      </c>
      <c r="D142" s="164" t="s">
        <v>121</v>
      </c>
      <c r="E142" s="151" t="s">
        <v>121</v>
      </c>
      <c r="F142" s="312" t="s">
        <v>121</v>
      </c>
      <c r="G142" s="312" t="s">
        <v>121</v>
      </c>
      <c r="H142" s="312" t="s">
        <v>121</v>
      </c>
      <c r="I142" s="312" t="s">
        <v>121</v>
      </c>
      <c r="J142" s="312" t="s">
        <v>121</v>
      </c>
      <c r="K142" s="312" t="s">
        <v>121</v>
      </c>
      <c r="L142" s="312" t="s">
        <v>121</v>
      </c>
      <c r="M142" s="312" t="s">
        <v>121</v>
      </c>
      <c r="N142" s="312" t="s">
        <v>121</v>
      </c>
      <c r="O142" s="312" t="s">
        <v>121</v>
      </c>
      <c r="P142" s="312" t="s">
        <v>121</v>
      </c>
      <c r="Q142" s="312" t="s">
        <v>121</v>
      </c>
      <c r="R142" s="406"/>
      <c r="S142" s="406"/>
      <c r="T142" s="406"/>
      <c r="U142" s="312" t="s">
        <v>121</v>
      </c>
      <c r="V142" s="312" t="s">
        <v>121</v>
      </c>
      <c r="W142" s="294" t="s">
        <v>121</v>
      </c>
      <c r="X142" s="294" t="s">
        <v>121</v>
      </c>
      <c r="Y142" s="294" t="s">
        <v>121</v>
      </c>
      <c r="Z142" s="294" t="s">
        <v>121</v>
      </c>
      <c r="AA142" s="212" t="s">
        <v>121</v>
      </c>
      <c r="AB142" s="212" t="s">
        <v>121</v>
      </c>
      <c r="AC142" s="212" t="s">
        <v>121</v>
      </c>
      <c r="AD142" s="212" t="s">
        <v>121</v>
      </c>
      <c r="AE142" s="212" t="s">
        <v>121</v>
      </c>
      <c r="AF142" s="212" t="s">
        <v>121</v>
      </c>
      <c r="AG142" s="212" t="s">
        <v>121</v>
      </c>
      <c r="AH142" s="212" t="s">
        <v>121</v>
      </c>
      <c r="AI142" s="1" t="s">
        <v>121</v>
      </c>
      <c r="AJ142" s="1" t="s">
        <v>121</v>
      </c>
      <c r="AK142" s="1" t="s">
        <v>121</v>
      </c>
      <c r="AL142" s="1" t="s">
        <v>121</v>
      </c>
      <c r="AM142" s="1" t="s">
        <v>121</v>
      </c>
      <c r="AN142" s="1" t="s">
        <v>121</v>
      </c>
      <c r="AO142" s="1" t="s">
        <v>121</v>
      </c>
      <c r="AP142" s="1" t="s">
        <v>121</v>
      </c>
      <c r="AQ142" s="1" t="s">
        <v>121</v>
      </c>
      <c r="AR142" s="1" t="s">
        <v>121</v>
      </c>
      <c r="AS142" s="1" t="s">
        <v>121</v>
      </c>
      <c r="AT142" s="1" t="s">
        <v>121</v>
      </c>
      <c r="AU142" s="1" t="s">
        <v>121</v>
      </c>
      <c r="AV142" s="1" t="s">
        <v>121</v>
      </c>
      <c r="AW142" s="1" t="s">
        <v>121</v>
      </c>
      <c r="AX142" s="1" t="s">
        <v>121</v>
      </c>
      <c r="AY142" s="1" t="s">
        <v>121</v>
      </c>
      <c r="AZ142" s="1" t="s">
        <v>121</v>
      </c>
      <c r="BA142" s="1" t="s">
        <v>121</v>
      </c>
      <c r="BB142" s="1" t="s">
        <v>121</v>
      </c>
      <c r="BC142" s="1" t="s">
        <v>121</v>
      </c>
      <c r="BD142" s="1" t="s">
        <v>121</v>
      </c>
      <c r="BE142" s="1" t="s">
        <v>121</v>
      </c>
      <c r="BF142" s="1" t="s">
        <v>121</v>
      </c>
      <c r="BG142" s="1" t="s">
        <v>121</v>
      </c>
      <c r="BH142" s="1" t="s">
        <v>121</v>
      </c>
      <c r="BI142" s="1" t="s">
        <v>121</v>
      </c>
      <c r="BJ142" s="1" t="s">
        <v>121</v>
      </c>
      <c r="BK142" s="1" t="s">
        <v>121</v>
      </c>
      <c r="BL142" s="1" t="s">
        <v>121</v>
      </c>
      <c r="BM142" s="1" t="s">
        <v>121</v>
      </c>
      <c r="BN142" s="1" t="s">
        <v>121</v>
      </c>
      <c r="BO142" s="1" t="s">
        <v>121</v>
      </c>
      <c r="BP142" s="1" t="s">
        <v>121</v>
      </c>
      <c r="BQ142" s="1" t="s">
        <v>121</v>
      </c>
    </row>
    <row r="143" spans="1:69" ht="14.45" hidden="1" customHeight="1" x14ac:dyDescent="0.25">
      <c r="A143" s="72">
        <v>143</v>
      </c>
      <c r="B143" s="231" t="s">
        <v>14</v>
      </c>
      <c r="C143" s="150" t="s">
        <v>121</v>
      </c>
      <c r="D143" s="164" t="s">
        <v>121</v>
      </c>
      <c r="E143" s="151" t="s">
        <v>121</v>
      </c>
      <c r="F143" s="244" t="s">
        <v>121</v>
      </c>
      <c r="G143" s="244" t="s">
        <v>121</v>
      </c>
      <c r="H143" s="244" t="s">
        <v>121</v>
      </c>
      <c r="I143" s="244" t="s">
        <v>121</v>
      </c>
      <c r="J143" s="244" t="s">
        <v>121</v>
      </c>
      <c r="K143" s="244" t="s">
        <v>121</v>
      </c>
      <c r="L143" s="244" t="s">
        <v>121</v>
      </c>
      <c r="M143" s="244" t="s">
        <v>121</v>
      </c>
      <c r="N143" s="244" t="s">
        <v>121</v>
      </c>
      <c r="O143" s="244" t="s">
        <v>121</v>
      </c>
      <c r="P143" s="244" t="s">
        <v>121</v>
      </c>
      <c r="Q143" s="244" t="s">
        <v>121</v>
      </c>
      <c r="R143" s="406"/>
      <c r="S143" s="406"/>
      <c r="T143" s="406"/>
      <c r="U143" s="244" t="s">
        <v>121</v>
      </c>
      <c r="V143" s="244" t="s">
        <v>121</v>
      </c>
      <c r="W143" s="250" t="s">
        <v>121</v>
      </c>
      <c r="X143" s="250" t="s">
        <v>121</v>
      </c>
      <c r="Y143" s="250" t="s">
        <v>121</v>
      </c>
      <c r="Z143" s="250" t="s">
        <v>121</v>
      </c>
      <c r="AA143" s="165" t="s">
        <v>121</v>
      </c>
      <c r="AB143" s="165" t="s">
        <v>121</v>
      </c>
      <c r="AC143" s="165" t="s">
        <v>121</v>
      </c>
      <c r="AD143" s="165" t="s">
        <v>121</v>
      </c>
      <c r="AE143" s="165" t="s">
        <v>121</v>
      </c>
      <c r="AF143" s="165" t="s">
        <v>121</v>
      </c>
      <c r="AG143" s="165" t="s">
        <v>121</v>
      </c>
      <c r="AH143" s="165" t="s">
        <v>121</v>
      </c>
      <c r="AI143" s="1" t="s">
        <v>121</v>
      </c>
      <c r="AJ143" s="1" t="s">
        <v>121</v>
      </c>
      <c r="AK143" s="1" t="s">
        <v>121</v>
      </c>
      <c r="AL143" s="1" t="s">
        <v>121</v>
      </c>
      <c r="AM143" s="1" t="s">
        <v>121</v>
      </c>
      <c r="AN143" s="1" t="s">
        <v>121</v>
      </c>
      <c r="AO143" s="1" t="s">
        <v>121</v>
      </c>
      <c r="AP143" s="1" t="s">
        <v>121</v>
      </c>
      <c r="AQ143" s="1" t="s">
        <v>121</v>
      </c>
      <c r="AR143" s="1" t="s">
        <v>121</v>
      </c>
      <c r="AS143" s="1" t="s">
        <v>121</v>
      </c>
      <c r="AT143" s="1" t="s">
        <v>121</v>
      </c>
      <c r="AU143" s="1" t="s">
        <v>121</v>
      </c>
      <c r="AV143" s="1" t="s">
        <v>121</v>
      </c>
      <c r="AW143" s="1" t="s">
        <v>121</v>
      </c>
      <c r="AX143" s="1" t="s">
        <v>121</v>
      </c>
      <c r="AY143" s="1" t="s">
        <v>121</v>
      </c>
      <c r="AZ143" s="1" t="s">
        <v>121</v>
      </c>
      <c r="BA143" s="1" t="s">
        <v>121</v>
      </c>
      <c r="BB143" s="1" t="s">
        <v>121</v>
      </c>
      <c r="BC143" s="1" t="s">
        <v>121</v>
      </c>
      <c r="BD143" s="1" t="s">
        <v>121</v>
      </c>
      <c r="BE143" s="1" t="s">
        <v>121</v>
      </c>
      <c r="BF143" s="1" t="s">
        <v>121</v>
      </c>
      <c r="BG143" s="1" t="s">
        <v>121</v>
      </c>
      <c r="BH143" s="1" t="s">
        <v>121</v>
      </c>
      <c r="BI143" s="1" t="s">
        <v>121</v>
      </c>
      <c r="BJ143" s="1" t="s">
        <v>121</v>
      </c>
      <c r="BK143" s="1" t="s">
        <v>121</v>
      </c>
      <c r="BL143" s="1" t="s">
        <v>121</v>
      </c>
      <c r="BM143" s="1" t="s">
        <v>121</v>
      </c>
      <c r="BN143" s="1" t="s">
        <v>121</v>
      </c>
      <c r="BO143" s="1" t="s">
        <v>121</v>
      </c>
      <c r="BP143" s="1" t="s">
        <v>121</v>
      </c>
      <c r="BQ143" s="1" t="s">
        <v>121</v>
      </c>
    </row>
    <row r="144" spans="1:69" ht="14.45" hidden="1" customHeight="1" x14ac:dyDescent="0.25">
      <c r="A144" s="72">
        <v>144</v>
      </c>
      <c r="B144" s="233" t="s">
        <v>344</v>
      </c>
      <c r="C144" s="150" t="s">
        <v>121</v>
      </c>
      <c r="D144" s="164" t="s">
        <v>121</v>
      </c>
      <c r="E144" s="151" t="s">
        <v>121</v>
      </c>
      <c r="F144" s="312" t="s">
        <v>121</v>
      </c>
      <c r="G144" s="312" t="s">
        <v>121</v>
      </c>
      <c r="H144" s="312" t="s">
        <v>121</v>
      </c>
      <c r="I144" s="312" t="s">
        <v>121</v>
      </c>
      <c r="J144" s="312" t="s">
        <v>121</v>
      </c>
      <c r="K144" s="312" t="s">
        <v>121</v>
      </c>
      <c r="L144" s="312" t="s">
        <v>121</v>
      </c>
      <c r="M144" s="312" t="s">
        <v>121</v>
      </c>
      <c r="N144" s="312" t="s">
        <v>121</v>
      </c>
      <c r="O144" s="312" t="s">
        <v>121</v>
      </c>
      <c r="P144" s="312" t="s">
        <v>121</v>
      </c>
      <c r="Q144" s="312" t="s">
        <v>121</v>
      </c>
      <c r="R144" s="406"/>
      <c r="S144" s="406"/>
      <c r="T144" s="406"/>
      <c r="U144" s="312" t="s">
        <v>121</v>
      </c>
      <c r="V144" s="312" t="s">
        <v>121</v>
      </c>
      <c r="W144" s="294" t="s">
        <v>121</v>
      </c>
      <c r="X144" s="294" t="s">
        <v>121</v>
      </c>
      <c r="Y144" s="294" t="s">
        <v>121</v>
      </c>
      <c r="Z144" s="294" t="s">
        <v>121</v>
      </c>
      <c r="AA144" s="212" t="s">
        <v>121</v>
      </c>
      <c r="AB144" s="212" t="s">
        <v>121</v>
      </c>
      <c r="AC144" s="212" t="s">
        <v>121</v>
      </c>
      <c r="AD144" s="212" t="s">
        <v>121</v>
      </c>
      <c r="AE144" s="212" t="s">
        <v>121</v>
      </c>
      <c r="AF144" s="212" t="s">
        <v>121</v>
      </c>
      <c r="AG144" s="212" t="s">
        <v>121</v>
      </c>
      <c r="AH144" s="212" t="s">
        <v>121</v>
      </c>
      <c r="AI144" s="1" t="s">
        <v>121</v>
      </c>
      <c r="AJ144" s="1" t="s">
        <v>121</v>
      </c>
      <c r="AK144" s="1" t="s">
        <v>121</v>
      </c>
      <c r="AL144" s="1" t="s">
        <v>121</v>
      </c>
      <c r="AM144" s="1" t="s">
        <v>121</v>
      </c>
      <c r="AN144" s="1" t="s">
        <v>121</v>
      </c>
      <c r="AO144" s="1" t="s">
        <v>121</v>
      </c>
      <c r="AP144" s="1" t="s">
        <v>121</v>
      </c>
      <c r="AQ144" s="1" t="s">
        <v>121</v>
      </c>
      <c r="AR144" s="1" t="s">
        <v>121</v>
      </c>
      <c r="AS144" s="1" t="s">
        <v>121</v>
      </c>
      <c r="AT144" s="1" t="s">
        <v>121</v>
      </c>
      <c r="AU144" s="1" t="s">
        <v>121</v>
      </c>
      <c r="AV144" s="1" t="s">
        <v>121</v>
      </c>
      <c r="AW144" s="1" t="s">
        <v>121</v>
      </c>
      <c r="AX144" s="1" t="s">
        <v>121</v>
      </c>
      <c r="AY144" s="1" t="s">
        <v>121</v>
      </c>
      <c r="AZ144" s="1" t="s">
        <v>121</v>
      </c>
      <c r="BA144" s="1" t="s">
        <v>121</v>
      </c>
      <c r="BB144" s="1" t="s">
        <v>121</v>
      </c>
      <c r="BC144" s="1" t="s">
        <v>121</v>
      </c>
      <c r="BD144" s="1" t="s">
        <v>121</v>
      </c>
      <c r="BE144" s="1" t="s">
        <v>121</v>
      </c>
      <c r="BF144" s="1" t="s">
        <v>121</v>
      </c>
      <c r="BG144" s="1" t="s">
        <v>121</v>
      </c>
      <c r="BH144" s="1" t="s">
        <v>121</v>
      </c>
      <c r="BI144" s="1" t="s">
        <v>121</v>
      </c>
      <c r="BJ144" s="1" t="s">
        <v>121</v>
      </c>
      <c r="BK144" s="1" t="s">
        <v>121</v>
      </c>
      <c r="BL144" s="1" t="s">
        <v>121</v>
      </c>
      <c r="BM144" s="1" t="s">
        <v>121</v>
      </c>
      <c r="BN144" s="1" t="s">
        <v>121</v>
      </c>
      <c r="BO144" s="1" t="s">
        <v>121</v>
      </c>
      <c r="BP144" s="1" t="s">
        <v>121</v>
      </c>
      <c r="BQ144" s="1" t="s">
        <v>121</v>
      </c>
    </row>
    <row r="145" spans="1:69" ht="14.45" hidden="1" customHeight="1" x14ac:dyDescent="0.25">
      <c r="A145" s="72">
        <v>145</v>
      </c>
      <c r="B145" s="232" t="s">
        <v>345</v>
      </c>
      <c r="C145" s="150" t="s">
        <v>121</v>
      </c>
      <c r="D145" s="164" t="s">
        <v>121</v>
      </c>
      <c r="E145" s="151" t="s">
        <v>121</v>
      </c>
      <c r="F145" s="326" t="s">
        <v>121</v>
      </c>
      <c r="G145" s="326" t="s">
        <v>121</v>
      </c>
      <c r="H145" s="326" t="s">
        <v>121</v>
      </c>
      <c r="I145" s="326" t="s">
        <v>121</v>
      </c>
      <c r="J145" s="326" t="s">
        <v>121</v>
      </c>
      <c r="K145" s="326" t="s">
        <v>121</v>
      </c>
      <c r="L145" s="326" t="s">
        <v>121</v>
      </c>
      <c r="M145" s="326" t="s">
        <v>121</v>
      </c>
      <c r="N145" s="326" t="s">
        <v>121</v>
      </c>
      <c r="O145" s="326" t="s">
        <v>121</v>
      </c>
      <c r="P145" s="326" t="s">
        <v>121</v>
      </c>
      <c r="Q145" s="326" t="s">
        <v>121</v>
      </c>
      <c r="R145" s="406"/>
      <c r="S145" s="406"/>
      <c r="T145" s="406"/>
      <c r="U145" s="326" t="s">
        <v>121</v>
      </c>
      <c r="V145" s="326" t="s">
        <v>121</v>
      </c>
      <c r="W145" s="275" t="s">
        <v>121</v>
      </c>
      <c r="X145" s="275" t="s">
        <v>121</v>
      </c>
      <c r="Y145" s="275" t="s">
        <v>121</v>
      </c>
      <c r="Z145" s="275" t="s">
        <v>121</v>
      </c>
      <c r="AA145" s="164" t="s">
        <v>121</v>
      </c>
      <c r="AB145" s="164" t="s">
        <v>121</v>
      </c>
      <c r="AC145" s="164" t="s">
        <v>121</v>
      </c>
      <c r="AD145" s="164" t="s">
        <v>121</v>
      </c>
      <c r="AE145" s="164" t="s">
        <v>121</v>
      </c>
      <c r="AF145" s="164" t="s">
        <v>121</v>
      </c>
      <c r="AG145" s="164" t="s">
        <v>121</v>
      </c>
      <c r="AH145" s="165" t="s">
        <v>121</v>
      </c>
      <c r="AI145" s="1" t="s">
        <v>121</v>
      </c>
      <c r="AJ145" s="1" t="s">
        <v>121</v>
      </c>
      <c r="AK145" s="1" t="s">
        <v>121</v>
      </c>
      <c r="AL145" s="1" t="s">
        <v>121</v>
      </c>
      <c r="AM145" s="1" t="s">
        <v>121</v>
      </c>
      <c r="AN145" s="1" t="s">
        <v>121</v>
      </c>
      <c r="AO145" s="1" t="s">
        <v>121</v>
      </c>
      <c r="AP145" s="1" t="s">
        <v>121</v>
      </c>
      <c r="AQ145" s="1" t="s">
        <v>121</v>
      </c>
      <c r="AR145" s="1" t="s">
        <v>121</v>
      </c>
      <c r="AS145" s="1" t="s">
        <v>121</v>
      </c>
      <c r="AT145" s="1" t="s">
        <v>121</v>
      </c>
      <c r="AU145" s="1" t="s">
        <v>121</v>
      </c>
      <c r="AV145" s="1" t="s">
        <v>121</v>
      </c>
      <c r="AW145" s="1" t="s">
        <v>121</v>
      </c>
      <c r="AX145" s="1" t="s">
        <v>121</v>
      </c>
      <c r="AY145" s="1" t="s">
        <v>121</v>
      </c>
      <c r="AZ145" s="1" t="s">
        <v>121</v>
      </c>
      <c r="BA145" s="1" t="s">
        <v>121</v>
      </c>
      <c r="BB145" s="1" t="s">
        <v>121</v>
      </c>
      <c r="BC145" s="1" t="s">
        <v>121</v>
      </c>
      <c r="BD145" s="1" t="s">
        <v>121</v>
      </c>
      <c r="BE145" s="1" t="s">
        <v>121</v>
      </c>
      <c r="BF145" s="1" t="s">
        <v>121</v>
      </c>
      <c r="BG145" s="1" t="s">
        <v>121</v>
      </c>
      <c r="BH145" s="1" t="s">
        <v>121</v>
      </c>
      <c r="BI145" s="1" t="s">
        <v>121</v>
      </c>
      <c r="BJ145" s="1" t="s">
        <v>121</v>
      </c>
      <c r="BK145" s="1" t="s">
        <v>121</v>
      </c>
      <c r="BL145" s="1" t="s">
        <v>121</v>
      </c>
      <c r="BM145" s="1" t="s">
        <v>121</v>
      </c>
      <c r="BN145" s="1" t="s">
        <v>121</v>
      </c>
      <c r="BO145" s="1" t="s">
        <v>121</v>
      </c>
      <c r="BP145" s="1" t="s">
        <v>121</v>
      </c>
      <c r="BQ145" s="1" t="s">
        <v>121</v>
      </c>
    </row>
    <row r="146" spans="1:69" ht="14.45" hidden="1" customHeight="1" x14ac:dyDescent="0.25">
      <c r="A146" s="72">
        <v>146</v>
      </c>
      <c r="B146" s="217" t="s">
        <v>353</v>
      </c>
      <c r="C146" s="150" t="s">
        <v>121</v>
      </c>
      <c r="D146" s="164" t="s">
        <v>121</v>
      </c>
      <c r="E146" s="151" t="s">
        <v>121</v>
      </c>
      <c r="F146" s="244" t="s">
        <v>121</v>
      </c>
      <c r="G146" s="244" t="s">
        <v>121</v>
      </c>
      <c r="H146" s="244" t="s">
        <v>121</v>
      </c>
      <c r="I146" s="244" t="s">
        <v>121</v>
      </c>
      <c r="J146" s="244" t="s">
        <v>121</v>
      </c>
      <c r="K146" s="244" t="s">
        <v>121</v>
      </c>
      <c r="L146" s="244" t="s">
        <v>121</v>
      </c>
      <c r="M146" s="244" t="s">
        <v>121</v>
      </c>
      <c r="N146" s="244" t="s">
        <v>121</v>
      </c>
      <c r="O146" s="244" t="s">
        <v>121</v>
      </c>
      <c r="P146" s="244" t="s">
        <v>121</v>
      </c>
      <c r="Q146" s="244" t="s">
        <v>121</v>
      </c>
      <c r="R146" s="406"/>
      <c r="S146" s="406"/>
      <c r="T146" s="406"/>
      <c r="U146" s="244" t="s">
        <v>121</v>
      </c>
      <c r="V146" s="244" t="s">
        <v>121</v>
      </c>
      <c r="W146" s="250" t="s">
        <v>121</v>
      </c>
      <c r="X146" s="250" t="s">
        <v>121</v>
      </c>
      <c r="Y146" s="250" t="s">
        <v>121</v>
      </c>
      <c r="Z146" s="250" t="s">
        <v>121</v>
      </c>
      <c r="AA146" s="165" t="s">
        <v>121</v>
      </c>
      <c r="AB146" s="165" t="s">
        <v>121</v>
      </c>
      <c r="AC146" s="165" t="s">
        <v>121</v>
      </c>
      <c r="AD146" s="165" t="s">
        <v>121</v>
      </c>
      <c r="AE146" s="165" t="s">
        <v>121</v>
      </c>
      <c r="AF146" s="165" t="s">
        <v>121</v>
      </c>
      <c r="AG146" s="165" t="s">
        <v>121</v>
      </c>
      <c r="AH146" s="165" t="s">
        <v>121</v>
      </c>
      <c r="AI146" s="1" t="s">
        <v>121</v>
      </c>
      <c r="AJ146" s="1" t="s">
        <v>121</v>
      </c>
      <c r="AK146" s="1" t="s">
        <v>121</v>
      </c>
      <c r="AL146" s="1" t="s">
        <v>121</v>
      </c>
      <c r="AM146" s="1" t="s">
        <v>121</v>
      </c>
      <c r="AN146" s="1" t="s">
        <v>121</v>
      </c>
      <c r="AO146" s="1" t="s">
        <v>121</v>
      </c>
      <c r="AP146" s="1" t="s">
        <v>121</v>
      </c>
      <c r="AQ146" s="1" t="s">
        <v>121</v>
      </c>
      <c r="AR146" s="1" t="s">
        <v>121</v>
      </c>
      <c r="AS146" s="1" t="s">
        <v>121</v>
      </c>
      <c r="AT146" s="1" t="s">
        <v>121</v>
      </c>
      <c r="AU146" s="1" t="s">
        <v>121</v>
      </c>
      <c r="AV146" s="1" t="s">
        <v>121</v>
      </c>
      <c r="AW146" s="1" t="s">
        <v>121</v>
      </c>
      <c r="AX146" s="1" t="s">
        <v>121</v>
      </c>
      <c r="AY146" s="1" t="s">
        <v>121</v>
      </c>
      <c r="AZ146" s="1" t="s">
        <v>121</v>
      </c>
      <c r="BA146" s="1" t="s">
        <v>121</v>
      </c>
      <c r="BB146" s="1" t="s">
        <v>121</v>
      </c>
      <c r="BC146" s="1" t="s">
        <v>121</v>
      </c>
      <c r="BD146" s="1" t="s">
        <v>121</v>
      </c>
      <c r="BE146" s="1" t="s">
        <v>121</v>
      </c>
      <c r="BF146" s="1" t="s">
        <v>121</v>
      </c>
      <c r="BG146" s="1" t="s">
        <v>121</v>
      </c>
      <c r="BH146" s="1" t="s">
        <v>121</v>
      </c>
      <c r="BI146" s="1" t="s">
        <v>121</v>
      </c>
      <c r="BJ146" s="1" t="s">
        <v>121</v>
      </c>
      <c r="BK146" s="1" t="s">
        <v>121</v>
      </c>
      <c r="BL146" s="1" t="s">
        <v>121</v>
      </c>
      <c r="BM146" s="1" t="s">
        <v>121</v>
      </c>
      <c r="BN146" s="1" t="s">
        <v>121</v>
      </c>
      <c r="BO146" s="1" t="s">
        <v>121</v>
      </c>
      <c r="BP146" s="1" t="s">
        <v>121</v>
      </c>
      <c r="BQ146" s="1" t="s">
        <v>121</v>
      </c>
    </row>
    <row r="147" spans="1:69" ht="14.45" hidden="1" customHeight="1" x14ac:dyDescent="0.25">
      <c r="A147" s="72">
        <v>147</v>
      </c>
      <c r="B147" s="217" t="s">
        <v>354</v>
      </c>
      <c r="C147" s="150" t="s">
        <v>121</v>
      </c>
      <c r="D147" s="164" t="s">
        <v>121</v>
      </c>
      <c r="E147" s="151" t="s">
        <v>121</v>
      </c>
      <c r="F147" s="244" t="s">
        <v>121</v>
      </c>
      <c r="G147" s="244" t="s">
        <v>121</v>
      </c>
      <c r="H147" s="244" t="s">
        <v>121</v>
      </c>
      <c r="I147" s="244" t="s">
        <v>121</v>
      </c>
      <c r="J147" s="244" t="s">
        <v>121</v>
      </c>
      <c r="K147" s="244" t="s">
        <v>121</v>
      </c>
      <c r="L147" s="244" t="s">
        <v>121</v>
      </c>
      <c r="M147" s="244" t="s">
        <v>121</v>
      </c>
      <c r="N147" s="244" t="s">
        <v>121</v>
      </c>
      <c r="O147" s="244" t="s">
        <v>121</v>
      </c>
      <c r="P147" s="244" t="s">
        <v>121</v>
      </c>
      <c r="Q147" s="244" t="s">
        <v>121</v>
      </c>
      <c r="R147" s="406"/>
      <c r="S147" s="406"/>
      <c r="T147" s="406"/>
      <c r="U147" s="244" t="s">
        <v>121</v>
      </c>
      <c r="V147" s="244" t="s">
        <v>121</v>
      </c>
      <c r="W147" s="250" t="s">
        <v>121</v>
      </c>
      <c r="X147" s="250" t="s">
        <v>121</v>
      </c>
      <c r="Y147" s="250" t="s">
        <v>121</v>
      </c>
      <c r="Z147" s="250" t="s">
        <v>121</v>
      </c>
      <c r="AA147" s="165" t="s">
        <v>121</v>
      </c>
      <c r="AB147" s="165" t="s">
        <v>121</v>
      </c>
      <c r="AC147" s="165" t="s">
        <v>121</v>
      </c>
      <c r="AD147" s="165" t="s">
        <v>121</v>
      </c>
      <c r="AE147" s="165" t="s">
        <v>121</v>
      </c>
      <c r="AF147" s="165" t="s">
        <v>121</v>
      </c>
      <c r="AG147" s="165" t="s">
        <v>121</v>
      </c>
      <c r="AH147" s="245" t="s">
        <v>121</v>
      </c>
      <c r="AI147" s="1" t="s">
        <v>121</v>
      </c>
      <c r="AJ147" s="1" t="s">
        <v>121</v>
      </c>
      <c r="AK147" s="1" t="s">
        <v>121</v>
      </c>
      <c r="AL147" s="1" t="s">
        <v>121</v>
      </c>
      <c r="AM147" s="1" t="s">
        <v>121</v>
      </c>
      <c r="AN147" s="1" t="s">
        <v>121</v>
      </c>
      <c r="AO147" s="1" t="s">
        <v>121</v>
      </c>
      <c r="AP147" s="1" t="s">
        <v>121</v>
      </c>
      <c r="AQ147" s="1" t="s">
        <v>121</v>
      </c>
      <c r="AR147" s="1" t="s">
        <v>121</v>
      </c>
      <c r="AS147" s="1" t="s">
        <v>121</v>
      </c>
      <c r="AT147" s="1" t="s">
        <v>121</v>
      </c>
      <c r="AU147" s="1" t="s">
        <v>121</v>
      </c>
      <c r="AV147" s="1" t="s">
        <v>121</v>
      </c>
      <c r="AW147" s="1" t="s">
        <v>121</v>
      </c>
      <c r="AX147" s="1" t="s">
        <v>121</v>
      </c>
      <c r="AY147" s="1" t="s">
        <v>121</v>
      </c>
      <c r="AZ147" s="1" t="s">
        <v>121</v>
      </c>
      <c r="BA147" s="1" t="s">
        <v>121</v>
      </c>
      <c r="BB147" s="1" t="s">
        <v>121</v>
      </c>
      <c r="BC147" s="1" t="s">
        <v>121</v>
      </c>
      <c r="BD147" s="1" t="s">
        <v>121</v>
      </c>
      <c r="BE147" s="1" t="s">
        <v>121</v>
      </c>
      <c r="BF147" s="1" t="s">
        <v>121</v>
      </c>
      <c r="BG147" s="1" t="s">
        <v>121</v>
      </c>
      <c r="BH147" s="1" t="s">
        <v>121</v>
      </c>
      <c r="BI147" s="1" t="s">
        <v>121</v>
      </c>
      <c r="BJ147" s="1" t="s">
        <v>121</v>
      </c>
      <c r="BK147" s="1" t="s">
        <v>121</v>
      </c>
      <c r="BL147" s="1" t="s">
        <v>121</v>
      </c>
      <c r="BM147" s="1" t="s">
        <v>121</v>
      </c>
      <c r="BN147" s="1" t="s">
        <v>121</v>
      </c>
      <c r="BO147" s="1" t="s">
        <v>121</v>
      </c>
      <c r="BP147" s="1" t="s">
        <v>121</v>
      </c>
      <c r="BQ147" s="1" t="s">
        <v>121</v>
      </c>
    </row>
    <row r="148" spans="1:69" ht="14.45" hidden="1" customHeight="1" x14ac:dyDescent="0.25">
      <c r="A148" s="72">
        <v>148</v>
      </c>
      <c r="B148" s="217" t="s">
        <v>355</v>
      </c>
      <c r="C148" s="150" t="s">
        <v>121</v>
      </c>
      <c r="D148" s="164" t="s">
        <v>121</v>
      </c>
      <c r="E148" s="151" t="s">
        <v>121</v>
      </c>
      <c r="F148" s="244" t="s">
        <v>121</v>
      </c>
      <c r="G148" s="244" t="s">
        <v>121</v>
      </c>
      <c r="H148" s="244" t="s">
        <v>121</v>
      </c>
      <c r="I148" s="244" t="s">
        <v>121</v>
      </c>
      <c r="J148" s="244" t="s">
        <v>121</v>
      </c>
      <c r="K148" s="244" t="s">
        <v>121</v>
      </c>
      <c r="L148" s="244" t="s">
        <v>121</v>
      </c>
      <c r="M148" s="244" t="s">
        <v>121</v>
      </c>
      <c r="N148" s="244" t="s">
        <v>121</v>
      </c>
      <c r="O148" s="244" t="s">
        <v>121</v>
      </c>
      <c r="P148" s="244" t="s">
        <v>121</v>
      </c>
      <c r="Q148" s="244" t="s">
        <v>121</v>
      </c>
      <c r="R148" s="406"/>
      <c r="S148" s="406"/>
      <c r="T148" s="406"/>
      <c r="U148" s="244" t="s">
        <v>121</v>
      </c>
      <c r="V148" s="244" t="s">
        <v>121</v>
      </c>
      <c r="W148" s="250" t="s">
        <v>121</v>
      </c>
      <c r="X148" s="250" t="s">
        <v>121</v>
      </c>
      <c r="Y148" s="250" t="s">
        <v>121</v>
      </c>
      <c r="Z148" s="250" t="s">
        <v>121</v>
      </c>
      <c r="AA148" s="250" t="s">
        <v>121</v>
      </c>
      <c r="AB148" s="250" t="s">
        <v>121</v>
      </c>
      <c r="AC148" s="250" t="s">
        <v>121</v>
      </c>
      <c r="AD148" s="250" t="s">
        <v>121</v>
      </c>
      <c r="AE148" s="250" t="s">
        <v>121</v>
      </c>
      <c r="AF148" s="250" t="s">
        <v>121</v>
      </c>
      <c r="AG148" s="250" t="s">
        <v>121</v>
      </c>
      <c r="AH148" s="165" t="s">
        <v>121</v>
      </c>
      <c r="AI148" s="1" t="s">
        <v>121</v>
      </c>
      <c r="AJ148" s="1" t="s">
        <v>121</v>
      </c>
      <c r="AK148" s="1" t="s">
        <v>121</v>
      </c>
      <c r="AL148" s="1" t="s">
        <v>121</v>
      </c>
      <c r="AM148" s="1" t="s">
        <v>121</v>
      </c>
      <c r="AN148" s="1" t="s">
        <v>121</v>
      </c>
      <c r="AO148" s="1" t="s">
        <v>121</v>
      </c>
      <c r="AP148" s="1" t="s">
        <v>121</v>
      </c>
      <c r="AQ148" s="1" t="s">
        <v>121</v>
      </c>
      <c r="AR148" s="1" t="s">
        <v>121</v>
      </c>
      <c r="AS148" s="1" t="s">
        <v>121</v>
      </c>
      <c r="AT148" s="1" t="s">
        <v>121</v>
      </c>
      <c r="AU148" s="1" t="s">
        <v>121</v>
      </c>
      <c r="AV148" s="1" t="s">
        <v>121</v>
      </c>
      <c r="AW148" s="1" t="s">
        <v>121</v>
      </c>
      <c r="AX148" s="1" t="s">
        <v>121</v>
      </c>
      <c r="AY148" s="1" t="s">
        <v>121</v>
      </c>
      <c r="AZ148" s="1" t="s">
        <v>121</v>
      </c>
      <c r="BA148" s="1" t="s">
        <v>121</v>
      </c>
      <c r="BB148" s="1" t="s">
        <v>121</v>
      </c>
      <c r="BC148" s="1" t="s">
        <v>121</v>
      </c>
      <c r="BD148" s="1" t="s">
        <v>121</v>
      </c>
      <c r="BE148" s="1" t="s">
        <v>121</v>
      </c>
      <c r="BF148" s="1" t="s">
        <v>121</v>
      </c>
      <c r="BG148" s="1" t="s">
        <v>121</v>
      </c>
      <c r="BH148" s="1" t="s">
        <v>121</v>
      </c>
      <c r="BI148" s="1" t="s">
        <v>121</v>
      </c>
      <c r="BJ148" s="1" t="s">
        <v>121</v>
      </c>
      <c r="BK148" s="1" t="s">
        <v>121</v>
      </c>
      <c r="BL148" s="1" t="s">
        <v>121</v>
      </c>
      <c r="BM148" s="1" t="s">
        <v>121</v>
      </c>
      <c r="BN148" s="1" t="s">
        <v>121</v>
      </c>
      <c r="BO148" s="1" t="s">
        <v>121</v>
      </c>
      <c r="BP148" s="1" t="s">
        <v>121</v>
      </c>
      <c r="BQ148" s="1" t="s">
        <v>121</v>
      </c>
    </row>
    <row r="149" spans="1:69" ht="14.45" hidden="1" customHeight="1" x14ac:dyDescent="0.25">
      <c r="A149" s="72">
        <v>149</v>
      </c>
      <c r="B149" s="233" t="s">
        <v>346</v>
      </c>
      <c r="C149" s="150" t="s">
        <v>121</v>
      </c>
      <c r="D149" s="164" t="s">
        <v>121</v>
      </c>
      <c r="E149" s="151" t="s">
        <v>121</v>
      </c>
      <c r="F149" s="312" t="s">
        <v>121</v>
      </c>
      <c r="G149" s="312" t="s">
        <v>121</v>
      </c>
      <c r="H149" s="312" t="s">
        <v>121</v>
      </c>
      <c r="I149" s="312" t="s">
        <v>121</v>
      </c>
      <c r="J149" s="312" t="s">
        <v>121</v>
      </c>
      <c r="K149" s="312" t="s">
        <v>121</v>
      </c>
      <c r="L149" s="312" t="s">
        <v>121</v>
      </c>
      <c r="M149" s="312" t="s">
        <v>121</v>
      </c>
      <c r="N149" s="312" t="s">
        <v>121</v>
      </c>
      <c r="O149" s="312" t="s">
        <v>121</v>
      </c>
      <c r="P149" s="312" t="s">
        <v>121</v>
      </c>
      <c r="Q149" s="312" t="s">
        <v>121</v>
      </c>
      <c r="R149" s="406"/>
      <c r="S149" s="406"/>
      <c r="T149" s="406"/>
      <c r="U149" s="312" t="s">
        <v>121</v>
      </c>
      <c r="V149" s="312" t="s">
        <v>121</v>
      </c>
      <c r="W149" s="294" t="s">
        <v>121</v>
      </c>
      <c r="X149" s="294" t="s">
        <v>121</v>
      </c>
      <c r="Y149" s="294" t="s">
        <v>121</v>
      </c>
      <c r="Z149" s="294" t="s">
        <v>121</v>
      </c>
      <c r="AA149" s="212" t="s">
        <v>121</v>
      </c>
      <c r="AB149" s="212" t="s">
        <v>121</v>
      </c>
      <c r="AC149" s="212" t="s">
        <v>121</v>
      </c>
      <c r="AD149" s="212" t="s">
        <v>121</v>
      </c>
      <c r="AE149" s="212" t="s">
        <v>121</v>
      </c>
      <c r="AF149" s="212" t="s">
        <v>121</v>
      </c>
      <c r="AG149" s="212" t="s">
        <v>121</v>
      </c>
      <c r="AH149" s="212" t="s">
        <v>121</v>
      </c>
      <c r="AI149" s="1" t="s">
        <v>121</v>
      </c>
      <c r="AJ149" s="1" t="s">
        <v>121</v>
      </c>
      <c r="AK149" s="1" t="s">
        <v>121</v>
      </c>
      <c r="AL149" s="1" t="s">
        <v>121</v>
      </c>
      <c r="AM149" s="1" t="s">
        <v>121</v>
      </c>
      <c r="AN149" s="1" t="s">
        <v>121</v>
      </c>
      <c r="AO149" s="1" t="s">
        <v>121</v>
      </c>
      <c r="AP149" s="1" t="s">
        <v>121</v>
      </c>
      <c r="AQ149" s="1" t="s">
        <v>121</v>
      </c>
      <c r="AR149" s="1" t="s">
        <v>121</v>
      </c>
      <c r="AS149" s="1" t="s">
        <v>121</v>
      </c>
      <c r="AT149" s="1" t="s">
        <v>121</v>
      </c>
      <c r="AU149" s="1" t="s">
        <v>121</v>
      </c>
      <c r="AV149" s="1" t="s">
        <v>121</v>
      </c>
      <c r="AW149" s="1" t="s">
        <v>121</v>
      </c>
      <c r="AX149" s="1" t="s">
        <v>121</v>
      </c>
      <c r="AY149" s="1" t="s">
        <v>121</v>
      </c>
      <c r="AZ149" s="1" t="s">
        <v>121</v>
      </c>
      <c r="BA149" s="1" t="s">
        <v>121</v>
      </c>
      <c r="BB149" s="1" t="s">
        <v>121</v>
      </c>
      <c r="BC149" s="1" t="s">
        <v>121</v>
      </c>
      <c r="BD149" s="1" t="s">
        <v>121</v>
      </c>
      <c r="BE149" s="1" t="s">
        <v>121</v>
      </c>
      <c r="BF149" s="1" t="s">
        <v>121</v>
      </c>
      <c r="BG149" s="1" t="s">
        <v>121</v>
      </c>
      <c r="BH149" s="1" t="s">
        <v>121</v>
      </c>
      <c r="BI149" s="1" t="s">
        <v>121</v>
      </c>
      <c r="BJ149" s="1" t="s">
        <v>121</v>
      </c>
      <c r="BK149" s="1" t="s">
        <v>121</v>
      </c>
      <c r="BL149" s="1" t="s">
        <v>121</v>
      </c>
      <c r="BM149" s="1" t="s">
        <v>121</v>
      </c>
      <c r="BN149" s="1" t="s">
        <v>121</v>
      </c>
      <c r="BO149" s="1" t="s">
        <v>121</v>
      </c>
      <c r="BP149" s="1" t="s">
        <v>121</v>
      </c>
      <c r="BQ149" s="1" t="s">
        <v>121</v>
      </c>
    </row>
    <row r="150" spans="1:69" ht="14.45" hidden="1" customHeight="1" x14ac:dyDescent="0.25">
      <c r="A150" s="72">
        <v>150</v>
      </c>
      <c r="B150" s="231" t="s">
        <v>14</v>
      </c>
      <c r="C150" s="150" t="s">
        <v>121</v>
      </c>
      <c r="D150" s="164" t="s">
        <v>121</v>
      </c>
      <c r="E150" s="151" t="s">
        <v>121</v>
      </c>
      <c r="F150" s="244" t="s">
        <v>121</v>
      </c>
      <c r="G150" s="244" t="s">
        <v>121</v>
      </c>
      <c r="H150" s="244" t="s">
        <v>121</v>
      </c>
      <c r="I150" s="244" t="s">
        <v>121</v>
      </c>
      <c r="J150" s="244" t="s">
        <v>121</v>
      </c>
      <c r="K150" s="244" t="s">
        <v>121</v>
      </c>
      <c r="L150" s="244" t="s">
        <v>121</v>
      </c>
      <c r="M150" s="244" t="s">
        <v>121</v>
      </c>
      <c r="N150" s="244" t="s">
        <v>121</v>
      </c>
      <c r="O150" s="244" t="s">
        <v>121</v>
      </c>
      <c r="P150" s="244" t="s">
        <v>121</v>
      </c>
      <c r="Q150" s="244" t="s">
        <v>121</v>
      </c>
      <c r="R150" s="406"/>
      <c r="S150" s="406"/>
      <c r="T150" s="406"/>
      <c r="U150" s="244" t="s">
        <v>121</v>
      </c>
      <c r="V150" s="244" t="s">
        <v>121</v>
      </c>
      <c r="W150" s="250" t="s">
        <v>121</v>
      </c>
      <c r="X150" s="250" t="s">
        <v>121</v>
      </c>
      <c r="Y150" s="250" t="s">
        <v>121</v>
      </c>
      <c r="Z150" s="250" t="s">
        <v>121</v>
      </c>
      <c r="AA150" s="165" t="s">
        <v>121</v>
      </c>
      <c r="AB150" s="165" t="s">
        <v>121</v>
      </c>
      <c r="AC150" s="165" t="s">
        <v>121</v>
      </c>
      <c r="AD150" s="165" t="s">
        <v>121</v>
      </c>
      <c r="AE150" s="165" t="s">
        <v>121</v>
      </c>
      <c r="AF150" s="165" t="s">
        <v>121</v>
      </c>
      <c r="AG150" s="165" t="s">
        <v>121</v>
      </c>
      <c r="AH150" s="165" t="s">
        <v>121</v>
      </c>
      <c r="AI150" s="1" t="s">
        <v>121</v>
      </c>
      <c r="AJ150" s="1" t="s">
        <v>121</v>
      </c>
      <c r="AK150" s="1" t="s">
        <v>121</v>
      </c>
      <c r="AL150" s="1" t="s">
        <v>121</v>
      </c>
      <c r="AM150" s="1" t="s">
        <v>121</v>
      </c>
      <c r="AN150" s="1" t="s">
        <v>121</v>
      </c>
      <c r="AO150" s="1" t="s">
        <v>121</v>
      </c>
      <c r="AP150" s="1" t="s">
        <v>121</v>
      </c>
      <c r="AQ150" s="1" t="s">
        <v>121</v>
      </c>
      <c r="AR150" s="1" t="s">
        <v>121</v>
      </c>
      <c r="AS150" s="1" t="s">
        <v>121</v>
      </c>
      <c r="AT150" s="1" t="s">
        <v>121</v>
      </c>
      <c r="AU150" s="1" t="s">
        <v>121</v>
      </c>
      <c r="AV150" s="1" t="s">
        <v>121</v>
      </c>
      <c r="AW150" s="1" t="s">
        <v>121</v>
      </c>
      <c r="AX150" s="1" t="s">
        <v>121</v>
      </c>
      <c r="AY150" s="1" t="s">
        <v>121</v>
      </c>
      <c r="AZ150" s="1" t="s">
        <v>121</v>
      </c>
      <c r="BA150" s="1" t="s">
        <v>121</v>
      </c>
      <c r="BB150" s="1" t="s">
        <v>121</v>
      </c>
      <c r="BC150" s="1" t="s">
        <v>121</v>
      </c>
      <c r="BD150" s="1" t="s">
        <v>121</v>
      </c>
      <c r="BE150" s="1" t="s">
        <v>121</v>
      </c>
      <c r="BF150" s="1" t="s">
        <v>121</v>
      </c>
      <c r="BG150" s="1" t="s">
        <v>121</v>
      </c>
      <c r="BH150" s="1" t="s">
        <v>121</v>
      </c>
      <c r="BI150" s="1" t="s">
        <v>121</v>
      </c>
      <c r="BJ150" s="1" t="s">
        <v>121</v>
      </c>
      <c r="BK150" s="1" t="s">
        <v>121</v>
      </c>
      <c r="BL150" s="1" t="s">
        <v>121</v>
      </c>
      <c r="BM150" s="1" t="s">
        <v>121</v>
      </c>
      <c r="BN150" s="1" t="s">
        <v>121</v>
      </c>
      <c r="BO150" s="1" t="s">
        <v>121</v>
      </c>
      <c r="BP150" s="1" t="s">
        <v>121</v>
      </c>
      <c r="BQ150" s="1" t="s">
        <v>121</v>
      </c>
    </row>
    <row r="151" spans="1:69" ht="21" hidden="1" customHeight="1" x14ac:dyDescent="0.25">
      <c r="A151" s="72">
        <v>151</v>
      </c>
      <c r="B151" s="233" t="s">
        <v>347</v>
      </c>
      <c r="C151" s="150" t="s">
        <v>121</v>
      </c>
      <c r="D151" s="164" t="s">
        <v>121</v>
      </c>
      <c r="E151" s="151" t="s">
        <v>121</v>
      </c>
      <c r="F151" s="312" t="s">
        <v>121</v>
      </c>
      <c r="G151" s="312" t="s">
        <v>121</v>
      </c>
      <c r="H151" s="312" t="s">
        <v>121</v>
      </c>
      <c r="I151" s="312" t="s">
        <v>121</v>
      </c>
      <c r="J151" s="312" t="s">
        <v>121</v>
      </c>
      <c r="K151" s="312" t="s">
        <v>121</v>
      </c>
      <c r="L151" s="312" t="s">
        <v>121</v>
      </c>
      <c r="M151" s="312" t="s">
        <v>121</v>
      </c>
      <c r="N151" s="312" t="s">
        <v>121</v>
      </c>
      <c r="O151" s="312" t="s">
        <v>121</v>
      </c>
      <c r="P151" s="312" t="s">
        <v>121</v>
      </c>
      <c r="Q151" s="312" t="s">
        <v>121</v>
      </c>
      <c r="R151" s="406"/>
      <c r="S151" s="406"/>
      <c r="T151" s="406"/>
      <c r="U151" s="312" t="s">
        <v>121</v>
      </c>
      <c r="V151" s="312" t="s">
        <v>121</v>
      </c>
      <c r="W151" s="294" t="s">
        <v>121</v>
      </c>
      <c r="X151" s="294" t="s">
        <v>121</v>
      </c>
      <c r="Y151" s="294" t="s">
        <v>121</v>
      </c>
      <c r="Z151" s="294" t="s">
        <v>121</v>
      </c>
      <c r="AA151" s="212" t="s">
        <v>121</v>
      </c>
      <c r="AB151" s="212" t="s">
        <v>121</v>
      </c>
      <c r="AC151" s="212" t="s">
        <v>121</v>
      </c>
      <c r="AD151" s="212" t="s">
        <v>121</v>
      </c>
      <c r="AE151" s="212" t="s">
        <v>121</v>
      </c>
      <c r="AF151" s="212" t="s">
        <v>121</v>
      </c>
      <c r="AG151" s="212" t="s">
        <v>121</v>
      </c>
      <c r="AH151" s="212" t="s">
        <v>121</v>
      </c>
      <c r="AI151" s="1" t="s">
        <v>121</v>
      </c>
      <c r="AJ151" s="1" t="s">
        <v>121</v>
      </c>
      <c r="AK151" s="1" t="s">
        <v>121</v>
      </c>
      <c r="AL151" s="1" t="s">
        <v>121</v>
      </c>
      <c r="AM151" s="1" t="s">
        <v>121</v>
      </c>
      <c r="AN151" s="1" t="s">
        <v>121</v>
      </c>
      <c r="AO151" s="1" t="s">
        <v>121</v>
      </c>
      <c r="AP151" s="1" t="s">
        <v>121</v>
      </c>
      <c r="AQ151" s="1" t="s">
        <v>121</v>
      </c>
      <c r="AR151" s="1" t="s">
        <v>121</v>
      </c>
      <c r="AS151" s="1" t="s">
        <v>121</v>
      </c>
      <c r="AT151" s="1" t="s">
        <v>121</v>
      </c>
      <c r="AU151" s="1" t="s">
        <v>121</v>
      </c>
      <c r="AV151" s="1" t="s">
        <v>121</v>
      </c>
      <c r="AW151" s="1" t="s">
        <v>121</v>
      </c>
      <c r="AX151" s="1" t="s">
        <v>121</v>
      </c>
      <c r="AY151" s="1" t="s">
        <v>121</v>
      </c>
      <c r="AZ151" s="1" t="s">
        <v>121</v>
      </c>
      <c r="BA151" s="1" t="s">
        <v>121</v>
      </c>
      <c r="BB151" s="1" t="s">
        <v>121</v>
      </c>
      <c r="BC151" s="1" t="s">
        <v>121</v>
      </c>
      <c r="BD151" s="1" t="s">
        <v>121</v>
      </c>
      <c r="BE151" s="1" t="s">
        <v>121</v>
      </c>
      <c r="BF151" s="1" t="s">
        <v>121</v>
      </c>
      <c r="BG151" s="1" t="s">
        <v>121</v>
      </c>
      <c r="BH151" s="1" t="s">
        <v>121</v>
      </c>
      <c r="BI151" s="1" t="s">
        <v>121</v>
      </c>
      <c r="BJ151" s="1" t="s">
        <v>121</v>
      </c>
      <c r="BK151" s="1" t="s">
        <v>121</v>
      </c>
      <c r="BL151" s="1" t="s">
        <v>121</v>
      </c>
      <c r="BM151" s="1" t="s">
        <v>121</v>
      </c>
      <c r="BN151" s="1" t="s">
        <v>121</v>
      </c>
      <c r="BO151" s="1" t="s">
        <v>121</v>
      </c>
      <c r="BP151" s="1" t="s">
        <v>121</v>
      </c>
      <c r="BQ151" s="1" t="s">
        <v>121</v>
      </c>
    </row>
    <row r="152" spans="1:69" ht="14.45" hidden="1" customHeight="1" x14ac:dyDescent="0.25">
      <c r="A152" s="72">
        <v>152</v>
      </c>
      <c r="B152" s="218" t="s">
        <v>359</v>
      </c>
      <c r="C152" s="182" t="s">
        <v>121</v>
      </c>
      <c r="D152" s="179" t="s">
        <v>121</v>
      </c>
      <c r="E152" s="234" t="s">
        <v>121</v>
      </c>
      <c r="F152" s="312" t="s">
        <v>121</v>
      </c>
      <c r="G152" s="312" t="s">
        <v>121</v>
      </c>
      <c r="H152" s="312" t="s">
        <v>121</v>
      </c>
      <c r="I152" s="312" t="s">
        <v>121</v>
      </c>
      <c r="J152" s="312" t="s">
        <v>121</v>
      </c>
      <c r="K152" s="312" t="s">
        <v>121</v>
      </c>
      <c r="L152" s="312" t="s">
        <v>121</v>
      </c>
      <c r="M152" s="312" t="s">
        <v>121</v>
      </c>
      <c r="N152" s="312" t="s">
        <v>121</v>
      </c>
      <c r="O152" s="312" t="s">
        <v>121</v>
      </c>
      <c r="P152" s="312" t="s">
        <v>121</v>
      </c>
      <c r="Q152" s="312" t="s">
        <v>121</v>
      </c>
      <c r="R152" s="406"/>
      <c r="S152" s="406"/>
      <c r="T152" s="406"/>
      <c r="U152" s="312" t="s">
        <v>121</v>
      </c>
      <c r="V152" s="312" t="s">
        <v>121</v>
      </c>
      <c r="W152" s="294" t="s">
        <v>121</v>
      </c>
      <c r="X152" s="294" t="s">
        <v>121</v>
      </c>
      <c r="Y152" s="294" t="s">
        <v>121</v>
      </c>
      <c r="Z152" s="294" t="s">
        <v>121</v>
      </c>
      <c r="AA152" s="212" t="s">
        <v>121</v>
      </c>
      <c r="AB152" s="212" t="s">
        <v>121</v>
      </c>
      <c r="AC152" s="212" t="s">
        <v>121</v>
      </c>
      <c r="AD152" s="212" t="s">
        <v>121</v>
      </c>
      <c r="AE152" s="212" t="s">
        <v>121</v>
      </c>
      <c r="AF152" s="212" t="s">
        <v>121</v>
      </c>
      <c r="AG152" s="212" t="s">
        <v>121</v>
      </c>
      <c r="AH152" s="212" t="s">
        <v>121</v>
      </c>
      <c r="AI152" s="1" t="s">
        <v>121</v>
      </c>
      <c r="AJ152" s="1" t="s">
        <v>121</v>
      </c>
      <c r="AK152" s="1" t="s">
        <v>121</v>
      </c>
      <c r="AL152" s="1" t="s">
        <v>121</v>
      </c>
      <c r="AM152" s="1" t="s">
        <v>121</v>
      </c>
      <c r="AN152" s="1" t="s">
        <v>121</v>
      </c>
      <c r="AO152" s="1" t="s">
        <v>121</v>
      </c>
      <c r="AP152" s="1" t="s">
        <v>121</v>
      </c>
      <c r="AQ152" s="1" t="s">
        <v>121</v>
      </c>
      <c r="AR152" s="1" t="s">
        <v>121</v>
      </c>
      <c r="AS152" s="1" t="s">
        <v>121</v>
      </c>
      <c r="AT152" s="1" t="s">
        <v>121</v>
      </c>
      <c r="AU152" s="1" t="s">
        <v>121</v>
      </c>
      <c r="AV152" s="1" t="s">
        <v>121</v>
      </c>
      <c r="AW152" s="1" t="s">
        <v>121</v>
      </c>
      <c r="AX152" s="1" t="s">
        <v>121</v>
      </c>
      <c r="AY152" s="1" t="s">
        <v>121</v>
      </c>
      <c r="AZ152" s="1" t="s">
        <v>121</v>
      </c>
      <c r="BA152" s="1" t="s">
        <v>121</v>
      </c>
      <c r="BB152" s="1" t="s">
        <v>121</v>
      </c>
      <c r="BC152" s="1" t="s">
        <v>121</v>
      </c>
      <c r="BD152" s="1" t="s">
        <v>121</v>
      </c>
      <c r="BE152" s="1" t="s">
        <v>121</v>
      </c>
      <c r="BF152" s="1" t="s">
        <v>121</v>
      </c>
      <c r="BG152" s="1" t="s">
        <v>121</v>
      </c>
      <c r="BH152" s="1" t="s">
        <v>121</v>
      </c>
      <c r="BI152" s="1" t="s">
        <v>121</v>
      </c>
      <c r="BJ152" s="1" t="s">
        <v>121</v>
      </c>
      <c r="BK152" s="1" t="s">
        <v>121</v>
      </c>
      <c r="BL152" s="1" t="s">
        <v>121</v>
      </c>
      <c r="BM152" s="1" t="s">
        <v>121</v>
      </c>
      <c r="BN152" s="1" t="s">
        <v>121</v>
      </c>
      <c r="BO152" s="1" t="s">
        <v>121</v>
      </c>
      <c r="BP152" s="1" t="s">
        <v>121</v>
      </c>
      <c r="BQ152" s="1" t="s">
        <v>121</v>
      </c>
    </row>
    <row r="153" spans="1:69" ht="14.45" hidden="1" customHeight="1" x14ac:dyDescent="0.25">
      <c r="A153" s="72">
        <v>153</v>
      </c>
      <c r="B153" s="147" t="s">
        <v>14</v>
      </c>
      <c r="C153" s="150" t="s">
        <v>121</v>
      </c>
      <c r="D153" s="164" t="s">
        <v>121</v>
      </c>
      <c r="E153" s="151" t="s">
        <v>121</v>
      </c>
      <c r="F153" s="244" t="s">
        <v>121</v>
      </c>
      <c r="G153" s="244" t="s">
        <v>121</v>
      </c>
      <c r="H153" s="244" t="s">
        <v>121</v>
      </c>
      <c r="I153" s="244" t="s">
        <v>121</v>
      </c>
      <c r="J153" s="244" t="s">
        <v>121</v>
      </c>
      <c r="K153" s="244" t="s">
        <v>121</v>
      </c>
      <c r="L153" s="244" t="s">
        <v>121</v>
      </c>
      <c r="M153" s="244" t="s">
        <v>121</v>
      </c>
      <c r="N153" s="244" t="s">
        <v>121</v>
      </c>
      <c r="O153" s="244" t="s">
        <v>121</v>
      </c>
      <c r="P153" s="244" t="s">
        <v>121</v>
      </c>
      <c r="Q153" s="244" t="s">
        <v>121</v>
      </c>
      <c r="R153" s="406"/>
      <c r="S153" s="406"/>
      <c r="T153" s="406"/>
      <c r="U153" s="244" t="s">
        <v>121</v>
      </c>
      <c r="V153" s="244" t="s">
        <v>121</v>
      </c>
      <c r="W153" s="250" t="s">
        <v>121</v>
      </c>
      <c r="X153" s="250" t="s">
        <v>121</v>
      </c>
      <c r="Y153" s="250" t="s">
        <v>121</v>
      </c>
      <c r="Z153" s="250" t="s">
        <v>121</v>
      </c>
      <c r="AA153" s="165" t="s">
        <v>121</v>
      </c>
      <c r="AB153" s="165" t="s">
        <v>121</v>
      </c>
      <c r="AC153" s="165" t="s">
        <v>121</v>
      </c>
      <c r="AD153" s="165" t="s">
        <v>121</v>
      </c>
      <c r="AE153" s="165" t="s">
        <v>121</v>
      </c>
      <c r="AF153" s="165" t="s">
        <v>121</v>
      </c>
      <c r="AG153" s="165" t="s">
        <v>121</v>
      </c>
      <c r="AH153" s="165" t="s">
        <v>121</v>
      </c>
      <c r="AI153" s="1" t="s">
        <v>121</v>
      </c>
      <c r="AJ153" s="1" t="s">
        <v>121</v>
      </c>
      <c r="AK153" s="1" t="s">
        <v>121</v>
      </c>
      <c r="AL153" s="1" t="s">
        <v>121</v>
      </c>
      <c r="AM153" s="1" t="s">
        <v>121</v>
      </c>
      <c r="AN153" s="1" t="s">
        <v>121</v>
      </c>
      <c r="AO153" s="1" t="s">
        <v>121</v>
      </c>
      <c r="AP153" s="1" t="s">
        <v>121</v>
      </c>
      <c r="AQ153" s="1" t="s">
        <v>121</v>
      </c>
      <c r="AR153" s="1" t="s">
        <v>121</v>
      </c>
      <c r="AS153" s="1" t="s">
        <v>121</v>
      </c>
      <c r="AT153" s="1" t="s">
        <v>121</v>
      </c>
      <c r="AU153" s="1" t="s">
        <v>121</v>
      </c>
      <c r="AV153" s="1" t="s">
        <v>121</v>
      </c>
      <c r="AW153" s="1" t="s">
        <v>121</v>
      </c>
      <c r="AX153" s="1" t="s">
        <v>121</v>
      </c>
      <c r="AY153" s="1" t="s">
        <v>121</v>
      </c>
      <c r="AZ153" s="1" t="s">
        <v>121</v>
      </c>
      <c r="BA153" s="1" t="s">
        <v>121</v>
      </c>
      <c r="BB153" s="1" t="s">
        <v>121</v>
      </c>
      <c r="BC153" s="1" t="s">
        <v>121</v>
      </c>
      <c r="BD153" s="1" t="s">
        <v>121</v>
      </c>
      <c r="BE153" s="1" t="s">
        <v>121</v>
      </c>
      <c r="BF153" s="1" t="s">
        <v>121</v>
      </c>
      <c r="BG153" s="1" t="s">
        <v>121</v>
      </c>
      <c r="BH153" s="1" t="s">
        <v>121</v>
      </c>
      <c r="BI153" s="1" t="s">
        <v>121</v>
      </c>
      <c r="BJ153" s="1" t="s">
        <v>121</v>
      </c>
      <c r="BK153" s="1" t="s">
        <v>121</v>
      </c>
      <c r="BL153" s="1" t="s">
        <v>121</v>
      </c>
      <c r="BM153" s="1" t="s">
        <v>121</v>
      </c>
      <c r="BN153" s="1" t="s">
        <v>121</v>
      </c>
      <c r="BO153" s="1" t="s">
        <v>121</v>
      </c>
      <c r="BP153" s="1" t="s">
        <v>121</v>
      </c>
      <c r="BQ153" s="1" t="s">
        <v>121</v>
      </c>
    </row>
    <row r="154" spans="1:69" x14ac:dyDescent="0.25">
      <c r="A154" s="72">
        <v>154</v>
      </c>
      <c r="B154" s="235" t="s">
        <v>360</v>
      </c>
      <c r="C154" s="182" t="s">
        <v>121</v>
      </c>
      <c r="D154" s="179" t="s">
        <v>121</v>
      </c>
      <c r="E154" s="234" t="s">
        <v>121</v>
      </c>
      <c r="F154" s="312" t="s">
        <v>121</v>
      </c>
      <c r="G154" s="312" t="s">
        <v>121</v>
      </c>
      <c r="H154" s="312" t="s">
        <v>121</v>
      </c>
      <c r="I154" s="312" t="s">
        <v>121</v>
      </c>
      <c r="J154" s="312" t="s">
        <v>121</v>
      </c>
      <c r="K154" s="312" t="s">
        <v>121</v>
      </c>
      <c r="L154" s="312" t="s">
        <v>121</v>
      </c>
      <c r="M154" s="312" t="s">
        <v>121</v>
      </c>
      <c r="N154" s="312" t="s">
        <v>121</v>
      </c>
      <c r="O154" s="312" t="s">
        <v>121</v>
      </c>
      <c r="P154" s="312" t="s">
        <v>121</v>
      </c>
      <c r="Q154" s="312" t="s">
        <v>121</v>
      </c>
      <c r="R154" s="406"/>
      <c r="S154" s="406"/>
      <c r="T154" s="406"/>
      <c r="U154" s="312" t="s">
        <v>121</v>
      </c>
      <c r="V154" s="312" t="s">
        <v>121</v>
      </c>
      <c r="W154" s="294" t="s">
        <v>121</v>
      </c>
      <c r="X154" s="294" t="s">
        <v>121</v>
      </c>
      <c r="Y154" s="294" t="s">
        <v>121</v>
      </c>
      <c r="Z154" s="294" t="s">
        <v>121</v>
      </c>
      <c r="AA154" s="212" t="s">
        <v>121</v>
      </c>
      <c r="AB154" s="212" t="s">
        <v>121</v>
      </c>
      <c r="AC154" s="212" t="s">
        <v>121</v>
      </c>
      <c r="AD154" s="212" t="s">
        <v>121</v>
      </c>
      <c r="AE154" s="212" t="s">
        <v>121</v>
      </c>
      <c r="AF154" s="212" t="s">
        <v>121</v>
      </c>
      <c r="AG154" s="212" t="s">
        <v>121</v>
      </c>
      <c r="AH154" s="212" t="s">
        <v>121</v>
      </c>
      <c r="AI154" s="1" t="s">
        <v>121</v>
      </c>
      <c r="AJ154" s="1" t="s">
        <v>121</v>
      </c>
      <c r="AK154" s="1" t="s">
        <v>121</v>
      </c>
      <c r="AL154" s="1" t="s">
        <v>121</v>
      </c>
      <c r="AM154" s="1" t="s">
        <v>121</v>
      </c>
      <c r="AN154" s="1" t="s">
        <v>121</v>
      </c>
      <c r="AO154" s="1" t="s">
        <v>121</v>
      </c>
      <c r="AP154" s="1" t="s">
        <v>121</v>
      </c>
      <c r="AQ154" s="1" t="s">
        <v>121</v>
      </c>
      <c r="AR154" s="1" t="s">
        <v>121</v>
      </c>
      <c r="AS154" s="1" t="s">
        <v>121</v>
      </c>
      <c r="AT154" s="1" t="s">
        <v>121</v>
      </c>
      <c r="AU154" s="1" t="s">
        <v>121</v>
      </c>
      <c r="AV154" s="1" t="s">
        <v>121</v>
      </c>
      <c r="AW154" s="1" t="s">
        <v>121</v>
      </c>
      <c r="AX154" s="1" t="s">
        <v>121</v>
      </c>
      <c r="AY154" s="1" t="s">
        <v>121</v>
      </c>
      <c r="AZ154" s="1" t="s">
        <v>121</v>
      </c>
      <c r="BA154" s="1" t="s">
        <v>121</v>
      </c>
      <c r="BB154" s="1" t="s">
        <v>121</v>
      </c>
      <c r="BC154" s="1" t="s">
        <v>121</v>
      </c>
      <c r="BD154" s="1" t="s">
        <v>121</v>
      </c>
      <c r="BE154" s="1" t="s">
        <v>121</v>
      </c>
      <c r="BF154" s="1" t="s">
        <v>121</v>
      </c>
      <c r="BG154" s="1" t="s">
        <v>121</v>
      </c>
      <c r="BH154" s="1" t="s">
        <v>121</v>
      </c>
      <c r="BI154" s="1" t="s">
        <v>121</v>
      </c>
      <c r="BJ154" s="1" t="s">
        <v>121</v>
      </c>
      <c r="BK154" s="1" t="s">
        <v>121</v>
      </c>
      <c r="BL154" s="1" t="s">
        <v>121</v>
      </c>
      <c r="BM154" s="1" t="s">
        <v>121</v>
      </c>
      <c r="BN154" s="1" t="s">
        <v>121</v>
      </c>
      <c r="BO154" s="1" t="s">
        <v>121</v>
      </c>
      <c r="BP154" s="1" t="s">
        <v>121</v>
      </c>
      <c r="BQ154" s="1" t="s">
        <v>121</v>
      </c>
    </row>
    <row r="155" spans="1:69" ht="27" customHeight="1" x14ac:dyDescent="0.25">
      <c r="A155" s="72">
        <v>155</v>
      </c>
      <c r="B155" s="5" t="s">
        <v>121</v>
      </c>
      <c r="C155" s="91" t="s">
        <v>121</v>
      </c>
      <c r="D155" s="86" t="s">
        <v>121</v>
      </c>
      <c r="E155" s="92" t="s">
        <v>121</v>
      </c>
      <c r="F155" s="326" t="s">
        <v>121</v>
      </c>
      <c r="G155" s="326" t="s">
        <v>121</v>
      </c>
      <c r="H155" s="326" t="s">
        <v>121</v>
      </c>
      <c r="I155" s="326" t="s">
        <v>121</v>
      </c>
      <c r="J155" s="326" t="s">
        <v>121</v>
      </c>
      <c r="K155" s="326" t="s">
        <v>121</v>
      </c>
      <c r="L155" s="326" t="s">
        <v>121</v>
      </c>
      <c r="M155" s="326" t="s">
        <v>121</v>
      </c>
      <c r="N155" s="326" t="s">
        <v>121</v>
      </c>
      <c r="O155" s="326" t="s">
        <v>121</v>
      </c>
      <c r="P155" s="326" t="s">
        <v>121</v>
      </c>
      <c r="Q155" s="326" t="s">
        <v>121</v>
      </c>
      <c r="R155" s="406"/>
      <c r="S155" s="406"/>
      <c r="T155" s="406"/>
      <c r="U155" s="326" t="s">
        <v>121</v>
      </c>
      <c r="V155" s="326" t="s">
        <v>121</v>
      </c>
      <c r="W155" s="275" t="s">
        <v>121</v>
      </c>
      <c r="X155" s="275" t="s">
        <v>121</v>
      </c>
      <c r="Y155" s="275" t="s">
        <v>121</v>
      </c>
      <c r="Z155" s="275" t="s">
        <v>121</v>
      </c>
      <c r="AA155" s="86" t="s">
        <v>121</v>
      </c>
      <c r="AB155" s="86" t="s">
        <v>121</v>
      </c>
      <c r="AC155" s="86" t="s">
        <v>121</v>
      </c>
      <c r="AD155" s="86" t="s">
        <v>121</v>
      </c>
      <c r="AE155" s="86" t="s">
        <v>121</v>
      </c>
      <c r="AF155" s="86" t="s">
        <v>121</v>
      </c>
      <c r="AG155" s="86" t="s">
        <v>121</v>
      </c>
      <c r="AH155" s="39" t="s">
        <v>121</v>
      </c>
      <c r="AI155" s="1" t="s">
        <v>121</v>
      </c>
      <c r="AJ155" s="1" t="s">
        <v>121</v>
      </c>
      <c r="AK155" s="1" t="s">
        <v>121</v>
      </c>
      <c r="AL155" s="1" t="s">
        <v>121</v>
      </c>
      <c r="AM155" s="1" t="s">
        <v>121</v>
      </c>
      <c r="AN155" s="1" t="s">
        <v>121</v>
      </c>
      <c r="AO155" s="1" t="s">
        <v>121</v>
      </c>
      <c r="AP155" s="1" t="s">
        <v>121</v>
      </c>
      <c r="AQ155" s="1" t="s">
        <v>121</v>
      </c>
      <c r="AR155" s="1" t="s">
        <v>121</v>
      </c>
      <c r="AS155" s="1" t="s">
        <v>121</v>
      </c>
      <c r="AT155" s="1" t="s">
        <v>121</v>
      </c>
      <c r="AU155" s="1" t="s">
        <v>121</v>
      </c>
      <c r="AV155" s="1" t="s">
        <v>121</v>
      </c>
      <c r="AW155" s="1" t="s">
        <v>121</v>
      </c>
      <c r="AX155" s="1" t="s">
        <v>121</v>
      </c>
      <c r="AY155" s="1" t="s">
        <v>121</v>
      </c>
      <c r="AZ155" s="1" t="s">
        <v>121</v>
      </c>
      <c r="BA155" s="1" t="s">
        <v>121</v>
      </c>
      <c r="BB155" s="1" t="s">
        <v>121</v>
      </c>
      <c r="BC155" s="1" t="s">
        <v>121</v>
      </c>
      <c r="BD155" s="1" t="s">
        <v>121</v>
      </c>
      <c r="BE155" s="1" t="s">
        <v>121</v>
      </c>
      <c r="BF155" s="1" t="s">
        <v>121</v>
      </c>
      <c r="BG155" s="1" t="s">
        <v>121</v>
      </c>
      <c r="BH155" s="1" t="s">
        <v>121</v>
      </c>
      <c r="BI155" s="1" t="s">
        <v>121</v>
      </c>
      <c r="BJ155" s="1" t="s">
        <v>121</v>
      </c>
      <c r="BK155" s="1" t="s">
        <v>121</v>
      </c>
      <c r="BL155" s="1" t="s">
        <v>121</v>
      </c>
      <c r="BM155" s="1" t="s">
        <v>121</v>
      </c>
      <c r="BN155" s="1" t="s">
        <v>121</v>
      </c>
      <c r="BO155" s="1" t="s">
        <v>121</v>
      </c>
      <c r="BP155" s="1" t="s">
        <v>121</v>
      </c>
      <c r="BQ155" s="1" t="s">
        <v>121</v>
      </c>
    </row>
    <row r="156" spans="1:69" ht="15.75" x14ac:dyDescent="0.25">
      <c r="A156" s="72">
        <v>156</v>
      </c>
      <c r="B156" s="400" t="s">
        <v>361</v>
      </c>
      <c r="C156" s="225" t="s">
        <v>121</v>
      </c>
      <c r="D156" s="227" t="s">
        <v>121</v>
      </c>
      <c r="E156" s="226" t="s">
        <v>121</v>
      </c>
      <c r="F156" s="328" t="s">
        <v>121</v>
      </c>
      <c r="G156" s="328" t="s">
        <v>121</v>
      </c>
      <c r="H156" s="328" t="s">
        <v>121</v>
      </c>
      <c r="I156" s="328" t="s">
        <v>121</v>
      </c>
      <c r="J156" s="328" t="s">
        <v>121</v>
      </c>
      <c r="K156" s="328" t="s">
        <v>121</v>
      </c>
      <c r="L156" s="328" t="s">
        <v>121</v>
      </c>
      <c r="M156" s="328" t="s">
        <v>121</v>
      </c>
      <c r="N156" s="328" t="s">
        <v>121</v>
      </c>
      <c r="O156" s="328" t="s">
        <v>121</v>
      </c>
      <c r="P156" s="328" t="s">
        <v>121</v>
      </c>
      <c r="Q156" s="328" t="s">
        <v>121</v>
      </c>
      <c r="R156" s="406"/>
      <c r="S156" s="406"/>
      <c r="T156" s="406"/>
      <c r="U156" s="328" t="s">
        <v>121</v>
      </c>
      <c r="V156" s="328" t="s">
        <v>121</v>
      </c>
      <c r="W156" s="295" t="s">
        <v>121</v>
      </c>
      <c r="X156" s="295" t="s">
        <v>121</v>
      </c>
      <c r="Y156" s="295" t="s">
        <v>121</v>
      </c>
      <c r="Z156" s="295" t="s">
        <v>121</v>
      </c>
      <c r="AA156" s="227" t="s">
        <v>121</v>
      </c>
      <c r="AB156" s="227" t="s">
        <v>121</v>
      </c>
      <c r="AC156" s="227" t="s">
        <v>121</v>
      </c>
      <c r="AD156" s="227" t="s">
        <v>121</v>
      </c>
      <c r="AE156" s="227" t="s">
        <v>121</v>
      </c>
      <c r="AF156" s="227" t="s">
        <v>121</v>
      </c>
      <c r="AG156" s="227" t="s">
        <v>121</v>
      </c>
      <c r="AH156" s="227" t="s">
        <v>121</v>
      </c>
      <c r="AI156" s="1" t="s">
        <v>121</v>
      </c>
      <c r="AJ156" s="1" t="s">
        <v>121</v>
      </c>
      <c r="AK156" s="1" t="s">
        <v>121</v>
      </c>
      <c r="AL156" s="1" t="s">
        <v>121</v>
      </c>
      <c r="AM156" s="1" t="s">
        <v>121</v>
      </c>
      <c r="AN156" s="1" t="s">
        <v>121</v>
      </c>
      <c r="AO156" s="1" t="s">
        <v>121</v>
      </c>
      <c r="AP156" s="1" t="s">
        <v>121</v>
      </c>
      <c r="AQ156" s="1" t="s">
        <v>121</v>
      </c>
      <c r="AR156" s="1" t="s">
        <v>121</v>
      </c>
      <c r="AS156" s="1" t="s">
        <v>121</v>
      </c>
      <c r="AT156" s="1" t="s">
        <v>121</v>
      </c>
      <c r="AU156" s="1" t="s">
        <v>121</v>
      </c>
      <c r="AV156" s="1" t="s">
        <v>121</v>
      </c>
      <c r="AW156" s="1" t="s">
        <v>121</v>
      </c>
      <c r="AX156" s="1" t="s">
        <v>121</v>
      </c>
      <c r="AY156" s="1" t="s">
        <v>121</v>
      </c>
      <c r="AZ156" s="1" t="s">
        <v>121</v>
      </c>
      <c r="BA156" s="1" t="s">
        <v>121</v>
      </c>
      <c r="BB156" s="1" t="s">
        <v>121</v>
      </c>
      <c r="BC156" s="1" t="s">
        <v>121</v>
      </c>
      <c r="BD156" s="1" t="s">
        <v>121</v>
      </c>
      <c r="BE156" s="1" t="s">
        <v>121</v>
      </c>
      <c r="BF156" s="1" t="s">
        <v>121</v>
      </c>
      <c r="BG156" s="1" t="s">
        <v>121</v>
      </c>
      <c r="BH156" s="1" t="s">
        <v>121</v>
      </c>
      <c r="BI156" s="1" t="s">
        <v>121</v>
      </c>
      <c r="BJ156" s="1" t="s">
        <v>121</v>
      </c>
      <c r="BK156" s="1" t="s">
        <v>121</v>
      </c>
      <c r="BL156" s="1" t="s">
        <v>121</v>
      </c>
      <c r="BM156" s="1" t="s">
        <v>121</v>
      </c>
      <c r="BN156" s="1" t="s">
        <v>121</v>
      </c>
      <c r="BO156" s="1" t="s">
        <v>121</v>
      </c>
      <c r="BP156" s="1" t="s">
        <v>121</v>
      </c>
      <c r="BQ156" s="1" t="s">
        <v>121</v>
      </c>
    </row>
    <row r="157" spans="1:69" x14ac:dyDescent="0.25">
      <c r="A157" s="72">
        <v>157</v>
      </c>
      <c r="B157" s="228" t="s">
        <v>334</v>
      </c>
      <c r="C157" s="223" t="s">
        <v>121</v>
      </c>
      <c r="D157" s="216" t="s">
        <v>121</v>
      </c>
      <c r="E157" s="224" t="s">
        <v>121</v>
      </c>
      <c r="F157" s="329" t="s">
        <v>121</v>
      </c>
      <c r="G157" s="329" t="s">
        <v>121</v>
      </c>
      <c r="H157" s="329" t="s">
        <v>121</v>
      </c>
      <c r="I157" s="329" t="s">
        <v>121</v>
      </c>
      <c r="J157" s="329" t="s">
        <v>121</v>
      </c>
      <c r="K157" s="329" t="s">
        <v>121</v>
      </c>
      <c r="L157" s="329" t="s">
        <v>121</v>
      </c>
      <c r="M157" s="329" t="s">
        <v>121</v>
      </c>
      <c r="N157" s="329" t="s">
        <v>121</v>
      </c>
      <c r="O157" s="329" t="s">
        <v>121</v>
      </c>
      <c r="P157" s="329" t="s">
        <v>121</v>
      </c>
      <c r="Q157" s="329" t="s">
        <v>121</v>
      </c>
      <c r="R157" s="406"/>
      <c r="S157" s="406"/>
      <c r="T157" s="406"/>
      <c r="U157" s="329" t="s">
        <v>121</v>
      </c>
      <c r="V157" s="329" t="s">
        <v>121</v>
      </c>
      <c r="W157" s="320" t="s">
        <v>121</v>
      </c>
      <c r="X157" s="320" t="s">
        <v>121</v>
      </c>
      <c r="Y157" s="293" t="s">
        <v>121</v>
      </c>
      <c r="Z157" s="293" t="s">
        <v>121</v>
      </c>
      <c r="AA157" s="216" t="s">
        <v>121</v>
      </c>
      <c r="AB157" s="216" t="s">
        <v>121</v>
      </c>
      <c r="AC157" s="216" t="s">
        <v>121</v>
      </c>
      <c r="AD157" s="216" t="s">
        <v>121</v>
      </c>
      <c r="AE157" s="216" t="s">
        <v>121</v>
      </c>
      <c r="AF157" s="216" t="s">
        <v>121</v>
      </c>
      <c r="AG157" s="216" t="s">
        <v>121</v>
      </c>
      <c r="AH157" s="216" t="s">
        <v>121</v>
      </c>
      <c r="AI157" s="1" t="s">
        <v>121</v>
      </c>
      <c r="AJ157" s="1" t="s">
        <v>121</v>
      </c>
      <c r="AK157" s="1" t="s">
        <v>121</v>
      </c>
      <c r="AL157" s="1" t="s">
        <v>121</v>
      </c>
      <c r="AM157" s="1" t="s">
        <v>121</v>
      </c>
      <c r="AN157" s="1" t="s">
        <v>121</v>
      </c>
      <c r="AO157" s="1" t="s">
        <v>121</v>
      </c>
      <c r="AP157" s="1" t="s">
        <v>121</v>
      </c>
      <c r="AQ157" s="1" t="s">
        <v>121</v>
      </c>
      <c r="AR157" s="1" t="s">
        <v>121</v>
      </c>
      <c r="AS157" s="1" t="s">
        <v>121</v>
      </c>
      <c r="AT157" s="1" t="s">
        <v>121</v>
      </c>
      <c r="AU157" s="1" t="s">
        <v>121</v>
      </c>
      <c r="AV157" s="1" t="s">
        <v>121</v>
      </c>
      <c r="AW157" s="1" t="s">
        <v>121</v>
      </c>
      <c r="AX157" s="1" t="s">
        <v>121</v>
      </c>
      <c r="AY157" s="1" t="s">
        <v>121</v>
      </c>
      <c r="AZ157" s="1" t="s">
        <v>121</v>
      </c>
      <c r="BA157" s="1" t="s">
        <v>121</v>
      </c>
      <c r="BB157" s="1" t="s">
        <v>121</v>
      </c>
      <c r="BC157" s="1" t="s">
        <v>121</v>
      </c>
      <c r="BD157" s="1" t="s">
        <v>121</v>
      </c>
      <c r="BE157" s="1" t="s">
        <v>121</v>
      </c>
      <c r="BF157" s="1" t="s">
        <v>121</v>
      </c>
      <c r="BG157" s="1" t="s">
        <v>121</v>
      </c>
      <c r="BH157" s="1" t="s">
        <v>121</v>
      </c>
      <c r="BI157" s="1" t="s">
        <v>121</v>
      </c>
      <c r="BJ157" s="1" t="s">
        <v>121</v>
      </c>
      <c r="BK157" s="1" t="s">
        <v>121</v>
      </c>
      <c r="BL157" s="1" t="s">
        <v>121</v>
      </c>
      <c r="BM157" s="1" t="s">
        <v>121</v>
      </c>
      <c r="BN157" s="1" t="s">
        <v>121</v>
      </c>
      <c r="BO157" s="1" t="s">
        <v>121</v>
      </c>
      <c r="BP157" s="1" t="s">
        <v>121</v>
      </c>
      <c r="BQ157" s="1" t="s">
        <v>121</v>
      </c>
    </row>
    <row r="158" spans="1:69" x14ac:dyDescent="0.25">
      <c r="A158" s="72">
        <v>158</v>
      </c>
      <c r="B158" s="217" t="s">
        <v>353</v>
      </c>
      <c r="C158" s="150" t="s">
        <v>121</v>
      </c>
      <c r="D158" s="164" t="s">
        <v>121</v>
      </c>
      <c r="E158" s="151" t="s">
        <v>121</v>
      </c>
      <c r="F158" s="244">
        <v>381</v>
      </c>
      <c r="G158" s="244">
        <v>447</v>
      </c>
      <c r="H158" s="244">
        <v>461</v>
      </c>
      <c r="I158" s="244">
        <v>529</v>
      </c>
      <c r="J158" s="244">
        <v>700</v>
      </c>
      <c r="K158" s="244">
        <v>841</v>
      </c>
      <c r="L158" s="244">
        <v>953</v>
      </c>
      <c r="M158" s="244">
        <v>2774</v>
      </c>
      <c r="N158" s="244">
        <v>1052</v>
      </c>
      <c r="O158" s="244">
        <v>809</v>
      </c>
      <c r="P158" s="244">
        <v>2496</v>
      </c>
      <c r="Q158" s="244">
        <v>3513</v>
      </c>
      <c r="R158" s="406"/>
      <c r="S158" s="406"/>
      <c r="T158" s="406"/>
      <c r="U158" s="244">
        <v>3090</v>
      </c>
      <c r="V158" s="244">
        <v>2791.2930000000001</v>
      </c>
      <c r="W158" s="250">
        <v>2504.6759999999999</v>
      </c>
      <c r="X158" s="250">
        <v>2468.123</v>
      </c>
      <c r="Y158" s="250">
        <v>3112.4630000000002</v>
      </c>
      <c r="Z158" s="250">
        <v>3278.558</v>
      </c>
      <c r="AA158" s="165">
        <v>2637.78</v>
      </c>
      <c r="AB158" s="165">
        <v>3146.1060000000002</v>
      </c>
      <c r="AC158" s="165">
        <v>2745.5770000000002</v>
      </c>
      <c r="AD158" s="165">
        <v>3606.1909999999998</v>
      </c>
      <c r="AE158" s="165">
        <v>3461.57</v>
      </c>
      <c r="AF158" s="165">
        <v>3318.2109999999998</v>
      </c>
      <c r="AG158" s="165">
        <v>3596.4430000000002</v>
      </c>
      <c r="AH158" s="165">
        <v>3468.299</v>
      </c>
      <c r="AI158" s="1">
        <v>3151.2939999999999</v>
      </c>
      <c r="AJ158" s="1">
        <v>2389.48</v>
      </c>
      <c r="AK158" s="1" t="s">
        <v>121</v>
      </c>
      <c r="AL158" s="1" t="s">
        <v>121</v>
      </c>
      <c r="AM158" s="1" t="s">
        <v>121</v>
      </c>
      <c r="AN158" s="1" t="s">
        <v>121</v>
      </c>
      <c r="AO158" s="1" t="s">
        <v>121</v>
      </c>
      <c r="AP158" s="1" t="s">
        <v>121</v>
      </c>
      <c r="AQ158" s="1" t="s">
        <v>121</v>
      </c>
      <c r="AR158" s="1" t="s">
        <v>121</v>
      </c>
      <c r="AS158" s="1" t="s">
        <v>121</v>
      </c>
      <c r="AT158" s="1" t="s">
        <v>121</v>
      </c>
      <c r="AU158" s="1" t="s">
        <v>121</v>
      </c>
      <c r="AV158" s="1" t="s">
        <v>121</v>
      </c>
      <c r="AW158" s="1" t="s">
        <v>121</v>
      </c>
      <c r="AX158" s="1" t="s">
        <v>121</v>
      </c>
      <c r="AY158" s="1" t="s">
        <v>121</v>
      </c>
      <c r="AZ158" s="1" t="s">
        <v>121</v>
      </c>
      <c r="BA158" s="1" t="s">
        <v>121</v>
      </c>
      <c r="BB158" s="1" t="s">
        <v>121</v>
      </c>
      <c r="BC158" s="1" t="s">
        <v>121</v>
      </c>
      <c r="BD158" s="1" t="s">
        <v>121</v>
      </c>
      <c r="BE158" s="1" t="s">
        <v>121</v>
      </c>
      <c r="BF158" s="1" t="s">
        <v>121</v>
      </c>
      <c r="BG158" s="1" t="s">
        <v>121</v>
      </c>
      <c r="BH158" s="1" t="s">
        <v>121</v>
      </c>
      <c r="BI158" s="1" t="s">
        <v>121</v>
      </c>
      <c r="BJ158" s="1" t="s">
        <v>121</v>
      </c>
      <c r="BK158" s="1" t="s">
        <v>121</v>
      </c>
      <c r="BL158" s="1" t="s">
        <v>121</v>
      </c>
      <c r="BM158" s="1" t="s">
        <v>121</v>
      </c>
      <c r="BN158" s="1" t="s">
        <v>121</v>
      </c>
      <c r="BO158" s="1" t="s">
        <v>121</v>
      </c>
      <c r="BP158" s="1" t="s">
        <v>121</v>
      </c>
      <c r="BQ158" s="1" t="s">
        <v>121</v>
      </c>
    </row>
    <row r="159" spans="1:69" x14ac:dyDescent="0.25">
      <c r="A159" s="72">
        <v>159</v>
      </c>
      <c r="B159" s="217" t="s">
        <v>354</v>
      </c>
      <c r="C159" s="150" t="s">
        <v>121</v>
      </c>
      <c r="D159" s="164" t="s">
        <v>121</v>
      </c>
      <c r="E159" s="151" t="s">
        <v>121</v>
      </c>
      <c r="F159" s="244" t="s">
        <v>121</v>
      </c>
      <c r="G159" s="244" t="s">
        <v>121</v>
      </c>
      <c r="H159" s="244" t="s">
        <v>121</v>
      </c>
      <c r="I159" s="244" t="s">
        <v>121</v>
      </c>
      <c r="J159" s="244" t="s">
        <v>121</v>
      </c>
      <c r="K159" s="244" t="s">
        <v>121</v>
      </c>
      <c r="L159" s="244" t="s">
        <v>121</v>
      </c>
      <c r="M159" s="244" t="s">
        <v>121</v>
      </c>
      <c r="N159" s="244" t="s">
        <v>121</v>
      </c>
      <c r="O159" s="244" t="s">
        <v>121</v>
      </c>
      <c r="P159" s="244" t="s">
        <v>121</v>
      </c>
      <c r="Q159" s="244" t="s">
        <v>121</v>
      </c>
      <c r="R159" s="406"/>
      <c r="S159" s="406"/>
      <c r="T159" s="406"/>
      <c r="U159" s="244" t="s">
        <v>121</v>
      </c>
      <c r="V159" s="244" t="s">
        <v>121</v>
      </c>
      <c r="W159" s="250">
        <v>795.60599999999999</v>
      </c>
      <c r="X159" s="250" t="s">
        <v>121</v>
      </c>
      <c r="Y159" s="250" t="s">
        <v>121</v>
      </c>
      <c r="Z159" s="250" t="s">
        <v>121</v>
      </c>
      <c r="AA159" s="165" t="s">
        <v>121</v>
      </c>
      <c r="AB159" s="165" t="s">
        <v>121</v>
      </c>
      <c r="AC159" s="165" t="s">
        <v>121</v>
      </c>
      <c r="AD159" s="165" t="s">
        <v>121</v>
      </c>
      <c r="AE159" s="165" t="s">
        <v>121</v>
      </c>
      <c r="AF159" s="165" t="s">
        <v>121</v>
      </c>
      <c r="AG159" s="165" t="s">
        <v>121</v>
      </c>
      <c r="AH159" s="165" t="s">
        <v>121</v>
      </c>
      <c r="AI159" s="1" t="s">
        <v>121</v>
      </c>
      <c r="AJ159" s="1">
        <v>9.8230000000000004</v>
      </c>
      <c r="AK159" s="1" t="s">
        <v>121</v>
      </c>
      <c r="AL159" s="1" t="s">
        <v>121</v>
      </c>
      <c r="AM159" s="1" t="s">
        <v>121</v>
      </c>
      <c r="AN159" s="1" t="s">
        <v>121</v>
      </c>
      <c r="AO159" s="1" t="s">
        <v>121</v>
      </c>
      <c r="AP159" s="1" t="s">
        <v>121</v>
      </c>
      <c r="AQ159" s="1" t="s">
        <v>121</v>
      </c>
      <c r="AR159" s="1" t="s">
        <v>121</v>
      </c>
      <c r="AS159" s="1" t="s">
        <v>121</v>
      </c>
      <c r="AT159" s="1" t="s">
        <v>121</v>
      </c>
      <c r="AU159" s="1" t="s">
        <v>121</v>
      </c>
      <c r="AV159" s="1" t="s">
        <v>121</v>
      </c>
      <c r="AW159" s="1" t="s">
        <v>121</v>
      </c>
      <c r="AX159" s="1" t="s">
        <v>121</v>
      </c>
      <c r="AY159" s="1" t="s">
        <v>121</v>
      </c>
      <c r="AZ159" s="1" t="s">
        <v>121</v>
      </c>
      <c r="BA159" s="1" t="s">
        <v>121</v>
      </c>
      <c r="BB159" s="1" t="s">
        <v>121</v>
      </c>
      <c r="BC159" s="1" t="s">
        <v>121</v>
      </c>
      <c r="BD159" s="1" t="s">
        <v>121</v>
      </c>
      <c r="BE159" s="1" t="s">
        <v>121</v>
      </c>
      <c r="BF159" s="1" t="s">
        <v>121</v>
      </c>
      <c r="BG159" s="1" t="s">
        <v>121</v>
      </c>
      <c r="BH159" s="1" t="s">
        <v>121</v>
      </c>
      <c r="BI159" s="1" t="s">
        <v>121</v>
      </c>
      <c r="BJ159" s="1" t="s">
        <v>121</v>
      </c>
      <c r="BK159" s="1" t="s">
        <v>121</v>
      </c>
      <c r="BL159" s="1" t="s">
        <v>121</v>
      </c>
      <c r="BM159" s="1" t="s">
        <v>121</v>
      </c>
      <c r="BN159" s="1" t="s">
        <v>121</v>
      </c>
      <c r="BO159" s="1" t="s">
        <v>121</v>
      </c>
      <c r="BP159" s="1" t="s">
        <v>121</v>
      </c>
      <c r="BQ159" s="1" t="s">
        <v>121</v>
      </c>
    </row>
    <row r="160" spans="1:69" x14ac:dyDescent="0.25">
      <c r="A160" s="72">
        <v>160</v>
      </c>
      <c r="B160" s="230" t="s">
        <v>340</v>
      </c>
      <c r="C160" s="150" t="s">
        <v>121</v>
      </c>
      <c r="D160" s="164" t="s">
        <v>121</v>
      </c>
      <c r="E160" s="151" t="s">
        <v>121</v>
      </c>
      <c r="F160" s="312">
        <v>381</v>
      </c>
      <c r="G160" s="312">
        <v>447</v>
      </c>
      <c r="H160" s="312">
        <v>461</v>
      </c>
      <c r="I160" s="312">
        <v>529</v>
      </c>
      <c r="J160" s="312">
        <v>700</v>
      </c>
      <c r="K160" s="312">
        <v>841</v>
      </c>
      <c r="L160" s="312">
        <v>953</v>
      </c>
      <c r="M160" s="312">
        <v>2774</v>
      </c>
      <c r="N160" s="312">
        <v>1052</v>
      </c>
      <c r="O160" s="312">
        <v>809</v>
      </c>
      <c r="P160" s="312">
        <v>2496</v>
      </c>
      <c r="Q160" s="312">
        <v>3513</v>
      </c>
      <c r="R160" s="406"/>
      <c r="S160" s="406"/>
      <c r="T160" s="406"/>
      <c r="U160" s="312">
        <v>3090</v>
      </c>
      <c r="V160" s="312">
        <v>2791.2930000000001</v>
      </c>
      <c r="W160" s="294">
        <v>3300.2820000000002</v>
      </c>
      <c r="X160" s="294">
        <v>2468.123</v>
      </c>
      <c r="Y160" s="294">
        <v>3112.4630000000002</v>
      </c>
      <c r="Z160" s="294">
        <v>3278.558</v>
      </c>
      <c r="AA160" s="212">
        <v>2637.78</v>
      </c>
      <c r="AB160" s="212">
        <v>3146.1060000000002</v>
      </c>
      <c r="AC160" s="212">
        <v>2745.5770000000002</v>
      </c>
      <c r="AD160" s="212">
        <v>3606.1909999999998</v>
      </c>
      <c r="AE160" s="212">
        <v>3461.57</v>
      </c>
      <c r="AF160" s="212">
        <v>3318.2109999999998</v>
      </c>
      <c r="AG160" s="212">
        <v>3596.4430000000002</v>
      </c>
      <c r="AH160" s="212">
        <v>3468.299</v>
      </c>
      <c r="AI160" s="1">
        <v>3151.2939999999999</v>
      </c>
      <c r="AJ160" s="1">
        <v>2399.3029999999999</v>
      </c>
      <c r="AK160" s="1" t="s">
        <v>121</v>
      </c>
      <c r="AL160" s="1" t="s">
        <v>121</v>
      </c>
      <c r="AM160" s="1" t="s">
        <v>121</v>
      </c>
      <c r="AN160" s="1" t="s">
        <v>121</v>
      </c>
      <c r="AO160" s="1" t="s">
        <v>121</v>
      </c>
      <c r="AP160" s="1" t="s">
        <v>121</v>
      </c>
      <c r="AQ160" s="1" t="s">
        <v>121</v>
      </c>
      <c r="AR160" s="1" t="s">
        <v>121</v>
      </c>
      <c r="AS160" s="1" t="s">
        <v>121</v>
      </c>
      <c r="AT160" s="1" t="s">
        <v>121</v>
      </c>
      <c r="AU160" s="1" t="s">
        <v>121</v>
      </c>
      <c r="AV160" s="1" t="s">
        <v>121</v>
      </c>
      <c r="AW160" s="1" t="s">
        <v>121</v>
      </c>
      <c r="AX160" s="1" t="s">
        <v>121</v>
      </c>
      <c r="AY160" s="1" t="s">
        <v>121</v>
      </c>
      <c r="AZ160" s="1" t="s">
        <v>121</v>
      </c>
      <c r="BA160" s="1" t="s">
        <v>121</v>
      </c>
      <c r="BB160" s="1" t="s">
        <v>121</v>
      </c>
      <c r="BC160" s="1" t="s">
        <v>121</v>
      </c>
      <c r="BD160" s="1" t="s">
        <v>121</v>
      </c>
      <c r="BE160" s="1" t="s">
        <v>121</v>
      </c>
      <c r="BF160" s="1" t="s">
        <v>121</v>
      </c>
      <c r="BG160" s="1" t="s">
        <v>121</v>
      </c>
      <c r="BH160" s="1" t="s">
        <v>121</v>
      </c>
      <c r="BI160" s="1" t="s">
        <v>121</v>
      </c>
      <c r="BJ160" s="1" t="s">
        <v>121</v>
      </c>
      <c r="BK160" s="1" t="s">
        <v>121</v>
      </c>
      <c r="BL160" s="1" t="s">
        <v>121</v>
      </c>
      <c r="BM160" s="1" t="s">
        <v>121</v>
      </c>
      <c r="BN160" s="1" t="s">
        <v>121</v>
      </c>
      <c r="BO160" s="1" t="s">
        <v>121</v>
      </c>
      <c r="BP160" s="1" t="s">
        <v>121</v>
      </c>
      <c r="BQ160" s="1" t="s">
        <v>121</v>
      </c>
    </row>
    <row r="161" spans="1:69" x14ac:dyDescent="0.25">
      <c r="A161" s="72">
        <v>161</v>
      </c>
      <c r="B161" s="231" t="s">
        <v>14</v>
      </c>
      <c r="C161" s="150" t="s">
        <v>121</v>
      </c>
      <c r="D161" s="164" t="s">
        <v>121</v>
      </c>
      <c r="E161" s="151" t="s">
        <v>121</v>
      </c>
      <c r="F161" s="244">
        <v>-7</v>
      </c>
      <c r="G161" s="244">
        <v>-9</v>
      </c>
      <c r="H161" s="244">
        <v>-9</v>
      </c>
      <c r="I161" s="244">
        <v>-11</v>
      </c>
      <c r="J161" s="244">
        <v>-13</v>
      </c>
      <c r="K161" s="244">
        <v>-15</v>
      </c>
      <c r="L161" s="244">
        <v>-17</v>
      </c>
      <c r="M161" s="244">
        <v>-22</v>
      </c>
      <c r="N161" s="244">
        <v>-20</v>
      </c>
      <c r="O161" s="244">
        <v>-16</v>
      </c>
      <c r="P161" s="244">
        <v>-17</v>
      </c>
      <c r="Q161" s="244">
        <v>-31</v>
      </c>
      <c r="R161" s="406"/>
      <c r="S161" s="406"/>
      <c r="T161" s="406"/>
      <c r="U161" s="244">
        <v>-54</v>
      </c>
      <c r="V161" s="244">
        <v>-53.378999999999998</v>
      </c>
      <c r="W161" s="250">
        <v>-67.263999999999996</v>
      </c>
      <c r="X161" s="250">
        <v>-37.182000000000002</v>
      </c>
      <c r="Y161" s="250">
        <v>-52.765999999999998</v>
      </c>
      <c r="Z161" s="250">
        <v>-148.42099999999999</v>
      </c>
      <c r="AA161" s="165">
        <v>-121.503</v>
      </c>
      <c r="AB161" s="165">
        <v>-184.39</v>
      </c>
      <c r="AC161" s="165">
        <v>-144.27500000000001</v>
      </c>
      <c r="AD161" s="165">
        <v>-62.319000000000003</v>
      </c>
      <c r="AE161" s="165">
        <v>-62.825000000000003</v>
      </c>
      <c r="AF161" s="165">
        <v>-62.08</v>
      </c>
      <c r="AG161" s="165">
        <v>-82.385000000000005</v>
      </c>
      <c r="AH161" s="165">
        <v>-60.325000000000003</v>
      </c>
      <c r="AI161" s="1">
        <v>-54.792999999999999</v>
      </c>
      <c r="AJ161" s="1">
        <v>-38.459000000000003</v>
      </c>
      <c r="AK161" s="1" t="s">
        <v>121</v>
      </c>
      <c r="AL161" s="1" t="s">
        <v>121</v>
      </c>
      <c r="AM161" s="1" t="s">
        <v>121</v>
      </c>
      <c r="AN161" s="1" t="s">
        <v>121</v>
      </c>
      <c r="AO161" s="1" t="s">
        <v>121</v>
      </c>
      <c r="AP161" s="1" t="s">
        <v>121</v>
      </c>
      <c r="AQ161" s="1" t="s">
        <v>121</v>
      </c>
      <c r="AR161" s="1" t="s">
        <v>121</v>
      </c>
      <c r="AS161" s="1" t="s">
        <v>121</v>
      </c>
      <c r="AT161" s="1" t="s">
        <v>121</v>
      </c>
      <c r="AU161" s="1" t="s">
        <v>121</v>
      </c>
      <c r="AV161" s="1" t="s">
        <v>121</v>
      </c>
      <c r="AW161" s="1" t="s">
        <v>121</v>
      </c>
      <c r="AX161" s="1" t="s">
        <v>121</v>
      </c>
      <c r="AY161" s="1" t="s">
        <v>121</v>
      </c>
      <c r="AZ161" s="1" t="s">
        <v>121</v>
      </c>
      <c r="BA161" s="1" t="s">
        <v>121</v>
      </c>
      <c r="BB161" s="1" t="s">
        <v>121</v>
      </c>
      <c r="BC161" s="1" t="s">
        <v>121</v>
      </c>
      <c r="BD161" s="1" t="s">
        <v>121</v>
      </c>
      <c r="BE161" s="1" t="s">
        <v>121</v>
      </c>
      <c r="BF161" s="1" t="s">
        <v>121</v>
      </c>
      <c r="BG161" s="1" t="s">
        <v>121</v>
      </c>
      <c r="BH161" s="1" t="s">
        <v>121</v>
      </c>
      <c r="BI161" s="1" t="s">
        <v>121</v>
      </c>
      <c r="BJ161" s="1" t="s">
        <v>121</v>
      </c>
      <c r="BK161" s="1" t="s">
        <v>121</v>
      </c>
      <c r="BL161" s="1" t="s">
        <v>121</v>
      </c>
      <c r="BM161" s="1" t="s">
        <v>121</v>
      </c>
      <c r="BN161" s="1" t="s">
        <v>121</v>
      </c>
      <c r="BO161" s="1" t="s">
        <v>121</v>
      </c>
      <c r="BP161" s="1" t="s">
        <v>121</v>
      </c>
      <c r="BQ161" s="1" t="s">
        <v>121</v>
      </c>
    </row>
    <row r="162" spans="1:69" x14ac:dyDescent="0.25">
      <c r="A162" s="72">
        <v>162</v>
      </c>
      <c r="B162" s="230" t="s">
        <v>341</v>
      </c>
      <c r="C162" s="150" t="s">
        <v>121</v>
      </c>
      <c r="D162" s="164" t="s">
        <v>121</v>
      </c>
      <c r="E162" s="151" t="s">
        <v>121</v>
      </c>
      <c r="F162" s="312">
        <v>374</v>
      </c>
      <c r="G162" s="312">
        <v>438</v>
      </c>
      <c r="H162" s="312">
        <v>452</v>
      </c>
      <c r="I162" s="312">
        <v>518</v>
      </c>
      <c r="J162" s="312">
        <v>687</v>
      </c>
      <c r="K162" s="312">
        <v>826</v>
      </c>
      <c r="L162" s="312">
        <v>936</v>
      </c>
      <c r="M162" s="312">
        <v>2752</v>
      </c>
      <c r="N162" s="312">
        <v>1032</v>
      </c>
      <c r="O162" s="312">
        <v>793</v>
      </c>
      <c r="P162" s="312">
        <v>2479</v>
      </c>
      <c r="Q162" s="312">
        <v>3482</v>
      </c>
      <c r="R162" s="406"/>
      <c r="S162" s="406"/>
      <c r="T162" s="406"/>
      <c r="U162" s="312">
        <v>3036</v>
      </c>
      <c r="V162" s="312">
        <v>2737.9140000000002</v>
      </c>
      <c r="W162" s="294">
        <v>3233.018</v>
      </c>
      <c r="X162" s="294">
        <v>2430.9410000000003</v>
      </c>
      <c r="Y162" s="294">
        <v>3059.6970000000001</v>
      </c>
      <c r="Z162" s="294">
        <v>3130.1370000000002</v>
      </c>
      <c r="AA162" s="212">
        <v>2516.277</v>
      </c>
      <c r="AB162" s="212">
        <v>2961.7160000000003</v>
      </c>
      <c r="AC162" s="212">
        <v>2601.3020000000001</v>
      </c>
      <c r="AD162" s="212">
        <v>3543.8719999999998</v>
      </c>
      <c r="AE162" s="212">
        <v>3398.7450000000003</v>
      </c>
      <c r="AF162" s="212">
        <v>3256.1309999999999</v>
      </c>
      <c r="AG162" s="212">
        <v>3514.058</v>
      </c>
      <c r="AH162" s="212">
        <v>3407.9740000000002</v>
      </c>
      <c r="AI162" s="1">
        <v>3096.5009999999997</v>
      </c>
      <c r="AJ162" s="1">
        <v>2360.8440000000001</v>
      </c>
      <c r="AK162" s="1" t="s">
        <v>121</v>
      </c>
      <c r="AL162" s="1" t="s">
        <v>121</v>
      </c>
      <c r="AM162" s="1" t="s">
        <v>121</v>
      </c>
      <c r="AN162" s="1" t="s">
        <v>121</v>
      </c>
      <c r="AO162" s="1" t="s">
        <v>121</v>
      </c>
      <c r="AP162" s="1" t="s">
        <v>121</v>
      </c>
      <c r="AQ162" s="1" t="s">
        <v>121</v>
      </c>
      <c r="AR162" s="1" t="s">
        <v>121</v>
      </c>
      <c r="AS162" s="1" t="s">
        <v>121</v>
      </c>
      <c r="AT162" s="1" t="s">
        <v>121</v>
      </c>
      <c r="AU162" s="1" t="s">
        <v>121</v>
      </c>
      <c r="AV162" s="1" t="s">
        <v>121</v>
      </c>
      <c r="AW162" s="1" t="s">
        <v>121</v>
      </c>
      <c r="AX162" s="1" t="s">
        <v>121</v>
      </c>
      <c r="AY162" s="1" t="s">
        <v>121</v>
      </c>
      <c r="AZ162" s="1" t="s">
        <v>121</v>
      </c>
      <c r="BA162" s="1" t="s">
        <v>121</v>
      </c>
      <c r="BB162" s="1" t="s">
        <v>121</v>
      </c>
      <c r="BC162" s="1" t="s">
        <v>121</v>
      </c>
      <c r="BD162" s="1" t="s">
        <v>121</v>
      </c>
      <c r="BE162" s="1" t="s">
        <v>121</v>
      </c>
      <c r="BF162" s="1" t="s">
        <v>121</v>
      </c>
      <c r="BG162" s="1" t="s">
        <v>121</v>
      </c>
      <c r="BH162" s="1" t="s">
        <v>121</v>
      </c>
      <c r="BI162" s="1" t="s">
        <v>121</v>
      </c>
      <c r="BJ162" s="1" t="s">
        <v>121</v>
      </c>
      <c r="BK162" s="1" t="s">
        <v>121</v>
      </c>
      <c r="BL162" s="1" t="s">
        <v>121</v>
      </c>
      <c r="BM162" s="1" t="s">
        <v>121</v>
      </c>
      <c r="BN162" s="1" t="s">
        <v>121</v>
      </c>
      <c r="BO162" s="1" t="s">
        <v>121</v>
      </c>
      <c r="BP162" s="1" t="s">
        <v>121</v>
      </c>
      <c r="BQ162" s="1" t="s">
        <v>121</v>
      </c>
    </row>
    <row r="163" spans="1:69" x14ac:dyDescent="0.25">
      <c r="A163" s="72">
        <v>163</v>
      </c>
      <c r="B163" s="232" t="s">
        <v>342</v>
      </c>
      <c r="C163" s="150" t="s">
        <v>121</v>
      </c>
      <c r="D163" s="164" t="s">
        <v>121</v>
      </c>
      <c r="E163" s="151" t="s">
        <v>121</v>
      </c>
      <c r="F163" s="326" t="s">
        <v>121</v>
      </c>
      <c r="G163" s="326" t="s">
        <v>121</v>
      </c>
      <c r="H163" s="326" t="s">
        <v>121</v>
      </c>
      <c r="I163" s="326" t="s">
        <v>121</v>
      </c>
      <c r="J163" s="326" t="s">
        <v>121</v>
      </c>
      <c r="K163" s="326" t="s">
        <v>121</v>
      </c>
      <c r="L163" s="326" t="s">
        <v>121</v>
      </c>
      <c r="M163" s="326" t="s">
        <v>121</v>
      </c>
      <c r="N163" s="326" t="s">
        <v>121</v>
      </c>
      <c r="O163" s="326" t="s">
        <v>121</v>
      </c>
      <c r="P163" s="326" t="s">
        <v>121</v>
      </c>
      <c r="Q163" s="326" t="s">
        <v>121</v>
      </c>
      <c r="R163" s="406"/>
      <c r="S163" s="406"/>
      <c r="T163" s="406"/>
      <c r="U163" s="326" t="s">
        <v>121</v>
      </c>
      <c r="V163" s="326" t="s">
        <v>121</v>
      </c>
      <c r="W163" s="275" t="s">
        <v>121</v>
      </c>
      <c r="X163" s="275" t="s">
        <v>121</v>
      </c>
      <c r="Y163" s="275" t="s">
        <v>121</v>
      </c>
      <c r="Z163" s="275" t="s">
        <v>121</v>
      </c>
      <c r="AA163" s="164" t="s">
        <v>121</v>
      </c>
      <c r="AB163" s="164" t="s">
        <v>121</v>
      </c>
      <c r="AC163" s="164" t="s">
        <v>121</v>
      </c>
      <c r="AD163" s="164" t="s">
        <v>121</v>
      </c>
      <c r="AE163" s="164" t="s">
        <v>121</v>
      </c>
      <c r="AF163" s="164" t="s">
        <v>121</v>
      </c>
      <c r="AG163" s="164" t="s">
        <v>121</v>
      </c>
      <c r="AH163" s="165" t="s">
        <v>121</v>
      </c>
      <c r="AI163" s="1" t="s">
        <v>121</v>
      </c>
      <c r="AJ163" s="1" t="s">
        <v>121</v>
      </c>
      <c r="AK163" s="1" t="s">
        <v>121</v>
      </c>
      <c r="AL163" s="1" t="s">
        <v>121</v>
      </c>
      <c r="AM163" s="1" t="s">
        <v>121</v>
      </c>
      <c r="AN163" s="1" t="s">
        <v>121</v>
      </c>
      <c r="AO163" s="1" t="s">
        <v>121</v>
      </c>
      <c r="AP163" s="1" t="s">
        <v>121</v>
      </c>
      <c r="AQ163" s="1" t="s">
        <v>121</v>
      </c>
      <c r="AR163" s="1" t="s">
        <v>121</v>
      </c>
      <c r="AS163" s="1" t="s">
        <v>121</v>
      </c>
      <c r="AT163" s="1" t="s">
        <v>121</v>
      </c>
      <c r="AU163" s="1" t="s">
        <v>121</v>
      </c>
      <c r="AV163" s="1" t="s">
        <v>121</v>
      </c>
      <c r="AW163" s="1" t="s">
        <v>121</v>
      </c>
      <c r="AX163" s="1" t="s">
        <v>121</v>
      </c>
      <c r="AY163" s="1" t="s">
        <v>121</v>
      </c>
      <c r="AZ163" s="1" t="s">
        <v>121</v>
      </c>
      <c r="BA163" s="1" t="s">
        <v>121</v>
      </c>
      <c r="BB163" s="1" t="s">
        <v>121</v>
      </c>
      <c r="BC163" s="1" t="s">
        <v>121</v>
      </c>
      <c r="BD163" s="1" t="s">
        <v>121</v>
      </c>
      <c r="BE163" s="1" t="s">
        <v>121</v>
      </c>
      <c r="BF163" s="1" t="s">
        <v>121</v>
      </c>
      <c r="BG163" s="1" t="s">
        <v>121</v>
      </c>
      <c r="BH163" s="1" t="s">
        <v>121</v>
      </c>
      <c r="BI163" s="1" t="s">
        <v>121</v>
      </c>
      <c r="BJ163" s="1" t="s">
        <v>121</v>
      </c>
      <c r="BK163" s="1" t="s">
        <v>121</v>
      </c>
      <c r="BL163" s="1" t="s">
        <v>121</v>
      </c>
      <c r="BM163" s="1" t="s">
        <v>121</v>
      </c>
      <c r="BN163" s="1" t="s">
        <v>121</v>
      </c>
      <c r="BO163" s="1" t="s">
        <v>121</v>
      </c>
      <c r="BP163" s="1" t="s">
        <v>121</v>
      </c>
      <c r="BQ163" s="1" t="s">
        <v>121</v>
      </c>
    </row>
    <row r="164" spans="1:69" x14ac:dyDescent="0.25">
      <c r="A164" s="72">
        <v>164</v>
      </c>
      <c r="B164" s="217" t="s">
        <v>353</v>
      </c>
      <c r="C164" s="150" t="s">
        <v>121</v>
      </c>
      <c r="D164" s="164" t="s">
        <v>121</v>
      </c>
      <c r="E164" s="151" t="s">
        <v>121</v>
      </c>
      <c r="F164" s="244">
        <v>148</v>
      </c>
      <c r="G164" s="244" t="s">
        <v>121</v>
      </c>
      <c r="H164" s="244" t="s">
        <v>121</v>
      </c>
      <c r="I164" s="244" t="s">
        <v>121</v>
      </c>
      <c r="J164" s="244" t="s">
        <v>121</v>
      </c>
      <c r="K164" s="244" t="s">
        <v>121</v>
      </c>
      <c r="L164" s="244" t="s">
        <v>121</v>
      </c>
      <c r="M164" s="244" t="s">
        <v>121</v>
      </c>
      <c r="N164" s="244">
        <v>1571</v>
      </c>
      <c r="O164" s="244">
        <v>1569</v>
      </c>
      <c r="P164" s="244">
        <v>12</v>
      </c>
      <c r="Q164" s="244" t="s">
        <v>121</v>
      </c>
      <c r="R164" s="406"/>
      <c r="S164" s="406"/>
      <c r="T164" s="406"/>
      <c r="U164" s="244" t="s">
        <v>121</v>
      </c>
      <c r="V164" s="244">
        <v>130.73699999999999</v>
      </c>
      <c r="W164" s="250" t="s">
        <v>121</v>
      </c>
      <c r="X164" s="250">
        <v>468.70800000000003</v>
      </c>
      <c r="Y164" s="250">
        <v>486.46199999999999</v>
      </c>
      <c r="Z164" s="275">
        <v>437.47399999999999</v>
      </c>
      <c r="AA164" s="164">
        <v>417.37400000000002</v>
      </c>
      <c r="AB164" s="164" t="s">
        <v>121</v>
      </c>
      <c r="AC164" s="164" t="s">
        <v>121</v>
      </c>
      <c r="AD164" s="164" t="s">
        <v>121</v>
      </c>
      <c r="AE164" s="164" t="s">
        <v>121</v>
      </c>
      <c r="AF164" s="164" t="s">
        <v>121</v>
      </c>
      <c r="AG164" s="164" t="s">
        <v>121</v>
      </c>
      <c r="AH164" s="165" t="s">
        <v>121</v>
      </c>
      <c r="AI164" s="1" t="s">
        <v>121</v>
      </c>
      <c r="AJ164" s="1" t="s">
        <v>121</v>
      </c>
      <c r="AK164" s="1" t="s">
        <v>121</v>
      </c>
      <c r="AL164" s="1" t="s">
        <v>121</v>
      </c>
      <c r="AM164" s="1" t="s">
        <v>121</v>
      </c>
      <c r="AN164" s="1" t="s">
        <v>121</v>
      </c>
      <c r="AO164" s="1" t="s">
        <v>121</v>
      </c>
      <c r="AP164" s="1" t="s">
        <v>121</v>
      </c>
      <c r="AQ164" s="1" t="s">
        <v>121</v>
      </c>
      <c r="AR164" s="1" t="s">
        <v>121</v>
      </c>
      <c r="AS164" s="1" t="s">
        <v>121</v>
      </c>
      <c r="AT164" s="1" t="s">
        <v>121</v>
      </c>
      <c r="AU164" s="1" t="s">
        <v>121</v>
      </c>
      <c r="AV164" s="1" t="s">
        <v>121</v>
      </c>
      <c r="AW164" s="1" t="s">
        <v>121</v>
      </c>
      <c r="AX164" s="1" t="s">
        <v>121</v>
      </c>
      <c r="AY164" s="1" t="s">
        <v>121</v>
      </c>
      <c r="AZ164" s="1" t="s">
        <v>121</v>
      </c>
      <c r="BA164" s="1" t="s">
        <v>121</v>
      </c>
      <c r="BB164" s="1" t="s">
        <v>121</v>
      </c>
      <c r="BC164" s="1" t="s">
        <v>121</v>
      </c>
      <c r="BD164" s="1" t="s">
        <v>121</v>
      </c>
      <c r="BE164" s="1" t="s">
        <v>121</v>
      </c>
      <c r="BF164" s="1" t="s">
        <v>121</v>
      </c>
      <c r="BG164" s="1" t="s">
        <v>121</v>
      </c>
      <c r="BH164" s="1" t="s">
        <v>121</v>
      </c>
      <c r="BI164" s="1" t="s">
        <v>121</v>
      </c>
      <c r="BJ164" s="1" t="s">
        <v>121</v>
      </c>
      <c r="BK164" s="1" t="s">
        <v>121</v>
      </c>
      <c r="BL164" s="1" t="s">
        <v>121</v>
      </c>
      <c r="BM164" s="1" t="s">
        <v>121</v>
      </c>
      <c r="BN164" s="1" t="s">
        <v>121</v>
      </c>
      <c r="BO164" s="1" t="s">
        <v>121</v>
      </c>
      <c r="BP164" s="1" t="s">
        <v>121</v>
      </c>
      <c r="BQ164" s="1" t="s">
        <v>121</v>
      </c>
    </row>
    <row r="165" spans="1:69" x14ac:dyDescent="0.25">
      <c r="A165" s="72">
        <v>165</v>
      </c>
      <c r="B165" s="217" t="s">
        <v>354</v>
      </c>
      <c r="C165" s="150" t="s">
        <v>121</v>
      </c>
      <c r="D165" s="164" t="s">
        <v>121</v>
      </c>
      <c r="E165" s="151" t="s">
        <v>121</v>
      </c>
      <c r="F165" s="244" t="s">
        <v>121</v>
      </c>
      <c r="G165" s="244" t="s">
        <v>121</v>
      </c>
      <c r="H165" s="244" t="s">
        <v>121</v>
      </c>
      <c r="I165" s="244" t="s">
        <v>121</v>
      </c>
      <c r="J165" s="244" t="s">
        <v>121</v>
      </c>
      <c r="K165" s="244" t="s">
        <v>121</v>
      </c>
      <c r="L165" s="244" t="s">
        <v>121</v>
      </c>
      <c r="M165" s="244" t="s">
        <v>121</v>
      </c>
      <c r="N165" s="244" t="s">
        <v>121</v>
      </c>
      <c r="O165" s="244" t="s">
        <v>121</v>
      </c>
      <c r="P165" s="244" t="s">
        <v>121</v>
      </c>
      <c r="Q165" s="244" t="s">
        <v>121</v>
      </c>
      <c r="R165" s="406"/>
      <c r="S165" s="406"/>
      <c r="T165" s="406"/>
      <c r="U165" s="244" t="s">
        <v>121</v>
      </c>
      <c r="V165" s="244" t="s">
        <v>121</v>
      </c>
      <c r="W165" s="250" t="s">
        <v>121</v>
      </c>
      <c r="X165" s="250" t="s">
        <v>121</v>
      </c>
      <c r="Y165" s="250" t="s">
        <v>121</v>
      </c>
      <c r="Z165" s="250" t="s">
        <v>121</v>
      </c>
      <c r="AA165" s="165">
        <v>43.46</v>
      </c>
      <c r="AB165" s="165">
        <v>44.715000000000003</v>
      </c>
      <c r="AC165" s="165">
        <v>47.125</v>
      </c>
      <c r="AD165" s="165" t="s">
        <v>121</v>
      </c>
      <c r="AE165" s="165">
        <v>46.561999999999998</v>
      </c>
      <c r="AF165" s="165" t="s">
        <v>121</v>
      </c>
      <c r="AG165" s="165" t="s">
        <v>121</v>
      </c>
      <c r="AH165" s="165" t="s">
        <v>121</v>
      </c>
      <c r="AI165" s="1">
        <v>5.0000000000000001E-3</v>
      </c>
      <c r="AJ165" s="1" t="s">
        <v>121</v>
      </c>
      <c r="AK165" s="1" t="s">
        <v>121</v>
      </c>
      <c r="AL165" s="1" t="s">
        <v>121</v>
      </c>
      <c r="AM165" s="1" t="s">
        <v>121</v>
      </c>
      <c r="AN165" s="1" t="s">
        <v>121</v>
      </c>
      <c r="AO165" s="1" t="s">
        <v>121</v>
      </c>
      <c r="AP165" s="1" t="s">
        <v>121</v>
      </c>
      <c r="AQ165" s="1" t="s">
        <v>121</v>
      </c>
      <c r="AR165" s="1" t="s">
        <v>121</v>
      </c>
      <c r="AS165" s="1" t="s">
        <v>121</v>
      </c>
      <c r="AT165" s="1" t="s">
        <v>121</v>
      </c>
      <c r="AU165" s="1" t="s">
        <v>121</v>
      </c>
      <c r="AV165" s="1" t="s">
        <v>121</v>
      </c>
      <c r="AW165" s="1" t="s">
        <v>121</v>
      </c>
      <c r="AX165" s="1" t="s">
        <v>121</v>
      </c>
      <c r="AY165" s="1" t="s">
        <v>121</v>
      </c>
      <c r="AZ165" s="1" t="s">
        <v>121</v>
      </c>
      <c r="BA165" s="1" t="s">
        <v>121</v>
      </c>
      <c r="BB165" s="1" t="s">
        <v>121</v>
      </c>
      <c r="BC165" s="1" t="s">
        <v>121</v>
      </c>
      <c r="BD165" s="1" t="s">
        <v>121</v>
      </c>
      <c r="BE165" s="1" t="s">
        <v>121</v>
      </c>
      <c r="BF165" s="1" t="s">
        <v>121</v>
      </c>
      <c r="BG165" s="1" t="s">
        <v>121</v>
      </c>
      <c r="BH165" s="1" t="s">
        <v>121</v>
      </c>
      <c r="BI165" s="1" t="s">
        <v>121</v>
      </c>
      <c r="BJ165" s="1" t="s">
        <v>121</v>
      </c>
      <c r="BK165" s="1" t="s">
        <v>121</v>
      </c>
      <c r="BL165" s="1" t="s">
        <v>121</v>
      </c>
      <c r="BM165" s="1" t="s">
        <v>121</v>
      </c>
      <c r="BN165" s="1" t="s">
        <v>121</v>
      </c>
      <c r="BO165" s="1" t="s">
        <v>121</v>
      </c>
      <c r="BP165" s="1" t="s">
        <v>121</v>
      </c>
      <c r="BQ165" s="1" t="s">
        <v>121</v>
      </c>
    </row>
    <row r="166" spans="1:69" x14ac:dyDescent="0.25">
      <c r="A166" s="72">
        <v>166</v>
      </c>
      <c r="B166" s="233" t="s">
        <v>343</v>
      </c>
      <c r="C166" s="150" t="s">
        <v>121</v>
      </c>
      <c r="D166" s="164" t="s">
        <v>121</v>
      </c>
      <c r="E166" s="151" t="s">
        <v>121</v>
      </c>
      <c r="F166" s="312">
        <v>148</v>
      </c>
      <c r="G166" s="312" t="s">
        <v>121</v>
      </c>
      <c r="H166" s="312" t="s">
        <v>121</v>
      </c>
      <c r="I166" s="312" t="s">
        <v>121</v>
      </c>
      <c r="J166" s="312" t="s">
        <v>121</v>
      </c>
      <c r="K166" s="312" t="s">
        <v>121</v>
      </c>
      <c r="L166" s="312" t="s">
        <v>121</v>
      </c>
      <c r="M166" s="312" t="s">
        <v>121</v>
      </c>
      <c r="N166" s="312">
        <v>1571</v>
      </c>
      <c r="O166" s="312">
        <v>1569</v>
      </c>
      <c r="P166" s="312">
        <v>12</v>
      </c>
      <c r="Q166" s="312" t="s">
        <v>121</v>
      </c>
      <c r="R166" s="406"/>
      <c r="S166" s="406"/>
      <c r="T166" s="406"/>
      <c r="U166" s="312" t="s">
        <v>121</v>
      </c>
      <c r="V166" s="312">
        <v>130.73699999999999</v>
      </c>
      <c r="W166" s="294" t="s">
        <v>121</v>
      </c>
      <c r="X166" s="294">
        <v>468.70800000000003</v>
      </c>
      <c r="Y166" s="294">
        <v>486.46199999999999</v>
      </c>
      <c r="Z166" s="294">
        <v>437.47399999999999</v>
      </c>
      <c r="AA166" s="212">
        <v>460.834</v>
      </c>
      <c r="AB166" s="212">
        <v>44.715000000000003</v>
      </c>
      <c r="AC166" s="212">
        <v>47.125</v>
      </c>
      <c r="AD166" s="212" t="s">
        <v>121</v>
      </c>
      <c r="AE166" s="212">
        <v>46.561999999999998</v>
      </c>
      <c r="AF166" s="212" t="s">
        <v>121</v>
      </c>
      <c r="AG166" s="212" t="s">
        <v>121</v>
      </c>
      <c r="AH166" s="212" t="s">
        <v>121</v>
      </c>
      <c r="AI166" s="1">
        <v>5.0000000000000001E-3</v>
      </c>
      <c r="AJ166" s="1" t="s">
        <v>121</v>
      </c>
      <c r="AK166" s="1" t="s">
        <v>121</v>
      </c>
      <c r="AL166" s="1" t="s">
        <v>121</v>
      </c>
      <c r="AM166" s="1" t="s">
        <v>121</v>
      </c>
      <c r="AN166" s="1" t="s">
        <v>121</v>
      </c>
      <c r="AO166" s="1" t="s">
        <v>121</v>
      </c>
      <c r="AP166" s="1" t="s">
        <v>121</v>
      </c>
      <c r="AQ166" s="1" t="s">
        <v>121</v>
      </c>
      <c r="AR166" s="1" t="s">
        <v>121</v>
      </c>
      <c r="AS166" s="1" t="s">
        <v>121</v>
      </c>
      <c r="AT166" s="1" t="s">
        <v>121</v>
      </c>
      <c r="AU166" s="1" t="s">
        <v>121</v>
      </c>
      <c r="AV166" s="1" t="s">
        <v>121</v>
      </c>
      <c r="AW166" s="1" t="s">
        <v>121</v>
      </c>
      <c r="AX166" s="1" t="s">
        <v>121</v>
      </c>
      <c r="AY166" s="1" t="s">
        <v>121</v>
      </c>
      <c r="AZ166" s="1" t="s">
        <v>121</v>
      </c>
      <c r="BA166" s="1" t="s">
        <v>121</v>
      </c>
      <c r="BB166" s="1" t="s">
        <v>121</v>
      </c>
      <c r="BC166" s="1" t="s">
        <v>121</v>
      </c>
      <c r="BD166" s="1" t="s">
        <v>121</v>
      </c>
      <c r="BE166" s="1" t="s">
        <v>121</v>
      </c>
      <c r="BF166" s="1" t="s">
        <v>121</v>
      </c>
      <c r="BG166" s="1" t="s">
        <v>121</v>
      </c>
      <c r="BH166" s="1" t="s">
        <v>121</v>
      </c>
      <c r="BI166" s="1" t="s">
        <v>121</v>
      </c>
      <c r="BJ166" s="1" t="s">
        <v>121</v>
      </c>
      <c r="BK166" s="1" t="s">
        <v>121</v>
      </c>
      <c r="BL166" s="1" t="s">
        <v>121</v>
      </c>
      <c r="BM166" s="1" t="s">
        <v>121</v>
      </c>
      <c r="BN166" s="1" t="s">
        <v>121</v>
      </c>
      <c r="BO166" s="1" t="s">
        <v>121</v>
      </c>
      <c r="BP166" s="1" t="s">
        <v>121</v>
      </c>
      <c r="BQ166" s="1" t="s">
        <v>121</v>
      </c>
    </row>
    <row r="167" spans="1:69" x14ac:dyDescent="0.25">
      <c r="A167" s="72">
        <v>167</v>
      </c>
      <c r="B167" s="231" t="s">
        <v>14</v>
      </c>
      <c r="C167" s="150" t="s">
        <v>121</v>
      </c>
      <c r="D167" s="164" t="s">
        <v>121</v>
      </c>
      <c r="E167" s="151" t="s">
        <v>121</v>
      </c>
      <c r="F167" s="244">
        <v>-26</v>
      </c>
      <c r="G167" s="244" t="s">
        <v>121</v>
      </c>
      <c r="H167" s="244" t="s">
        <v>121</v>
      </c>
      <c r="I167" s="244" t="s">
        <v>121</v>
      </c>
      <c r="J167" s="244" t="s">
        <v>121</v>
      </c>
      <c r="K167" s="244" t="s">
        <v>121</v>
      </c>
      <c r="L167" s="244" t="s">
        <v>121</v>
      </c>
      <c r="M167" s="244" t="s">
        <v>121</v>
      </c>
      <c r="N167" s="244">
        <v>-1</v>
      </c>
      <c r="O167" s="244">
        <v>-2</v>
      </c>
      <c r="P167" s="244">
        <v>-5</v>
      </c>
      <c r="Q167" s="244" t="s">
        <v>121</v>
      </c>
      <c r="R167" s="406"/>
      <c r="S167" s="406"/>
      <c r="T167" s="406"/>
      <c r="U167" s="244" t="s">
        <v>121</v>
      </c>
      <c r="V167" s="244">
        <v>-22.638000000000002</v>
      </c>
      <c r="W167" s="250" t="s">
        <v>121</v>
      </c>
      <c r="X167" s="250">
        <v>-207.34100000000001</v>
      </c>
      <c r="Y167" s="250">
        <v>-279.11200000000002</v>
      </c>
      <c r="Z167" s="250">
        <v>-244.05699999999999</v>
      </c>
      <c r="AA167" s="165">
        <v>-248.703</v>
      </c>
      <c r="AB167" s="165">
        <v>-24.574999999999999</v>
      </c>
      <c r="AC167" s="165">
        <v>-28.763999999999999</v>
      </c>
      <c r="AD167" s="165" t="s">
        <v>121</v>
      </c>
      <c r="AE167" s="165">
        <v>-8.7379999999999995</v>
      </c>
      <c r="AF167" s="165" t="s">
        <v>121</v>
      </c>
      <c r="AG167" s="165" t="s">
        <v>121</v>
      </c>
      <c r="AH167" s="165" t="s">
        <v>121</v>
      </c>
      <c r="AI167" s="1" t="s">
        <v>121</v>
      </c>
      <c r="AJ167" s="1" t="s">
        <v>121</v>
      </c>
      <c r="AK167" s="1" t="s">
        <v>121</v>
      </c>
      <c r="AL167" s="1" t="s">
        <v>121</v>
      </c>
      <c r="AM167" s="1" t="s">
        <v>121</v>
      </c>
      <c r="AN167" s="1" t="s">
        <v>121</v>
      </c>
      <c r="AO167" s="1" t="s">
        <v>121</v>
      </c>
      <c r="AP167" s="1" t="s">
        <v>121</v>
      </c>
      <c r="AQ167" s="1" t="s">
        <v>121</v>
      </c>
      <c r="AR167" s="1" t="s">
        <v>121</v>
      </c>
      <c r="AS167" s="1" t="s">
        <v>121</v>
      </c>
      <c r="AT167" s="1" t="s">
        <v>121</v>
      </c>
      <c r="AU167" s="1" t="s">
        <v>121</v>
      </c>
      <c r="AV167" s="1" t="s">
        <v>121</v>
      </c>
      <c r="AW167" s="1" t="s">
        <v>121</v>
      </c>
      <c r="AX167" s="1" t="s">
        <v>121</v>
      </c>
      <c r="AY167" s="1" t="s">
        <v>121</v>
      </c>
      <c r="AZ167" s="1" t="s">
        <v>121</v>
      </c>
      <c r="BA167" s="1" t="s">
        <v>121</v>
      </c>
      <c r="BB167" s="1" t="s">
        <v>121</v>
      </c>
      <c r="BC167" s="1" t="s">
        <v>121</v>
      </c>
      <c r="BD167" s="1" t="s">
        <v>121</v>
      </c>
      <c r="BE167" s="1" t="s">
        <v>121</v>
      </c>
      <c r="BF167" s="1" t="s">
        <v>121</v>
      </c>
      <c r="BG167" s="1" t="s">
        <v>121</v>
      </c>
      <c r="BH167" s="1" t="s">
        <v>121</v>
      </c>
      <c r="BI167" s="1" t="s">
        <v>121</v>
      </c>
      <c r="BJ167" s="1" t="s">
        <v>121</v>
      </c>
      <c r="BK167" s="1" t="s">
        <v>121</v>
      </c>
      <c r="BL167" s="1" t="s">
        <v>121</v>
      </c>
      <c r="BM167" s="1" t="s">
        <v>121</v>
      </c>
      <c r="BN167" s="1" t="s">
        <v>121</v>
      </c>
      <c r="BO167" s="1" t="s">
        <v>121</v>
      </c>
      <c r="BP167" s="1" t="s">
        <v>121</v>
      </c>
      <c r="BQ167" s="1" t="s">
        <v>121</v>
      </c>
    </row>
    <row r="168" spans="1:69" x14ac:dyDescent="0.25">
      <c r="A168" s="72">
        <v>168</v>
      </c>
      <c r="B168" s="233" t="s">
        <v>344</v>
      </c>
      <c r="C168" s="150" t="s">
        <v>121</v>
      </c>
      <c r="D168" s="164" t="s">
        <v>121</v>
      </c>
      <c r="E168" s="151" t="s">
        <v>121</v>
      </c>
      <c r="F168" s="312">
        <v>122</v>
      </c>
      <c r="G168" s="312" t="s">
        <v>121</v>
      </c>
      <c r="H168" s="312" t="s">
        <v>121</v>
      </c>
      <c r="I168" s="312" t="s">
        <v>121</v>
      </c>
      <c r="J168" s="312" t="s">
        <v>121</v>
      </c>
      <c r="K168" s="312" t="s">
        <v>121</v>
      </c>
      <c r="L168" s="312" t="s">
        <v>121</v>
      </c>
      <c r="M168" s="312" t="s">
        <v>121</v>
      </c>
      <c r="N168" s="312">
        <v>1570</v>
      </c>
      <c r="O168" s="312">
        <v>1567</v>
      </c>
      <c r="P168" s="312">
        <v>7</v>
      </c>
      <c r="Q168" s="312" t="s">
        <v>121</v>
      </c>
      <c r="R168" s="406"/>
      <c r="S168" s="406"/>
      <c r="T168" s="406"/>
      <c r="U168" s="312" t="s">
        <v>121</v>
      </c>
      <c r="V168" s="312">
        <v>108.09899999999999</v>
      </c>
      <c r="W168" s="294" t="s">
        <v>121</v>
      </c>
      <c r="X168" s="294">
        <v>261.36700000000002</v>
      </c>
      <c r="Y168" s="294">
        <v>207.34999999999997</v>
      </c>
      <c r="Z168" s="294">
        <v>193.417</v>
      </c>
      <c r="AA168" s="212">
        <v>212.131</v>
      </c>
      <c r="AB168" s="212">
        <v>20.140000000000004</v>
      </c>
      <c r="AC168" s="212">
        <v>18.361000000000001</v>
      </c>
      <c r="AD168" s="212" t="s">
        <v>121</v>
      </c>
      <c r="AE168" s="212">
        <v>37.823999999999998</v>
      </c>
      <c r="AF168" s="212" t="s">
        <v>121</v>
      </c>
      <c r="AG168" s="212" t="s">
        <v>121</v>
      </c>
      <c r="AH168" s="212" t="s">
        <v>121</v>
      </c>
      <c r="AI168" s="1">
        <v>5.0000000000000001E-3</v>
      </c>
      <c r="AJ168" s="1" t="s">
        <v>121</v>
      </c>
      <c r="AK168" s="1" t="s">
        <v>121</v>
      </c>
      <c r="AL168" s="1" t="s">
        <v>121</v>
      </c>
      <c r="AM168" s="1" t="s">
        <v>121</v>
      </c>
      <c r="AN168" s="1" t="s">
        <v>121</v>
      </c>
      <c r="AO168" s="1" t="s">
        <v>121</v>
      </c>
      <c r="AP168" s="1" t="s">
        <v>121</v>
      </c>
      <c r="AQ168" s="1" t="s">
        <v>121</v>
      </c>
      <c r="AR168" s="1" t="s">
        <v>121</v>
      </c>
      <c r="AS168" s="1" t="s">
        <v>121</v>
      </c>
      <c r="AT168" s="1" t="s">
        <v>121</v>
      </c>
      <c r="AU168" s="1" t="s">
        <v>121</v>
      </c>
      <c r="AV168" s="1" t="s">
        <v>121</v>
      </c>
      <c r="AW168" s="1" t="s">
        <v>121</v>
      </c>
      <c r="AX168" s="1" t="s">
        <v>121</v>
      </c>
      <c r="AY168" s="1" t="s">
        <v>121</v>
      </c>
      <c r="AZ168" s="1" t="s">
        <v>121</v>
      </c>
      <c r="BA168" s="1" t="s">
        <v>121</v>
      </c>
      <c r="BB168" s="1" t="s">
        <v>121</v>
      </c>
      <c r="BC168" s="1" t="s">
        <v>121</v>
      </c>
      <c r="BD168" s="1" t="s">
        <v>121</v>
      </c>
      <c r="BE168" s="1" t="s">
        <v>121</v>
      </c>
      <c r="BF168" s="1" t="s">
        <v>121</v>
      </c>
      <c r="BG168" s="1" t="s">
        <v>121</v>
      </c>
      <c r="BH168" s="1" t="s">
        <v>121</v>
      </c>
      <c r="BI168" s="1" t="s">
        <v>121</v>
      </c>
      <c r="BJ168" s="1" t="s">
        <v>121</v>
      </c>
      <c r="BK168" s="1" t="s">
        <v>121</v>
      </c>
      <c r="BL168" s="1" t="s">
        <v>121</v>
      </c>
      <c r="BM168" s="1" t="s">
        <v>121</v>
      </c>
      <c r="BN168" s="1" t="s">
        <v>121</v>
      </c>
      <c r="BO168" s="1" t="s">
        <v>121</v>
      </c>
      <c r="BP168" s="1" t="s">
        <v>121</v>
      </c>
      <c r="BQ168" s="1" t="s">
        <v>121</v>
      </c>
    </row>
    <row r="169" spans="1:69" x14ac:dyDescent="0.25">
      <c r="A169" s="72">
        <v>169</v>
      </c>
      <c r="B169" s="232" t="s">
        <v>345</v>
      </c>
      <c r="C169" s="150" t="s">
        <v>121</v>
      </c>
      <c r="D169" s="164" t="s">
        <v>121</v>
      </c>
      <c r="E169" s="151" t="s">
        <v>121</v>
      </c>
      <c r="F169" s="326" t="s">
        <v>121</v>
      </c>
      <c r="G169" s="326" t="s">
        <v>121</v>
      </c>
      <c r="H169" s="326" t="s">
        <v>121</v>
      </c>
      <c r="I169" s="326" t="s">
        <v>121</v>
      </c>
      <c r="J169" s="326" t="s">
        <v>121</v>
      </c>
      <c r="K169" s="326" t="s">
        <v>121</v>
      </c>
      <c r="L169" s="326" t="s">
        <v>121</v>
      </c>
      <c r="M169" s="326" t="s">
        <v>121</v>
      </c>
      <c r="N169" s="326" t="s">
        <v>121</v>
      </c>
      <c r="O169" s="326" t="s">
        <v>121</v>
      </c>
      <c r="P169" s="326" t="s">
        <v>121</v>
      </c>
      <c r="Q169" s="326" t="s">
        <v>121</v>
      </c>
      <c r="R169" s="406"/>
      <c r="S169" s="406"/>
      <c r="T169" s="406"/>
      <c r="U169" s="326" t="s">
        <v>121</v>
      </c>
      <c r="V169" s="326" t="s">
        <v>121</v>
      </c>
      <c r="W169" s="275" t="s">
        <v>121</v>
      </c>
      <c r="X169" s="275" t="s">
        <v>121</v>
      </c>
      <c r="Y169" s="275" t="s">
        <v>121</v>
      </c>
      <c r="Z169" s="275" t="s">
        <v>121</v>
      </c>
      <c r="AA169" s="164" t="s">
        <v>121</v>
      </c>
      <c r="AB169" s="164" t="s">
        <v>121</v>
      </c>
      <c r="AC169" s="164" t="s">
        <v>121</v>
      </c>
      <c r="AD169" s="164" t="s">
        <v>121</v>
      </c>
      <c r="AE169" s="164" t="s">
        <v>121</v>
      </c>
      <c r="AF169" s="164" t="s">
        <v>121</v>
      </c>
      <c r="AG169" s="164" t="s">
        <v>121</v>
      </c>
      <c r="AH169" s="165" t="s">
        <v>121</v>
      </c>
      <c r="AI169" s="1" t="s">
        <v>121</v>
      </c>
      <c r="AJ169" s="1" t="s">
        <v>121</v>
      </c>
      <c r="AK169" s="1" t="s">
        <v>121</v>
      </c>
      <c r="AL169" s="1" t="s">
        <v>121</v>
      </c>
      <c r="AM169" s="1" t="s">
        <v>121</v>
      </c>
      <c r="AN169" s="1" t="s">
        <v>121</v>
      </c>
      <c r="AO169" s="1" t="s">
        <v>121</v>
      </c>
      <c r="AP169" s="1" t="s">
        <v>121</v>
      </c>
      <c r="AQ169" s="1" t="s">
        <v>121</v>
      </c>
      <c r="AR169" s="1" t="s">
        <v>121</v>
      </c>
      <c r="AS169" s="1" t="s">
        <v>121</v>
      </c>
      <c r="AT169" s="1" t="s">
        <v>121</v>
      </c>
      <c r="AU169" s="1" t="s">
        <v>121</v>
      </c>
      <c r="AV169" s="1" t="s">
        <v>121</v>
      </c>
      <c r="AW169" s="1" t="s">
        <v>121</v>
      </c>
      <c r="AX169" s="1" t="s">
        <v>121</v>
      </c>
      <c r="AY169" s="1" t="s">
        <v>121</v>
      </c>
      <c r="AZ169" s="1" t="s">
        <v>121</v>
      </c>
      <c r="BA169" s="1" t="s">
        <v>121</v>
      </c>
      <c r="BB169" s="1" t="s">
        <v>121</v>
      </c>
      <c r="BC169" s="1" t="s">
        <v>121</v>
      </c>
      <c r="BD169" s="1" t="s">
        <v>121</v>
      </c>
      <c r="BE169" s="1" t="s">
        <v>121</v>
      </c>
      <c r="BF169" s="1" t="s">
        <v>121</v>
      </c>
      <c r="BG169" s="1" t="s">
        <v>121</v>
      </c>
      <c r="BH169" s="1" t="s">
        <v>121</v>
      </c>
      <c r="BI169" s="1" t="s">
        <v>121</v>
      </c>
      <c r="BJ169" s="1" t="s">
        <v>121</v>
      </c>
      <c r="BK169" s="1" t="s">
        <v>121</v>
      </c>
      <c r="BL169" s="1" t="s">
        <v>121</v>
      </c>
      <c r="BM169" s="1" t="s">
        <v>121</v>
      </c>
      <c r="BN169" s="1" t="s">
        <v>121</v>
      </c>
      <c r="BO169" s="1" t="s">
        <v>121</v>
      </c>
      <c r="BP169" s="1" t="s">
        <v>121</v>
      </c>
      <c r="BQ169" s="1" t="s">
        <v>121</v>
      </c>
    </row>
    <row r="170" spans="1:69" x14ac:dyDescent="0.25">
      <c r="A170" s="72">
        <v>170</v>
      </c>
      <c r="B170" s="217" t="s">
        <v>353</v>
      </c>
      <c r="C170" s="150" t="s">
        <v>121</v>
      </c>
      <c r="D170" s="164" t="s">
        <v>121</v>
      </c>
      <c r="E170" s="151" t="s">
        <v>121</v>
      </c>
      <c r="F170" s="244">
        <v>165</v>
      </c>
      <c r="G170" s="244">
        <v>171</v>
      </c>
      <c r="H170" s="244">
        <v>171</v>
      </c>
      <c r="I170" s="244">
        <v>171</v>
      </c>
      <c r="J170" s="244">
        <v>171</v>
      </c>
      <c r="K170" s="244">
        <v>178</v>
      </c>
      <c r="L170" s="244">
        <v>178</v>
      </c>
      <c r="M170" s="244">
        <v>178</v>
      </c>
      <c r="N170" s="244">
        <v>178</v>
      </c>
      <c r="O170" s="244">
        <v>178</v>
      </c>
      <c r="P170" s="244">
        <v>178</v>
      </c>
      <c r="Q170" s="244">
        <v>178</v>
      </c>
      <c r="R170" s="406"/>
      <c r="S170" s="406"/>
      <c r="T170" s="406"/>
      <c r="U170" s="244">
        <v>182</v>
      </c>
      <c r="V170" s="244">
        <v>357.11799999999999</v>
      </c>
      <c r="W170" s="250">
        <v>184.518</v>
      </c>
      <c r="X170" s="250">
        <v>184.518</v>
      </c>
      <c r="Y170" s="250">
        <v>184.518</v>
      </c>
      <c r="Z170" s="250">
        <v>184.518</v>
      </c>
      <c r="AA170" s="165">
        <v>184.518</v>
      </c>
      <c r="AB170" s="165">
        <v>184.517</v>
      </c>
      <c r="AC170" s="165">
        <v>498.79399999999998</v>
      </c>
      <c r="AD170" s="165">
        <v>500.88200000000001</v>
      </c>
      <c r="AE170" s="165">
        <v>510.72199999999998</v>
      </c>
      <c r="AF170" s="165">
        <v>576.09500000000003</v>
      </c>
      <c r="AG170" s="165">
        <v>576.09500000000003</v>
      </c>
      <c r="AH170" s="165">
        <v>552.06600000000003</v>
      </c>
      <c r="AI170" s="1">
        <v>562.06500000000005</v>
      </c>
      <c r="AJ170" s="1">
        <v>562.06500000000005</v>
      </c>
      <c r="AK170" s="1" t="s">
        <v>121</v>
      </c>
      <c r="AL170" s="1" t="s">
        <v>121</v>
      </c>
      <c r="AM170" s="1" t="s">
        <v>121</v>
      </c>
      <c r="AN170" s="1" t="s">
        <v>121</v>
      </c>
      <c r="AO170" s="1" t="s">
        <v>121</v>
      </c>
      <c r="AP170" s="1" t="s">
        <v>121</v>
      </c>
      <c r="AQ170" s="1" t="s">
        <v>121</v>
      </c>
      <c r="AR170" s="1" t="s">
        <v>121</v>
      </c>
      <c r="AS170" s="1" t="s">
        <v>121</v>
      </c>
      <c r="AT170" s="1" t="s">
        <v>121</v>
      </c>
      <c r="AU170" s="1" t="s">
        <v>121</v>
      </c>
      <c r="AV170" s="1" t="s">
        <v>121</v>
      </c>
      <c r="AW170" s="1" t="s">
        <v>121</v>
      </c>
      <c r="AX170" s="1" t="s">
        <v>121</v>
      </c>
      <c r="AY170" s="1" t="s">
        <v>121</v>
      </c>
      <c r="AZ170" s="1" t="s">
        <v>121</v>
      </c>
      <c r="BA170" s="1" t="s">
        <v>121</v>
      </c>
      <c r="BB170" s="1" t="s">
        <v>121</v>
      </c>
      <c r="BC170" s="1" t="s">
        <v>121</v>
      </c>
      <c r="BD170" s="1" t="s">
        <v>121</v>
      </c>
      <c r="BE170" s="1" t="s">
        <v>121</v>
      </c>
      <c r="BF170" s="1" t="s">
        <v>121</v>
      </c>
      <c r="BG170" s="1" t="s">
        <v>121</v>
      </c>
      <c r="BH170" s="1" t="s">
        <v>121</v>
      </c>
      <c r="BI170" s="1" t="s">
        <v>121</v>
      </c>
      <c r="BJ170" s="1" t="s">
        <v>121</v>
      </c>
      <c r="BK170" s="1" t="s">
        <v>121</v>
      </c>
      <c r="BL170" s="1" t="s">
        <v>121</v>
      </c>
      <c r="BM170" s="1" t="s">
        <v>121</v>
      </c>
      <c r="BN170" s="1" t="s">
        <v>121</v>
      </c>
      <c r="BO170" s="1" t="s">
        <v>121</v>
      </c>
      <c r="BP170" s="1" t="s">
        <v>121</v>
      </c>
      <c r="BQ170" s="1" t="s">
        <v>121</v>
      </c>
    </row>
    <row r="171" spans="1:69" x14ac:dyDescent="0.25">
      <c r="A171" s="72">
        <v>171</v>
      </c>
      <c r="B171" s="217" t="s">
        <v>354</v>
      </c>
      <c r="C171" s="150" t="s">
        <v>121</v>
      </c>
      <c r="D171" s="164" t="s">
        <v>121</v>
      </c>
      <c r="E171" s="151" t="s">
        <v>121</v>
      </c>
      <c r="F171" s="244" t="s">
        <v>121</v>
      </c>
      <c r="G171" s="244" t="s">
        <v>121</v>
      </c>
      <c r="H171" s="244" t="s">
        <v>121</v>
      </c>
      <c r="I171" s="244" t="s">
        <v>121</v>
      </c>
      <c r="J171" s="244" t="s">
        <v>121</v>
      </c>
      <c r="K171" s="244" t="s">
        <v>121</v>
      </c>
      <c r="L171" s="244" t="s">
        <v>121</v>
      </c>
      <c r="M171" s="244" t="s">
        <v>121</v>
      </c>
      <c r="N171" s="244" t="s">
        <v>121</v>
      </c>
      <c r="O171" s="244" t="s">
        <v>121</v>
      </c>
      <c r="P171" s="244" t="s">
        <v>121</v>
      </c>
      <c r="Q171" s="244" t="s">
        <v>121</v>
      </c>
      <c r="R171" s="406"/>
      <c r="S171" s="406"/>
      <c r="T171" s="406"/>
      <c r="U171" s="244" t="s">
        <v>121</v>
      </c>
      <c r="V171" s="244" t="s">
        <v>121</v>
      </c>
      <c r="W171" s="250" t="s">
        <v>121</v>
      </c>
      <c r="X171" s="250" t="s">
        <v>121</v>
      </c>
      <c r="Y171" s="250" t="s">
        <v>121</v>
      </c>
      <c r="Z171" s="250" t="s">
        <v>121</v>
      </c>
      <c r="AA171" s="250" t="s">
        <v>121</v>
      </c>
      <c r="AB171" s="250">
        <v>321.06700000000001</v>
      </c>
      <c r="AC171" s="250" t="s">
        <v>121</v>
      </c>
      <c r="AD171" s="250" t="s">
        <v>121</v>
      </c>
      <c r="AE171" s="250" t="s">
        <v>121</v>
      </c>
      <c r="AF171" s="250" t="s">
        <v>121</v>
      </c>
      <c r="AG171" s="250" t="s">
        <v>121</v>
      </c>
      <c r="AH171" s="165" t="s">
        <v>121</v>
      </c>
      <c r="AI171" s="1">
        <v>53.7</v>
      </c>
      <c r="AJ171" s="1" t="s">
        <v>121</v>
      </c>
      <c r="AK171" s="1" t="s">
        <v>121</v>
      </c>
      <c r="AL171" s="1" t="s">
        <v>121</v>
      </c>
      <c r="AM171" s="1" t="s">
        <v>121</v>
      </c>
      <c r="AN171" s="1" t="s">
        <v>121</v>
      </c>
      <c r="AO171" s="1" t="s">
        <v>121</v>
      </c>
      <c r="AP171" s="1" t="s">
        <v>121</v>
      </c>
      <c r="AQ171" s="1" t="s">
        <v>121</v>
      </c>
      <c r="AR171" s="1" t="s">
        <v>121</v>
      </c>
      <c r="AS171" s="1" t="s">
        <v>121</v>
      </c>
      <c r="AT171" s="1" t="s">
        <v>121</v>
      </c>
      <c r="AU171" s="1" t="s">
        <v>121</v>
      </c>
      <c r="AV171" s="1" t="s">
        <v>121</v>
      </c>
      <c r="AW171" s="1" t="s">
        <v>121</v>
      </c>
      <c r="AX171" s="1" t="s">
        <v>121</v>
      </c>
      <c r="AY171" s="1" t="s">
        <v>121</v>
      </c>
      <c r="AZ171" s="1" t="s">
        <v>121</v>
      </c>
      <c r="BA171" s="1" t="s">
        <v>121</v>
      </c>
      <c r="BB171" s="1" t="s">
        <v>121</v>
      </c>
      <c r="BC171" s="1" t="s">
        <v>121</v>
      </c>
      <c r="BD171" s="1" t="s">
        <v>121</v>
      </c>
      <c r="BE171" s="1" t="s">
        <v>121</v>
      </c>
      <c r="BF171" s="1" t="s">
        <v>121</v>
      </c>
      <c r="BG171" s="1" t="s">
        <v>121</v>
      </c>
      <c r="BH171" s="1" t="s">
        <v>121</v>
      </c>
      <c r="BI171" s="1" t="s">
        <v>121</v>
      </c>
      <c r="BJ171" s="1" t="s">
        <v>121</v>
      </c>
      <c r="BK171" s="1" t="s">
        <v>121</v>
      </c>
      <c r="BL171" s="1" t="s">
        <v>121</v>
      </c>
      <c r="BM171" s="1" t="s">
        <v>121</v>
      </c>
      <c r="BN171" s="1" t="s">
        <v>121</v>
      </c>
      <c r="BO171" s="1" t="s">
        <v>121</v>
      </c>
      <c r="BP171" s="1" t="s">
        <v>121</v>
      </c>
      <c r="BQ171" s="1" t="s">
        <v>121</v>
      </c>
    </row>
    <row r="172" spans="1:69" x14ac:dyDescent="0.25">
      <c r="A172" s="72">
        <v>172</v>
      </c>
      <c r="B172" s="217" t="s">
        <v>355</v>
      </c>
      <c r="C172" s="150" t="s">
        <v>121</v>
      </c>
      <c r="D172" s="164" t="s">
        <v>121</v>
      </c>
      <c r="E172" s="151" t="s">
        <v>121</v>
      </c>
      <c r="F172" s="244" t="s">
        <v>121</v>
      </c>
      <c r="G172" s="244" t="s">
        <v>121</v>
      </c>
      <c r="H172" s="244" t="s">
        <v>121</v>
      </c>
      <c r="I172" s="244" t="s">
        <v>121</v>
      </c>
      <c r="J172" s="244" t="s">
        <v>121</v>
      </c>
      <c r="K172" s="244" t="s">
        <v>121</v>
      </c>
      <c r="L172" s="244" t="s">
        <v>121</v>
      </c>
      <c r="M172" s="244" t="s">
        <v>121</v>
      </c>
      <c r="N172" s="244" t="s">
        <v>121</v>
      </c>
      <c r="O172" s="244">
        <v>5</v>
      </c>
      <c r="P172" s="244">
        <v>5</v>
      </c>
      <c r="Q172" s="244">
        <v>22</v>
      </c>
      <c r="R172" s="406"/>
      <c r="S172" s="406"/>
      <c r="T172" s="406"/>
      <c r="U172" s="244">
        <v>79</v>
      </c>
      <c r="V172" s="244">
        <v>144.73500000000001</v>
      </c>
      <c r="W172" s="250">
        <v>526.67200000000003</v>
      </c>
      <c r="X172" s="250">
        <v>588.24699999999996</v>
      </c>
      <c r="Y172" s="250">
        <v>578.88499999999999</v>
      </c>
      <c r="Z172" s="250">
        <v>749.04899999999998</v>
      </c>
      <c r="AA172" s="250">
        <v>693.88199999999995</v>
      </c>
      <c r="AB172" s="250">
        <v>417.06099999999998</v>
      </c>
      <c r="AC172" s="250">
        <v>515.24</v>
      </c>
      <c r="AD172" s="250">
        <v>515.69799999999998</v>
      </c>
      <c r="AE172" s="250">
        <v>1046.712</v>
      </c>
      <c r="AF172" s="250">
        <v>1138.855</v>
      </c>
      <c r="AG172" s="250">
        <v>1208.5820000000001</v>
      </c>
      <c r="AH172" s="165">
        <v>1214.6120000000001</v>
      </c>
      <c r="AI172" s="1">
        <v>1367.047</v>
      </c>
      <c r="AJ172" s="1">
        <v>1361.6689999999999</v>
      </c>
      <c r="AK172" s="1" t="s">
        <v>121</v>
      </c>
      <c r="AL172" s="1" t="s">
        <v>121</v>
      </c>
      <c r="AM172" s="1" t="s">
        <v>121</v>
      </c>
      <c r="AN172" s="1" t="s">
        <v>121</v>
      </c>
      <c r="AO172" s="1" t="s">
        <v>121</v>
      </c>
      <c r="AP172" s="1" t="s">
        <v>121</v>
      </c>
      <c r="AQ172" s="1" t="s">
        <v>121</v>
      </c>
      <c r="AR172" s="1" t="s">
        <v>121</v>
      </c>
      <c r="AS172" s="1" t="s">
        <v>121</v>
      </c>
      <c r="AT172" s="1" t="s">
        <v>121</v>
      </c>
      <c r="AU172" s="1" t="s">
        <v>121</v>
      </c>
      <c r="AV172" s="1" t="s">
        <v>121</v>
      </c>
      <c r="AW172" s="1" t="s">
        <v>121</v>
      </c>
      <c r="AX172" s="1" t="s">
        <v>121</v>
      </c>
      <c r="AY172" s="1" t="s">
        <v>121</v>
      </c>
      <c r="AZ172" s="1" t="s">
        <v>121</v>
      </c>
      <c r="BA172" s="1" t="s">
        <v>121</v>
      </c>
      <c r="BB172" s="1" t="s">
        <v>121</v>
      </c>
      <c r="BC172" s="1" t="s">
        <v>121</v>
      </c>
      <c r="BD172" s="1" t="s">
        <v>121</v>
      </c>
      <c r="BE172" s="1" t="s">
        <v>121</v>
      </c>
      <c r="BF172" s="1" t="s">
        <v>121</v>
      </c>
      <c r="BG172" s="1" t="s">
        <v>121</v>
      </c>
      <c r="BH172" s="1" t="s">
        <v>121</v>
      </c>
      <c r="BI172" s="1" t="s">
        <v>121</v>
      </c>
      <c r="BJ172" s="1" t="s">
        <v>121</v>
      </c>
      <c r="BK172" s="1" t="s">
        <v>121</v>
      </c>
      <c r="BL172" s="1" t="s">
        <v>121</v>
      </c>
      <c r="BM172" s="1" t="s">
        <v>121</v>
      </c>
      <c r="BN172" s="1" t="s">
        <v>121</v>
      </c>
      <c r="BO172" s="1" t="s">
        <v>121</v>
      </c>
      <c r="BP172" s="1" t="s">
        <v>121</v>
      </c>
      <c r="BQ172" s="1" t="s">
        <v>121</v>
      </c>
    </row>
    <row r="173" spans="1:69" x14ac:dyDescent="0.25">
      <c r="A173" s="72">
        <v>173</v>
      </c>
      <c r="B173" s="233" t="s">
        <v>346</v>
      </c>
      <c r="C173" s="150" t="s">
        <v>121</v>
      </c>
      <c r="D173" s="164" t="s">
        <v>121</v>
      </c>
      <c r="E173" s="151" t="s">
        <v>121</v>
      </c>
      <c r="F173" s="312">
        <v>165</v>
      </c>
      <c r="G173" s="312">
        <v>171</v>
      </c>
      <c r="H173" s="312">
        <v>171</v>
      </c>
      <c r="I173" s="312">
        <v>171</v>
      </c>
      <c r="J173" s="312">
        <v>171</v>
      </c>
      <c r="K173" s="312">
        <v>178</v>
      </c>
      <c r="L173" s="312">
        <v>178</v>
      </c>
      <c r="M173" s="312">
        <v>178</v>
      </c>
      <c r="N173" s="312">
        <v>178</v>
      </c>
      <c r="O173" s="312">
        <v>183</v>
      </c>
      <c r="P173" s="312">
        <v>183</v>
      </c>
      <c r="Q173" s="312">
        <v>200</v>
      </c>
      <c r="R173" s="406"/>
      <c r="S173" s="406"/>
      <c r="T173" s="406"/>
      <c r="U173" s="312">
        <v>261</v>
      </c>
      <c r="V173" s="312">
        <v>501.85300000000001</v>
      </c>
      <c r="W173" s="294">
        <v>711.19</v>
      </c>
      <c r="X173" s="294">
        <v>772.76499999999999</v>
      </c>
      <c r="Y173" s="294">
        <v>763.40300000000002</v>
      </c>
      <c r="Z173" s="294">
        <v>933.56700000000001</v>
      </c>
      <c r="AA173" s="212">
        <v>878.4</v>
      </c>
      <c r="AB173" s="212">
        <v>922.64499999999998</v>
      </c>
      <c r="AC173" s="212">
        <v>1014.034</v>
      </c>
      <c r="AD173" s="212">
        <v>1016.5799999999999</v>
      </c>
      <c r="AE173" s="212">
        <v>1557.434</v>
      </c>
      <c r="AF173" s="212">
        <v>1714.95</v>
      </c>
      <c r="AG173" s="212">
        <v>1784.6770000000001</v>
      </c>
      <c r="AH173" s="212">
        <v>1766.6780000000001</v>
      </c>
      <c r="AI173" s="1">
        <v>1982.8120000000001</v>
      </c>
      <c r="AJ173" s="1">
        <v>1923.7339999999999</v>
      </c>
      <c r="AK173" s="1" t="s">
        <v>121</v>
      </c>
      <c r="AL173" s="1" t="s">
        <v>121</v>
      </c>
      <c r="AM173" s="1" t="s">
        <v>121</v>
      </c>
      <c r="AN173" s="1" t="s">
        <v>121</v>
      </c>
      <c r="AO173" s="1" t="s">
        <v>121</v>
      </c>
      <c r="AP173" s="1" t="s">
        <v>121</v>
      </c>
      <c r="AQ173" s="1" t="s">
        <v>121</v>
      </c>
      <c r="AR173" s="1" t="s">
        <v>121</v>
      </c>
      <c r="AS173" s="1" t="s">
        <v>121</v>
      </c>
      <c r="AT173" s="1" t="s">
        <v>121</v>
      </c>
      <c r="AU173" s="1" t="s">
        <v>121</v>
      </c>
      <c r="AV173" s="1" t="s">
        <v>121</v>
      </c>
      <c r="AW173" s="1" t="s">
        <v>121</v>
      </c>
      <c r="AX173" s="1" t="s">
        <v>121</v>
      </c>
      <c r="AY173" s="1" t="s">
        <v>121</v>
      </c>
      <c r="AZ173" s="1" t="s">
        <v>121</v>
      </c>
      <c r="BA173" s="1" t="s">
        <v>121</v>
      </c>
      <c r="BB173" s="1" t="s">
        <v>121</v>
      </c>
      <c r="BC173" s="1" t="s">
        <v>121</v>
      </c>
      <c r="BD173" s="1" t="s">
        <v>121</v>
      </c>
      <c r="BE173" s="1" t="s">
        <v>121</v>
      </c>
      <c r="BF173" s="1" t="s">
        <v>121</v>
      </c>
      <c r="BG173" s="1" t="s">
        <v>121</v>
      </c>
      <c r="BH173" s="1" t="s">
        <v>121</v>
      </c>
      <c r="BI173" s="1" t="s">
        <v>121</v>
      </c>
      <c r="BJ173" s="1" t="s">
        <v>121</v>
      </c>
      <c r="BK173" s="1" t="s">
        <v>121</v>
      </c>
      <c r="BL173" s="1" t="s">
        <v>121</v>
      </c>
      <c r="BM173" s="1" t="s">
        <v>121</v>
      </c>
      <c r="BN173" s="1" t="s">
        <v>121</v>
      </c>
      <c r="BO173" s="1" t="s">
        <v>121</v>
      </c>
      <c r="BP173" s="1" t="s">
        <v>121</v>
      </c>
      <c r="BQ173" s="1" t="s">
        <v>121</v>
      </c>
    </row>
    <row r="174" spans="1:69" x14ac:dyDescent="0.25">
      <c r="A174" s="72">
        <v>174</v>
      </c>
      <c r="B174" s="231" t="s">
        <v>14</v>
      </c>
      <c r="C174" s="150" t="s">
        <v>121</v>
      </c>
      <c r="D174" s="164" t="s">
        <v>121</v>
      </c>
      <c r="E174" s="151" t="s">
        <v>121</v>
      </c>
      <c r="F174" s="244">
        <v>-165</v>
      </c>
      <c r="G174" s="244">
        <v>-171</v>
      </c>
      <c r="H174" s="244">
        <v>-171</v>
      </c>
      <c r="I174" s="244">
        <v>-171</v>
      </c>
      <c r="J174" s="244">
        <v>-171</v>
      </c>
      <c r="K174" s="244">
        <v>-178</v>
      </c>
      <c r="L174" s="244">
        <v>-178</v>
      </c>
      <c r="M174" s="244">
        <v>-178</v>
      </c>
      <c r="N174" s="244">
        <v>-177</v>
      </c>
      <c r="O174" s="244">
        <v>-182</v>
      </c>
      <c r="P174" s="244">
        <v>-182</v>
      </c>
      <c r="Q174" s="244">
        <v>-195</v>
      </c>
      <c r="R174" s="406"/>
      <c r="S174" s="406"/>
      <c r="T174" s="406"/>
      <c r="U174" s="244">
        <v>-243</v>
      </c>
      <c r="V174" s="244">
        <v>-485.63200000000001</v>
      </c>
      <c r="W174" s="250">
        <v>-532.03800000000001</v>
      </c>
      <c r="X174" s="250">
        <v>-597.97500000000002</v>
      </c>
      <c r="Y174" s="250">
        <v>-592.68399999999997</v>
      </c>
      <c r="Z174" s="250">
        <v>-713.44200000000001</v>
      </c>
      <c r="AA174" s="165">
        <v>-638.30999999999995</v>
      </c>
      <c r="AB174" s="165">
        <v>-692.02300000000002</v>
      </c>
      <c r="AC174" s="165">
        <v>-778.31899999999996</v>
      </c>
      <c r="AD174" s="165">
        <v>-815.94299999999998</v>
      </c>
      <c r="AE174" s="165">
        <v>-1381.144</v>
      </c>
      <c r="AF174" s="165">
        <v>-1542.568</v>
      </c>
      <c r="AG174" s="165">
        <v>-1569.623</v>
      </c>
      <c r="AH174" s="165">
        <v>-1460.191</v>
      </c>
      <c r="AI174" s="1">
        <v>-1676.25</v>
      </c>
      <c r="AJ174" s="1">
        <v>-1453.373</v>
      </c>
      <c r="AK174" s="1" t="s">
        <v>121</v>
      </c>
      <c r="AL174" s="1" t="s">
        <v>121</v>
      </c>
      <c r="AM174" s="1" t="s">
        <v>121</v>
      </c>
      <c r="AN174" s="1" t="s">
        <v>121</v>
      </c>
      <c r="AO174" s="1" t="s">
        <v>121</v>
      </c>
      <c r="AP174" s="1" t="s">
        <v>121</v>
      </c>
      <c r="AQ174" s="1" t="s">
        <v>121</v>
      </c>
      <c r="AR174" s="1" t="s">
        <v>121</v>
      </c>
      <c r="AS174" s="1" t="s">
        <v>121</v>
      </c>
      <c r="AT174" s="1" t="s">
        <v>121</v>
      </c>
      <c r="AU174" s="1" t="s">
        <v>121</v>
      </c>
      <c r="AV174" s="1" t="s">
        <v>121</v>
      </c>
      <c r="AW174" s="1" t="s">
        <v>121</v>
      </c>
      <c r="AX174" s="1" t="s">
        <v>121</v>
      </c>
      <c r="AY174" s="1" t="s">
        <v>121</v>
      </c>
      <c r="AZ174" s="1" t="s">
        <v>121</v>
      </c>
      <c r="BA174" s="1" t="s">
        <v>121</v>
      </c>
      <c r="BB174" s="1" t="s">
        <v>121</v>
      </c>
      <c r="BC174" s="1" t="s">
        <v>121</v>
      </c>
      <c r="BD174" s="1" t="s">
        <v>121</v>
      </c>
      <c r="BE174" s="1" t="s">
        <v>121</v>
      </c>
      <c r="BF174" s="1" t="s">
        <v>121</v>
      </c>
      <c r="BG174" s="1" t="s">
        <v>121</v>
      </c>
      <c r="BH174" s="1" t="s">
        <v>121</v>
      </c>
      <c r="BI174" s="1" t="s">
        <v>121</v>
      </c>
      <c r="BJ174" s="1" t="s">
        <v>121</v>
      </c>
      <c r="BK174" s="1" t="s">
        <v>121</v>
      </c>
      <c r="BL174" s="1" t="s">
        <v>121</v>
      </c>
      <c r="BM174" s="1" t="s">
        <v>121</v>
      </c>
      <c r="BN174" s="1" t="s">
        <v>121</v>
      </c>
      <c r="BO174" s="1" t="s">
        <v>121</v>
      </c>
      <c r="BP174" s="1" t="s">
        <v>121</v>
      </c>
      <c r="BQ174" s="1" t="s">
        <v>121</v>
      </c>
    </row>
    <row r="175" spans="1:69" ht="21" customHeight="1" x14ac:dyDescent="0.25">
      <c r="A175" s="72">
        <v>175</v>
      </c>
      <c r="B175" s="233" t="s">
        <v>347</v>
      </c>
      <c r="C175" s="150" t="s">
        <v>121</v>
      </c>
      <c r="D175" s="164" t="s">
        <v>121</v>
      </c>
      <c r="E175" s="151" t="s">
        <v>121</v>
      </c>
      <c r="F175" s="312" t="s">
        <v>121</v>
      </c>
      <c r="G175" s="312" t="s">
        <v>121</v>
      </c>
      <c r="H175" s="312" t="s">
        <v>121</v>
      </c>
      <c r="I175" s="312" t="s">
        <v>121</v>
      </c>
      <c r="J175" s="312" t="s">
        <v>121</v>
      </c>
      <c r="K175" s="312" t="s">
        <v>121</v>
      </c>
      <c r="L175" s="312" t="s">
        <v>121</v>
      </c>
      <c r="M175" s="312" t="s">
        <v>121</v>
      </c>
      <c r="N175" s="312">
        <v>1</v>
      </c>
      <c r="O175" s="312">
        <v>1</v>
      </c>
      <c r="P175" s="312">
        <v>1</v>
      </c>
      <c r="Q175" s="312">
        <v>5</v>
      </c>
      <c r="R175" s="406"/>
      <c r="S175" s="406"/>
      <c r="T175" s="406"/>
      <c r="U175" s="312">
        <v>18</v>
      </c>
      <c r="V175" s="312">
        <v>16.221000000000004</v>
      </c>
      <c r="W175" s="294">
        <v>179.15200000000004</v>
      </c>
      <c r="X175" s="294">
        <v>174.78999999999996</v>
      </c>
      <c r="Y175" s="294">
        <v>170.71900000000005</v>
      </c>
      <c r="Z175" s="294">
        <v>220.125</v>
      </c>
      <c r="AA175" s="212">
        <v>240.09000000000003</v>
      </c>
      <c r="AB175" s="212">
        <v>230.62199999999996</v>
      </c>
      <c r="AC175" s="212">
        <v>235.71500000000003</v>
      </c>
      <c r="AD175" s="212">
        <v>200.63699999999994</v>
      </c>
      <c r="AE175" s="212">
        <v>176.28999999999996</v>
      </c>
      <c r="AF175" s="212">
        <v>172.38200000000006</v>
      </c>
      <c r="AG175" s="212">
        <v>215.05400000000009</v>
      </c>
      <c r="AH175" s="212">
        <v>306.48700000000008</v>
      </c>
      <c r="AI175" s="1">
        <v>306.56200000000013</v>
      </c>
      <c r="AJ175" s="1">
        <v>470.36099999999988</v>
      </c>
      <c r="AK175" s="1" t="s">
        <v>121</v>
      </c>
      <c r="AL175" s="1" t="s">
        <v>121</v>
      </c>
      <c r="AM175" s="1" t="s">
        <v>121</v>
      </c>
      <c r="AN175" s="1" t="s">
        <v>121</v>
      </c>
      <c r="AO175" s="1" t="s">
        <v>121</v>
      </c>
      <c r="AP175" s="1" t="s">
        <v>121</v>
      </c>
      <c r="AQ175" s="1" t="s">
        <v>121</v>
      </c>
      <c r="AR175" s="1" t="s">
        <v>121</v>
      </c>
      <c r="AS175" s="1" t="s">
        <v>121</v>
      </c>
      <c r="AT175" s="1" t="s">
        <v>121</v>
      </c>
      <c r="AU175" s="1" t="s">
        <v>121</v>
      </c>
      <c r="AV175" s="1" t="s">
        <v>121</v>
      </c>
      <c r="AW175" s="1" t="s">
        <v>121</v>
      </c>
      <c r="AX175" s="1" t="s">
        <v>121</v>
      </c>
      <c r="AY175" s="1" t="s">
        <v>121</v>
      </c>
      <c r="AZ175" s="1" t="s">
        <v>121</v>
      </c>
      <c r="BA175" s="1" t="s">
        <v>121</v>
      </c>
      <c r="BB175" s="1" t="s">
        <v>121</v>
      </c>
      <c r="BC175" s="1" t="s">
        <v>121</v>
      </c>
      <c r="BD175" s="1" t="s">
        <v>121</v>
      </c>
      <c r="BE175" s="1" t="s">
        <v>121</v>
      </c>
      <c r="BF175" s="1" t="s">
        <v>121</v>
      </c>
      <c r="BG175" s="1" t="s">
        <v>121</v>
      </c>
      <c r="BH175" s="1" t="s">
        <v>121</v>
      </c>
      <c r="BI175" s="1" t="s">
        <v>121</v>
      </c>
      <c r="BJ175" s="1" t="s">
        <v>121</v>
      </c>
      <c r="BK175" s="1" t="s">
        <v>121</v>
      </c>
      <c r="BL175" s="1" t="s">
        <v>121</v>
      </c>
      <c r="BM175" s="1" t="s">
        <v>121</v>
      </c>
      <c r="BN175" s="1" t="s">
        <v>121</v>
      </c>
      <c r="BO175" s="1" t="s">
        <v>121</v>
      </c>
      <c r="BP175" s="1" t="s">
        <v>121</v>
      </c>
      <c r="BQ175" s="1" t="s">
        <v>121</v>
      </c>
    </row>
    <row r="176" spans="1:69" x14ac:dyDescent="0.25">
      <c r="A176" s="72">
        <v>176</v>
      </c>
      <c r="B176" s="218" t="s">
        <v>362</v>
      </c>
      <c r="C176" s="182" t="s">
        <v>121</v>
      </c>
      <c r="D176" s="179" t="s">
        <v>121</v>
      </c>
      <c r="E176" s="234" t="s">
        <v>121</v>
      </c>
      <c r="F176" s="312">
        <v>694</v>
      </c>
      <c r="G176" s="312">
        <v>618</v>
      </c>
      <c r="H176" s="312">
        <v>632</v>
      </c>
      <c r="I176" s="312">
        <v>700</v>
      </c>
      <c r="J176" s="312">
        <v>871</v>
      </c>
      <c r="K176" s="312">
        <v>1019</v>
      </c>
      <c r="L176" s="312">
        <v>1131</v>
      </c>
      <c r="M176" s="312">
        <v>2952</v>
      </c>
      <c r="N176" s="312">
        <v>2801</v>
      </c>
      <c r="O176" s="312">
        <v>2561</v>
      </c>
      <c r="P176" s="312">
        <v>2691</v>
      </c>
      <c r="Q176" s="312">
        <v>3713</v>
      </c>
      <c r="R176" s="406"/>
      <c r="S176" s="406"/>
      <c r="T176" s="406"/>
      <c r="U176" s="312">
        <v>3351</v>
      </c>
      <c r="V176" s="312">
        <v>3423.8830000000003</v>
      </c>
      <c r="W176" s="294">
        <v>4011.4720000000002</v>
      </c>
      <c r="X176" s="294">
        <v>3709.596</v>
      </c>
      <c r="Y176" s="294">
        <v>4362.3280000000004</v>
      </c>
      <c r="Z176" s="294">
        <v>4649.5990000000002</v>
      </c>
      <c r="AA176" s="212">
        <v>3977.0140000000001</v>
      </c>
      <c r="AB176" s="212">
        <v>4113.4660000000003</v>
      </c>
      <c r="AC176" s="212">
        <v>3806.7360000000003</v>
      </c>
      <c r="AD176" s="212">
        <v>4622.7709999999997</v>
      </c>
      <c r="AE176" s="212">
        <v>5065.5659999999998</v>
      </c>
      <c r="AF176" s="212">
        <v>5033.1610000000001</v>
      </c>
      <c r="AG176" s="212">
        <v>5381.1200000000008</v>
      </c>
      <c r="AH176" s="212">
        <v>5234.9769999999999</v>
      </c>
      <c r="AI176" s="1">
        <v>5134.1109999999999</v>
      </c>
      <c r="AJ176" s="1">
        <v>4323.0370000000003</v>
      </c>
      <c r="AK176" s="1" t="s">
        <v>121</v>
      </c>
      <c r="AL176" s="1" t="s">
        <v>121</v>
      </c>
      <c r="AM176" s="1" t="s">
        <v>121</v>
      </c>
      <c r="AN176" s="1" t="s">
        <v>121</v>
      </c>
      <c r="AO176" s="1" t="s">
        <v>121</v>
      </c>
      <c r="AP176" s="1" t="s">
        <v>121</v>
      </c>
      <c r="AQ176" s="1" t="s">
        <v>121</v>
      </c>
      <c r="AR176" s="1" t="s">
        <v>121</v>
      </c>
      <c r="AS176" s="1" t="s">
        <v>121</v>
      </c>
      <c r="AT176" s="1" t="s">
        <v>121</v>
      </c>
      <c r="AU176" s="1" t="s">
        <v>121</v>
      </c>
      <c r="AV176" s="1" t="s">
        <v>121</v>
      </c>
      <c r="AW176" s="1" t="s">
        <v>121</v>
      </c>
      <c r="AX176" s="1" t="s">
        <v>121</v>
      </c>
      <c r="AY176" s="1" t="s">
        <v>121</v>
      </c>
      <c r="AZ176" s="1" t="s">
        <v>121</v>
      </c>
      <c r="BA176" s="1" t="s">
        <v>121</v>
      </c>
      <c r="BB176" s="1" t="s">
        <v>121</v>
      </c>
      <c r="BC176" s="1" t="s">
        <v>121</v>
      </c>
      <c r="BD176" s="1" t="s">
        <v>121</v>
      </c>
      <c r="BE176" s="1" t="s">
        <v>121</v>
      </c>
      <c r="BF176" s="1" t="s">
        <v>121</v>
      </c>
      <c r="BG176" s="1" t="s">
        <v>121</v>
      </c>
      <c r="BH176" s="1" t="s">
        <v>121</v>
      </c>
      <c r="BI176" s="1" t="s">
        <v>121</v>
      </c>
      <c r="BJ176" s="1" t="s">
        <v>121</v>
      </c>
      <c r="BK176" s="1" t="s">
        <v>121</v>
      </c>
      <c r="BL176" s="1" t="s">
        <v>121</v>
      </c>
      <c r="BM176" s="1" t="s">
        <v>121</v>
      </c>
      <c r="BN176" s="1" t="s">
        <v>121</v>
      </c>
      <c r="BO176" s="1" t="s">
        <v>121</v>
      </c>
      <c r="BP176" s="1" t="s">
        <v>121</v>
      </c>
      <c r="BQ176" s="1" t="s">
        <v>121</v>
      </c>
    </row>
    <row r="177" spans="1:69" x14ac:dyDescent="0.25">
      <c r="A177" s="72">
        <v>177</v>
      </c>
      <c r="B177" s="147" t="s">
        <v>14</v>
      </c>
      <c r="C177" s="150" t="s">
        <v>121</v>
      </c>
      <c r="D177" s="164" t="s">
        <v>121</v>
      </c>
      <c r="E177" s="151" t="s">
        <v>121</v>
      </c>
      <c r="F177" s="244">
        <v>-198</v>
      </c>
      <c r="G177" s="244">
        <v>-180</v>
      </c>
      <c r="H177" s="244">
        <v>-180</v>
      </c>
      <c r="I177" s="244">
        <v>-182</v>
      </c>
      <c r="J177" s="244">
        <v>-184</v>
      </c>
      <c r="K177" s="244">
        <v>-193</v>
      </c>
      <c r="L177" s="244">
        <v>-195</v>
      </c>
      <c r="M177" s="244">
        <v>-200</v>
      </c>
      <c r="N177" s="244">
        <v>-198</v>
      </c>
      <c r="O177" s="244">
        <v>-200</v>
      </c>
      <c r="P177" s="244">
        <v>-204</v>
      </c>
      <c r="Q177" s="244">
        <v>-226</v>
      </c>
      <c r="R177" s="406"/>
      <c r="S177" s="406"/>
      <c r="T177" s="406"/>
      <c r="U177" s="244">
        <v>-297</v>
      </c>
      <c r="V177" s="244">
        <v>-561.649</v>
      </c>
      <c r="W177" s="250">
        <v>-599.30200000000002</v>
      </c>
      <c r="X177" s="250">
        <v>-842.49800000000005</v>
      </c>
      <c r="Y177" s="250">
        <v>-924.56200000000001</v>
      </c>
      <c r="Z177" s="250">
        <v>-1105.92</v>
      </c>
      <c r="AA177" s="165">
        <v>-1008.516</v>
      </c>
      <c r="AB177" s="165">
        <v>-900.98800000000006</v>
      </c>
      <c r="AC177" s="165">
        <v>-951.35799999999995</v>
      </c>
      <c r="AD177" s="165">
        <v>-878.26199999999994</v>
      </c>
      <c r="AE177" s="165">
        <v>-1452.7070000000001</v>
      </c>
      <c r="AF177" s="165">
        <v>-1604.6479999999999</v>
      </c>
      <c r="AG177" s="165">
        <v>-1652.008</v>
      </c>
      <c r="AH177" s="165">
        <v>-1520.5160000000001</v>
      </c>
      <c r="AI177" s="1">
        <v>-1731.0429999999999</v>
      </c>
      <c r="AJ177" s="1">
        <v>-1491.8320000000001</v>
      </c>
      <c r="AK177" s="1" t="s">
        <v>121</v>
      </c>
      <c r="AL177" s="1" t="s">
        <v>121</v>
      </c>
      <c r="AM177" s="1" t="s">
        <v>121</v>
      </c>
      <c r="AN177" s="1" t="s">
        <v>121</v>
      </c>
      <c r="AO177" s="1" t="s">
        <v>121</v>
      </c>
      <c r="AP177" s="1" t="s">
        <v>121</v>
      </c>
      <c r="AQ177" s="1" t="s">
        <v>121</v>
      </c>
      <c r="AR177" s="1" t="s">
        <v>121</v>
      </c>
      <c r="AS177" s="1" t="s">
        <v>121</v>
      </c>
      <c r="AT177" s="1" t="s">
        <v>121</v>
      </c>
      <c r="AU177" s="1" t="s">
        <v>121</v>
      </c>
      <c r="AV177" s="1" t="s">
        <v>121</v>
      </c>
      <c r="AW177" s="1" t="s">
        <v>121</v>
      </c>
      <c r="AX177" s="1" t="s">
        <v>121</v>
      </c>
      <c r="AY177" s="1" t="s">
        <v>121</v>
      </c>
      <c r="AZ177" s="1" t="s">
        <v>121</v>
      </c>
      <c r="BA177" s="1" t="s">
        <v>121</v>
      </c>
      <c r="BB177" s="1" t="s">
        <v>121</v>
      </c>
      <c r="BC177" s="1" t="s">
        <v>121</v>
      </c>
      <c r="BD177" s="1" t="s">
        <v>121</v>
      </c>
      <c r="BE177" s="1" t="s">
        <v>121</v>
      </c>
      <c r="BF177" s="1" t="s">
        <v>121</v>
      </c>
      <c r="BG177" s="1" t="s">
        <v>121</v>
      </c>
      <c r="BH177" s="1" t="s">
        <v>121</v>
      </c>
      <c r="BI177" s="1" t="s">
        <v>121</v>
      </c>
      <c r="BJ177" s="1" t="s">
        <v>121</v>
      </c>
      <c r="BK177" s="1" t="s">
        <v>121</v>
      </c>
      <c r="BL177" s="1" t="s">
        <v>121</v>
      </c>
      <c r="BM177" s="1" t="s">
        <v>121</v>
      </c>
      <c r="BN177" s="1" t="s">
        <v>121</v>
      </c>
      <c r="BO177" s="1" t="s">
        <v>121</v>
      </c>
      <c r="BP177" s="1" t="s">
        <v>121</v>
      </c>
      <c r="BQ177" s="1" t="s">
        <v>121</v>
      </c>
    </row>
    <row r="178" spans="1:69" x14ac:dyDescent="0.25">
      <c r="A178" s="72">
        <v>178</v>
      </c>
      <c r="B178" s="235" t="s">
        <v>363</v>
      </c>
      <c r="C178" s="182" t="s">
        <v>121</v>
      </c>
      <c r="D178" s="179" t="s">
        <v>121</v>
      </c>
      <c r="E178" s="234" t="s">
        <v>121</v>
      </c>
      <c r="F178" s="312">
        <v>496</v>
      </c>
      <c r="G178" s="312">
        <v>438</v>
      </c>
      <c r="H178" s="312">
        <v>452</v>
      </c>
      <c r="I178" s="312">
        <v>518</v>
      </c>
      <c r="J178" s="312">
        <v>687</v>
      </c>
      <c r="K178" s="312">
        <v>826</v>
      </c>
      <c r="L178" s="312">
        <v>936</v>
      </c>
      <c r="M178" s="312">
        <v>2752</v>
      </c>
      <c r="N178" s="312">
        <v>2603</v>
      </c>
      <c r="O178" s="312">
        <v>2361</v>
      </c>
      <c r="P178" s="312">
        <v>2487</v>
      </c>
      <c r="Q178" s="312">
        <v>3487</v>
      </c>
      <c r="R178" s="406"/>
      <c r="S178" s="406"/>
      <c r="T178" s="406"/>
      <c r="U178" s="312">
        <v>3054</v>
      </c>
      <c r="V178" s="312">
        <v>2862.2340000000004</v>
      </c>
      <c r="W178" s="294">
        <v>3412.17</v>
      </c>
      <c r="X178" s="294">
        <v>2867.098</v>
      </c>
      <c r="Y178" s="294">
        <v>3437.7660000000005</v>
      </c>
      <c r="Z178" s="294">
        <v>3543.6790000000001</v>
      </c>
      <c r="AA178" s="212">
        <v>2968.498</v>
      </c>
      <c r="AB178" s="212">
        <v>3212.4780000000001</v>
      </c>
      <c r="AC178" s="212">
        <v>2855.3780000000006</v>
      </c>
      <c r="AD178" s="212">
        <v>3744.509</v>
      </c>
      <c r="AE178" s="212">
        <v>3612.8589999999995</v>
      </c>
      <c r="AF178" s="212">
        <v>3428.5129999999999</v>
      </c>
      <c r="AG178" s="212">
        <v>3729.112000000001</v>
      </c>
      <c r="AH178" s="212">
        <v>3714.4609999999998</v>
      </c>
      <c r="AI178" s="1">
        <v>3403.0680000000002</v>
      </c>
      <c r="AJ178" s="1">
        <v>2831.2049999999999</v>
      </c>
      <c r="AK178" s="1" t="s">
        <v>121</v>
      </c>
      <c r="AL178" s="1" t="s">
        <v>121</v>
      </c>
      <c r="AM178" s="1" t="s">
        <v>121</v>
      </c>
      <c r="AN178" s="1" t="s">
        <v>121</v>
      </c>
      <c r="AO178" s="1" t="s">
        <v>121</v>
      </c>
      <c r="AP178" s="1" t="s">
        <v>121</v>
      </c>
      <c r="AQ178" s="1" t="s">
        <v>121</v>
      </c>
      <c r="AR178" s="1" t="s">
        <v>121</v>
      </c>
      <c r="AS178" s="1" t="s">
        <v>121</v>
      </c>
      <c r="AT178" s="1" t="s">
        <v>121</v>
      </c>
      <c r="AU178" s="1" t="s">
        <v>121</v>
      </c>
      <c r="AV178" s="1" t="s">
        <v>121</v>
      </c>
      <c r="AW178" s="1" t="s">
        <v>121</v>
      </c>
      <c r="AX178" s="1" t="s">
        <v>121</v>
      </c>
      <c r="AY178" s="1" t="s">
        <v>121</v>
      </c>
      <c r="AZ178" s="1" t="s">
        <v>121</v>
      </c>
      <c r="BA178" s="1" t="s">
        <v>121</v>
      </c>
      <c r="BB178" s="1" t="s">
        <v>121</v>
      </c>
      <c r="BC178" s="1" t="s">
        <v>121</v>
      </c>
      <c r="BD178" s="1" t="s">
        <v>121</v>
      </c>
      <c r="BE178" s="1" t="s">
        <v>121</v>
      </c>
      <c r="BF178" s="1" t="s">
        <v>121</v>
      </c>
      <c r="BG178" s="1" t="s">
        <v>121</v>
      </c>
      <c r="BH178" s="1" t="s">
        <v>121</v>
      </c>
      <c r="BI178" s="1" t="s">
        <v>121</v>
      </c>
      <c r="BJ178" s="1" t="s">
        <v>121</v>
      </c>
      <c r="BK178" s="1" t="s">
        <v>121</v>
      </c>
      <c r="BL178" s="1" t="s">
        <v>121</v>
      </c>
      <c r="BM178" s="1" t="s">
        <v>121</v>
      </c>
      <c r="BN178" s="1" t="s">
        <v>121</v>
      </c>
      <c r="BO178" s="1" t="s">
        <v>121</v>
      </c>
      <c r="BP178" s="1" t="s">
        <v>121</v>
      </c>
      <c r="BQ178" s="1" t="s">
        <v>121</v>
      </c>
    </row>
    <row r="179" spans="1:69" ht="27" customHeight="1" x14ac:dyDescent="0.25">
      <c r="A179" s="72">
        <v>179</v>
      </c>
      <c r="B179" s="14" t="s">
        <v>121</v>
      </c>
      <c r="C179" s="91" t="s">
        <v>121</v>
      </c>
      <c r="D179" s="86" t="s">
        <v>121</v>
      </c>
      <c r="E179" s="92" t="s">
        <v>121</v>
      </c>
      <c r="F179" s="326" t="s">
        <v>121</v>
      </c>
      <c r="G179" s="326" t="s">
        <v>121</v>
      </c>
      <c r="H179" s="326" t="s">
        <v>121</v>
      </c>
      <c r="I179" s="326" t="s">
        <v>121</v>
      </c>
      <c r="J179" s="326" t="s">
        <v>121</v>
      </c>
      <c r="K179" s="326" t="s">
        <v>121</v>
      </c>
      <c r="L179" s="326" t="s">
        <v>121</v>
      </c>
      <c r="M179" s="326" t="s">
        <v>121</v>
      </c>
      <c r="N179" s="326" t="s">
        <v>121</v>
      </c>
      <c r="O179" s="326" t="s">
        <v>121</v>
      </c>
      <c r="P179" s="326" t="s">
        <v>121</v>
      </c>
      <c r="Q179" s="326" t="s">
        <v>121</v>
      </c>
      <c r="R179" s="406"/>
      <c r="S179" s="406"/>
      <c r="T179" s="406"/>
      <c r="U179" s="326" t="s">
        <v>121</v>
      </c>
      <c r="V179" s="326" t="s">
        <v>121</v>
      </c>
      <c r="W179" s="275" t="s">
        <v>121</v>
      </c>
      <c r="X179" s="275" t="s">
        <v>121</v>
      </c>
      <c r="Y179" s="275" t="s">
        <v>121</v>
      </c>
      <c r="Z179" s="275" t="s">
        <v>121</v>
      </c>
      <c r="AA179" s="86" t="s">
        <v>121</v>
      </c>
      <c r="AB179" s="86" t="s">
        <v>121</v>
      </c>
      <c r="AC179" s="86" t="s">
        <v>121</v>
      </c>
      <c r="AD179" s="86" t="s">
        <v>121</v>
      </c>
      <c r="AE179" s="86" t="s">
        <v>121</v>
      </c>
      <c r="AF179" s="86" t="s">
        <v>121</v>
      </c>
      <c r="AG179" s="86" t="s">
        <v>121</v>
      </c>
      <c r="AH179" s="83" t="s">
        <v>121</v>
      </c>
      <c r="AI179" s="1" t="s">
        <v>121</v>
      </c>
      <c r="AJ179" s="1" t="s">
        <v>121</v>
      </c>
      <c r="AK179" s="1" t="s">
        <v>121</v>
      </c>
      <c r="AL179" s="1" t="s">
        <v>121</v>
      </c>
      <c r="AM179" s="1" t="s">
        <v>121</v>
      </c>
      <c r="AN179" s="1" t="s">
        <v>121</v>
      </c>
      <c r="AO179" s="1" t="s">
        <v>121</v>
      </c>
      <c r="AP179" s="1" t="s">
        <v>121</v>
      </c>
      <c r="AQ179" s="1" t="s">
        <v>121</v>
      </c>
      <c r="AR179" s="1" t="s">
        <v>121</v>
      </c>
      <c r="AS179" s="1" t="s">
        <v>121</v>
      </c>
      <c r="AT179" s="1" t="s">
        <v>121</v>
      </c>
      <c r="AU179" s="1" t="s">
        <v>121</v>
      </c>
      <c r="AV179" s="1" t="s">
        <v>121</v>
      </c>
      <c r="AW179" s="1" t="s">
        <v>121</v>
      </c>
      <c r="AX179" s="1" t="s">
        <v>121</v>
      </c>
      <c r="AY179" s="1" t="s">
        <v>121</v>
      </c>
      <c r="AZ179" s="1" t="s">
        <v>121</v>
      </c>
      <c r="BA179" s="1" t="s">
        <v>121</v>
      </c>
      <c r="BB179" s="1" t="s">
        <v>121</v>
      </c>
      <c r="BC179" s="1" t="s">
        <v>121</v>
      </c>
      <c r="BD179" s="1" t="s">
        <v>121</v>
      </c>
      <c r="BE179" s="1" t="s">
        <v>121</v>
      </c>
      <c r="BF179" s="1" t="s">
        <v>121</v>
      </c>
      <c r="BG179" s="1" t="s">
        <v>121</v>
      </c>
      <c r="BH179" s="1" t="s">
        <v>121</v>
      </c>
      <c r="BI179" s="1" t="s">
        <v>121</v>
      </c>
      <c r="BJ179" s="1" t="s">
        <v>121</v>
      </c>
      <c r="BK179" s="1" t="s">
        <v>121</v>
      </c>
      <c r="BL179" s="1" t="s">
        <v>121</v>
      </c>
      <c r="BM179" s="1" t="s">
        <v>121</v>
      </c>
      <c r="BN179" s="1" t="s">
        <v>121</v>
      </c>
      <c r="BO179" s="1" t="s">
        <v>121</v>
      </c>
      <c r="BP179" s="1" t="s">
        <v>121</v>
      </c>
      <c r="BQ179" s="1" t="s">
        <v>121</v>
      </c>
    </row>
    <row r="180" spans="1:69" ht="15.75" x14ac:dyDescent="0.25">
      <c r="A180" s="72">
        <v>180</v>
      </c>
      <c r="B180" s="400" t="s">
        <v>364</v>
      </c>
      <c r="C180" s="225" t="s">
        <v>121</v>
      </c>
      <c r="D180" s="227" t="s">
        <v>121</v>
      </c>
      <c r="E180" s="226" t="s">
        <v>121</v>
      </c>
      <c r="F180" s="328" t="s">
        <v>121</v>
      </c>
      <c r="G180" s="328" t="s">
        <v>121</v>
      </c>
      <c r="H180" s="328" t="s">
        <v>121</v>
      </c>
      <c r="I180" s="328" t="s">
        <v>121</v>
      </c>
      <c r="J180" s="328" t="s">
        <v>121</v>
      </c>
      <c r="K180" s="328" t="s">
        <v>121</v>
      </c>
      <c r="L180" s="328" t="s">
        <v>121</v>
      </c>
      <c r="M180" s="328" t="s">
        <v>121</v>
      </c>
      <c r="N180" s="328" t="s">
        <v>121</v>
      </c>
      <c r="O180" s="328" t="s">
        <v>121</v>
      </c>
      <c r="P180" s="328" t="s">
        <v>121</v>
      </c>
      <c r="Q180" s="328" t="s">
        <v>121</v>
      </c>
      <c r="R180" s="406"/>
      <c r="S180" s="406"/>
      <c r="T180" s="406"/>
      <c r="U180" s="328" t="s">
        <v>121</v>
      </c>
      <c r="V180" s="328" t="s">
        <v>121</v>
      </c>
      <c r="W180" s="295" t="s">
        <v>121</v>
      </c>
      <c r="X180" s="295" t="s">
        <v>121</v>
      </c>
      <c r="Y180" s="295" t="s">
        <v>121</v>
      </c>
      <c r="Z180" s="295" t="s">
        <v>121</v>
      </c>
      <c r="AA180" s="227" t="s">
        <v>121</v>
      </c>
      <c r="AB180" s="227" t="s">
        <v>121</v>
      </c>
      <c r="AC180" s="227" t="s">
        <v>121</v>
      </c>
      <c r="AD180" s="227" t="s">
        <v>121</v>
      </c>
      <c r="AE180" s="227" t="s">
        <v>121</v>
      </c>
      <c r="AF180" s="227" t="s">
        <v>121</v>
      </c>
      <c r="AG180" s="227" t="s">
        <v>121</v>
      </c>
      <c r="AH180" s="227" t="s">
        <v>121</v>
      </c>
      <c r="AI180" s="1" t="s">
        <v>121</v>
      </c>
      <c r="AJ180" s="1" t="s">
        <v>121</v>
      </c>
      <c r="AK180" s="1" t="s">
        <v>121</v>
      </c>
      <c r="AL180" s="1" t="s">
        <v>121</v>
      </c>
      <c r="AM180" s="1" t="s">
        <v>121</v>
      </c>
      <c r="AN180" s="1" t="s">
        <v>121</v>
      </c>
      <c r="AO180" s="1" t="s">
        <v>121</v>
      </c>
      <c r="AP180" s="1" t="s">
        <v>121</v>
      </c>
      <c r="AQ180" s="1" t="s">
        <v>121</v>
      </c>
      <c r="AR180" s="1" t="s">
        <v>121</v>
      </c>
      <c r="AS180" s="1" t="s">
        <v>121</v>
      </c>
      <c r="AT180" s="1" t="s">
        <v>121</v>
      </c>
      <c r="AU180" s="1" t="s">
        <v>121</v>
      </c>
      <c r="AV180" s="1" t="s">
        <v>121</v>
      </c>
      <c r="AW180" s="1" t="s">
        <v>121</v>
      </c>
      <c r="AX180" s="1" t="s">
        <v>121</v>
      </c>
      <c r="AY180" s="1" t="s">
        <v>121</v>
      </c>
      <c r="AZ180" s="1" t="s">
        <v>121</v>
      </c>
      <c r="BA180" s="1" t="s">
        <v>121</v>
      </c>
      <c r="BB180" s="1" t="s">
        <v>121</v>
      </c>
      <c r="BC180" s="1" t="s">
        <v>121</v>
      </c>
      <c r="BD180" s="1" t="s">
        <v>121</v>
      </c>
      <c r="BE180" s="1" t="s">
        <v>121</v>
      </c>
      <c r="BF180" s="1" t="s">
        <v>121</v>
      </c>
      <c r="BG180" s="1" t="s">
        <v>121</v>
      </c>
      <c r="BH180" s="1" t="s">
        <v>121</v>
      </c>
      <c r="BI180" s="1" t="s">
        <v>121</v>
      </c>
      <c r="BJ180" s="1" t="s">
        <v>121</v>
      </c>
      <c r="BK180" s="1" t="s">
        <v>121</v>
      </c>
      <c r="BL180" s="1" t="s">
        <v>121</v>
      </c>
      <c r="BM180" s="1" t="s">
        <v>121</v>
      </c>
      <c r="BN180" s="1" t="s">
        <v>121</v>
      </c>
      <c r="BO180" s="1" t="s">
        <v>121</v>
      </c>
      <c r="BP180" s="1" t="s">
        <v>121</v>
      </c>
      <c r="BQ180" s="1" t="s">
        <v>121</v>
      </c>
    </row>
    <row r="181" spans="1:69" x14ac:dyDescent="0.25">
      <c r="A181" s="72">
        <v>181</v>
      </c>
      <c r="B181" s="228" t="s">
        <v>334</v>
      </c>
      <c r="C181" s="223" t="s">
        <v>121</v>
      </c>
      <c r="D181" s="216" t="s">
        <v>121</v>
      </c>
      <c r="E181" s="224" t="s">
        <v>121</v>
      </c>
      <c r="F181" s="329" t="s">
        <v>121</v>
      </c>
      <c r="G181" s="329" t="s">
        <v>121</v>
      </c>
      <c r="H181" s="329" t="s">
        <v>121</v>
      </c>
      <c r="I181" s="329" t="s">
        <v>121</v>
      </c>
      <c r="J181" s="329" t="s">
        <v>121</v>
      </c>
      <c r="K181" s="329" t="s">
        <v>121</v>
      </c>
      <c r="L181" s="329" t="s">
        <v>121</v>
      </c>
      <c r="M181" s="329" t="s">
        <v>121</v>
      </c>
      <c r="N181" s="329" t="s">
        <v>121</v>
      </c>
      <c r="O181" s="329" t="s">
        <v>121</v>
      </c>
      <c r="P181" s="329" t="s">
        <v>121</v>
      </c>
      <c r="Q181" s="329" t="s">
        <v>121</v>
      </c>
      <c r="R181" s="406"/>
      <c r="S181" s="406"/>
      <c r="T181" s="406"/>
      <c r="U181" s="329" t="s">
        <v>121</v>
      </c>
      <c r="V181" s="329" t="s">
        <v>121</v>
      </c>
      <c r="W181" s="320" t="s">
        <v>121</v>
      </c>
      <c r="X181" s="320" t="s">
        <v>121</v>
      </c>
      <c r="Y181" s="293" t="s">
        <v>121</v>
      </c>
      <c r="Z181" s="293" t="s">
        <v>121</v>
      </c>
      <c r="AA181" s="216" t="s">
        <v>121</v>
      </c>
      <c r="AB181" s="216" t="s">
        <v>121</v>
      </c>
      <c r="AC181" s="216" t="s">
        <v>121</v>
      </c>
      <c r="AD181" s="216" t="s">
        <v>121</v>
      </c>
      <c r="AE181" s="216" t="s">
        <v>121</v>
      </c>
      <c r="AF181" s="216" t="s">
        <v>121</v>
      </c>
      <c r="AG181" s="216" t="s">
        <v>121</v>
      </c>
      <c r="AH181" s="216" t="s">
        <v>121</v>
      </c>
      <c r="AI181" s="1" t="s">
        <v>121</v>
      </c>
      <c r="AJ181" s="1" t="s">
        <v>121</v>
      </c>
      <c r="AK181" s="1" t="s">
        <v>121</v>
      </c>
      <c r="AL181" s="1" t="s">
        <v>121</v>
      </c>
      <c r="AM181" s="1" t="s">
        <v>121</v>
      </c>
      <c r="AN181" s="1" t="s">
        <v>121</v>
      </c>
      <c r="AO181" s="1" t="s">
        <v>121</v>
      </c>
      <c r="AP181" s="1" t="s">
        <v>121</v>
      </c>
      <c r="AQ181" s="1" t="s">
        <v>121</v>
      </c>
      <c r="AR181" s="1" t="s">
        <v>121</v>
      </c>
      <c r="AS181" s="1" t="s">
        <v>121</v>
      </c>
      <c r="AT181" s="1" t="s">
        <v>121</v>
      </c>
      <c r="AU181" s="1" t="s">
        <v>121</v>
      </c>
      <c r="AV181" s="1" t="s">
        <v>121</v>
      </c>
      <c r="AW181" s="1" t="s">
        <v>121</v>
      </c>
      <c r="AX181" s="1" t="s">
        <v>121</v>
      </c>
      <c r="AY181" s="1" t="s">
        <v>121</v>
      </c>
      <c r="AZ181" s="1" t="s">
        <v>121</v>
      </c>
      <c r="BA181" s="1" t="s">
        <v>121</v>
      </c>
      <c r="BB181" s="1" t="s">
        <v>121</v>
      </c>
      <c r="BC181" s="1" t="s">
        <v>121</v>
      </c>
      <c r="BD181" s="1" t="s">
        <v>121</v>
      </c>
      <c r="BE181" s="1" t="s">
        <v>121</v>
      </c>
      <c r="BF181" s="1" t="s">
        <v>121</v>
      </c>
      <c r="BG181" s="1" t="s">
        <v>121</v>
      </c>
      <c r="BH181" s="1" t="s">
        <v>121</v>
      </c>
      <c r="BI181" s="1" t="s">
        <v>121</v>
      </c>
      <c r="BJ181" s="1" t="s">
        <v>121</v>
      </c>
      <c r="BK181" s="1" t="s">
        <v>121</v>
      </c>
      <c r="BL181" s="1" t="s">
        <v>121</v>
      </c>
      <c r="BM181" s="1" t="s">
        <v>121</v>
      </c>
      <c r="BN181" s="1" t="s">
        <v>121</v>
      </c>
      <c r="BO181" s="1" t="s">
        <v>121</v>
      </c>
      <c r="BP181" s="1" t="s">
        <v>121</v>
      </c>
      <c r="BQ181" s="1" t="s">
        <v>121</v>
      </c>
    </row>
    <row r="182" spans="1:69" x14ac:dyDescent="0.25">
      <c r="A182" s="72">
        <v>182</v>
      </c>
      <c r="B182" s="217" t="s">
        <v>353</v>
      </c>
      <c r="C182" s="150" t="s">
        <v>121</v>
      </c>
      <c r="D182" s="164" t="s">
        <v>121</v>
      </c>
      <c r="E182" s="151" t="s">
        <v>121</v>
      </c>
      <c r="F182" s="244">
        <v>31418</v>
      </c>
      <c r="G182" s="244">
        <v>30971</v>
      </c>
      <c r="H182" s="244">
        <v>31349</v>
      </c>
      <c r="I182" s="244">
        <v>33198</v>
      </c>
      <c r="J182" s="244">
        <v>34172</v>
      </c>
      <c r="K182" s="244">
        <v>34891</v>
      </c>
      <c r="L182" s="244">
        <v>34900</v>
      </c>
      <c r="M182" s="244">
        <v>35822</v>
      </c>
      <c r="N182" s="244">
        <v>36589</v>
      </c>
      <c r="O182" s="244">
        <v>35352</v>
      </c>
      <c r="P182" s="244">
        <v>34643</v>
      </c>
      <c r="Q182" s="244">
        <v>35542</v>
      </c>
      <c r="R182" s="406"/>
      <c r="S182" s="406"/>
      <c r="T182" s="406"/>
      <c r="U182" s="244">
        <v>38195</v>
      </c>
      <c r="V182" s="244">
        <v>35795.434000000001</v>
      </c>
      <c r="W182" s="250">
        <v>34124.073000000004</v>
      </c>
      <c r="X182" s="250">
        <v>30095.491000000002</v>
      </c>
      <c r="Y182" s="250">
        <v>28757.606</v>
      </c>
      <c r="Z182" s="250">
        <v>28598.190999999999</v>
      </c>
      <c r="AA182" s="165">
        <v>28439.028999999999</v>
      </c>
      <c r="AB182" s="165">
        <v>30188.767</v>
      </c>
      <c r="AC182" s="165">
        <v>29327.851999999999</v>
      </c>
      <c r="AD182" s="165">
        <v>27761.668999999998</v>
      </c>
      <c r="AE182" s="165">
        <v>25930.848999999998</v>
      </c>
      <c r="AF182" s="165">
        <v>23669.287</v>
      </c>
      <c r="AG182" s="165">
        <v>22687.184000000001</v>
      </c>
      <c r="AH182" s="165">
        <v>20792.091</v>
      </c>
      <c r="AI182" s="1">
        <v>18716.542999999998</v>
      </c>
      <c r="AJ182" s="1">
        <v>16579.422999999999</v>
      </c>
      <c r="AK182" s="1" t="s">
        <v>121</v>
      </c>
      <c r="AL182" s="1" t="s">
        <v>121</v>
      </c>
      <c r="AM182" s="1" t="s">
        <v>121</v>
      </c>
      <c r="AN182" s="1" t="s">
        <v>121</v>
      </c>
      <c r="AO182" s="1" t="s">
        <v>121</v>
      </c>
      <c r="AP182" s="1" t="s">
        <v>121</v>
      </c>
      <c r="AQ182" s="1" t="s">
        <v>121</v>
      </c>
      <c r="AR182" s="1" t="s">
        <v>121</v>
      </c>
      <c r="AS182" s="1" t="s">
        <v>121</v>
      </c>
      <c r="AT182" s="1" t="s">
        <v>121</v>
      </c>
      <c r="AU182" s="1" t="s">
        <v>121</v>
      </c>
      <c r="AV182" s="1" t="s">
        <v>121</v>
      </c>
      <c r="AW182" s="1" t="s">
        <v>121</v>
      </c>
      <c r="AX182" s="1" t="s">
        <v>121</v>
      </c>
      <c r="AY182" s="1" t="s">
        <v>121</v>
      </c>
      <c r="AZ182" s="1" t="s">
        <v>121</v>
      </c>
      <c r="BA182" s="1" t="s">
        <v>121</v>
      </c>
      <c r="BB182" s="1" t="s">
        <v>121</v>
      </c>
      <c r="BC182" s="1" t="s">
        <v>121</v>
      </c>
      <c r="BD182" s="1" t="s">
        <v>121</v>
      </c>
      <c r="BE182" s="1" t="s">
        <v>121</v>
      </c>
      <c r="BF182" s="1" t="s">
        <v>121</v>
      </c>
      <c r="BG182" s="1" t="s">
        <v>121</v>
      </c>
      <c r="BH182" s="1" t="s">
        <v>121</v>
      </c>
      <c r="BI182" s="1" t="s">
        <v>121</v>
      </c>
      <c r="BJ182" s="1" t="s">
        <v>121</v>
      </c>
      <c r="BK182" s="1" t="s">
        <v>121</v>
      </c>
      <c r="BL182" s="1" t="s">
        <v>121</v>
      </c>
      <c r="BM182" s="1" t="s">
        <v>121</v>
      </c>
      <c r="BN182" s="1" t="s">
        <v>121</v>
      </c>
      <c r="BO182" s="1" t="s">
        <v>121</v>
      </c>
      <c r="BP182" s="1" t="s">
        <v>121</v>
      </c>
      <c r="BQ182" s="1" t="s">
        <v>121</v>
      </c>
    </row>
    <row r="183" spans="1:69" x14ac:dyDescent="0.25">
      <c r="A183" s="72">
        <v>183</v>
      </c>
      <c r="B183" s="217" t="s">
        <v>354</v>
      </c>
      <c r="C183" s="150" t="s">
        <v>121</v>
      </c>
      <c r="D183" s="164" t="s">
        <v>121</v>
      </c>
      <c r="E183" s="151" t="s">
        <v>121</v>
      </c>
      <c r="F183" s="244">
        <v>906</v>
      </c>
      <c r="G183" s="244">
        <v>786</v>
      </c>
      <c r="H183" s="244">
        <v>700</v>
      </c>
      <c r="I183" s="244">
        <v>234</v>
      </c>
      <c r="J183" s="244">
        <v>824</v>
      </c>
      <c r="K183" s="244">
        <v>390</v>
      </c>
      <c r="L183" s="244">
        <v>370</v>
      </c>
      <c r="M183" s="244">
        <v>249</v>
      </c>
      <c r="N183" s="244">
        <v>399</v>
      </c>
      <c r="O183" s="244">
        <v>589</v>
      </c>
      <c r="P183" s="244">
        <v>667</v>
      </c>
      <c r="Q183" s="244">
        <v>381</v>
      </c>
      <c r="R183" s="406"/>
      <c r="S183" s="406"/>
      <c r="T183" s="406"/>
      <c r="U183" s="244">
        <v>456</v>
      </c>
      <c r="V183" s="244">
        <v>761.75</v>
      </c>
      <c r="W183" s="250">
        <v>769.72</v>
      </c>
      <c r="X183" s="250">
        <v>634.46500000000003</v>
      </c>
      <c r="Y183" s="250">
        <v>440.726</v>
      </c>
      <c r="Z183" s="250">
        <v>851.77599999999995</v>
      </c>
      <c r="AA183" s="165">
        <v>966.08100000000002</v>
      </c>
      <c r="AB183" s="165">
        <v>533.53800000000001</v>
      </c>
      <c r="AC183" s="165">
        <v>621.553</v>
      </c>
      <c r="AD183" s="165">
        <v>915.702</v>
      </c>
      <c r="AE183" s="165">
        <v>481.10700000000003</v>
      </c>
      <c r="AF183" s="165">
        <v>376.56799999999998</v>
      </c>
      <c r="AG183" s="165">
        <v>246.75399999999999</v>
      </c>
      <c r="AH183" s="165">
        <v>369.803</v>
      </c>
      <c r="AI183" s="1">
        <v>307.52600000000001</v>
      </c>
      <c r="AJ183" s="1">
        <v>276.98900000000003</v>
      </c>
      <c r="AK183" s="1" t="s">
        <v>121</v>
      </c>
      <c r="AL183" s="1" t="s">
        <v>121</v>
      </c>
      <c r="AM183" s="1" t="s">
        <v>121</v>
      </c>
      <c r="AN183" s="1" t="s">
        <v>121</v>
      </c>
      <c r="AO183" s="1" t="s">
        <v>121</v>
      </c>
      <c r="AP183" s="1" t="s">
        <v>121</v>
      </c>
      <c r="AQ183" s="1" t="s">
        <v>121</v>
      </c>
      <c r="AR183" s="1" t="s">
        <v>121</v>
      </c>
      <c r="AS183" s="1" t="s">
        <v>121</v>
      </c>
      <c r="AT183" s="1" t="s">
        <v>121</v>
      </c>
      <c r="AU183" s="1" t="s">
        <v>121</v>
      </c>
      <c r="AV183" s="1" t="s">
        <v>121</v>
      </c>
      <c r="AW183" s="1" t="s">
        <v>121</v>
      </c>
      <c r="AX183" s="1" t="s">
        <v>121</v>
      </c>
      <c r="AY183" s="1" t="s">
        <v>121</v>
      </c>
      <c r="AZ183" s="1" t="s">
        <v>121</v>
      </c>
      <c r="BA183" s="1" t="s">
        <v>121</v>
      </c>
      <c r="BB183" s="1" t="s">
        <v>121</v>
      </c>
      <c r="BC183" s="1" t="s">
        <v>121</v>
      </c>
      <c r="BD183" s="1" t="s">
        <v>121</v>
      </c>
      <c r="BE183" s="1" t="s">
        <v>121</v>
      </c>
      <c r="BF183" s="1" t="s">
        <v>121</v>
      </c>
      <c r="BG183" s="1" t="s">
        <v>121</v>
      </c>
      <c r="BH183" s="1" t="s">
        <v>121</v>
      </c>
      <c r="BI183" s="1" t="s">
        <v>121</v>
      </c>
      <c r="BJ183" s="1" t="s">
        <v>121</v>
      </c>
      <c r="BK183" s="1" t="s">
        <v>121</v>
      </c>
      <c r="BL183" s="1" t="s">
        <v>121</v>
      </c>
      <c r="BM183" s="1" t="s">
        <v>121</v>
      </c>
      <c r="BN183" s="1" t="s">
        <v>121</v>
      </c>
      <c r="BO183" s="1" t="s">
        <v>121</v>
      </c>
      <c r="BP183" s="1" t="s">
        <v>121</v>
      </c>
      <c r="BQ183" s="1" t="s">
        <v>121</v>
      </c>
    </row>
    <row r="184" spans="1:69" x14ac:dyDescent="0.25">
      <c r="A184" s="72">
        <v>184</v>
      </c>
      <c r="B184" s="230" t="s">
        <v>340</v>
      </c>
      <c r="C184" s="150" t="s">
        <v>121</v>
      </c>
      <c r="D184" s="164" t="s">
        <v>121</v>
      </c>
      <c r="E184" s="151" t="s">
        <v>121</v>
      </c>
      <c r="F184" s="312">
        <v>32324</v>
      </c>
      <c r="G184" s="312">
        <v>31757</v>
      </c>
      <c r="H184" s="312">
        <v>32049</v>
      </c>
      <c r="I184" s="312">
        <v>33432</v>
      </c>
      <c r="J184" s="312">
        <v>34996</v>
      </c>
      <c r="K184" s="312">
        <v>35281</v>
      </c>
      <c r="L184" s="312">
        <v>35270</v>
      </c>
      <c r="M184" s="312">
        <v>36071</v>
      </c>
      <c r="N184" s="312">
        <v>36988</v>
      </c>
      <c r="O184" s="312">
        <v>35941</v>
      </c>
      <c r="P184" s="312">
        <v>35310</v>
      </c>
      <c r="Q184" s="312">
        <v>35923</v>
      </c>
      <c r="R184" s="406"/>
      <c r="S184" s="406"/>
      <c r="T184" s="406"/>
      <c r="U184" s="312">
        <v>38651</v>
      </c>
      <c r="V184" s="312">
        <v>36557.184000000001</v>
      </c>
      <c r="W184" s="294">
        <v>34893.793000000005</v>
      </c>
      <c r="X184" s="294">
        <v>30729.956000000002</v>
      </c>
      <c r="Y184" s="294">
        <v>29198.331999999999</v>
      </c>
      <c r="Z184" s="294">
        <v>29449.967000000001</v>
      </c>
      <c r="AA184" s="212">
        <v>29405.109999999997</v>
      </c>
      <c r="AB184" s="212">
        <v>30722.305</v>
      </c>
      <c r="AC184" s="212">
        <v>29949.404999999999</v>
      </c>
      <c r="AD184" s="212">
        <v>28677.370999999999</v>
      </c>
      <c r="AE184" s="212">
        <v>26411.955999999998</v>
      </c>
      <c r="AF184" s="212">
        <v>24045.855</v>
      </c>
      <c r="AG184" s="212">
        <v>22933.938000000002</v>
      </c>
      <c r="AH184" s="212">
        <v>21161.894</v>
      </c>
      <c r="AI184" s="1">
        <v>19024.069</v>
      </c>
      <c r="AJ184" s="1">
        <v>16856.412</v>
      </c>
      <c r="AK184" s="1" t="s">
        <v>121</v>
      </c>
      <c r="AL184" s="1" t="s">
        <v>121</v>
      </c>
      <c r="AM184" s="1" t="s">
        <v>121</v>
      </c>
      <c r="AN184" s="1" t="s">
        <v>121</v>
      </c>
      <c r="AO184" s="1" t="s">
        <v>121</v>
      </c>
      <c r="AP184" s="1" t="s">
        <v>121</v>
      </c>
      <c r="AQ184" s="1" t="s">
        <v>121</v>
      </c>
      <c r="AR184" s="1" t="s">
        <v>121</v>
      </c>
      <c r="AS184" s="1" t="s">
        <v>121</v>
      </c>
      <c r="AT184" s="1" t="s">
        <v>121</v>
      </c>
      <c r="AU184" s="1" t="s">
        <v>121</v>
      </c>
      <c r="AV184" s="1" t="s">
        <v>121</v>
      </c>
      <c r="AW184" s="1" t="s">
        <v>121</v>
      </c>
      <c r="AX184" s="1" t="s">
        <v>121</v>
      </c>
      <c r="AY184" s="1" t="s">
        <v>121</v>
      </c>
      <c r="AZ184" s="1" t="s">
        <v>121</v>
      </c>
      <c r="BA184" s="1" t="s">
        <v>121</v>
      </c>
      <c r="BB184" s="1" t="s">
        <v>121</v>
      </c>
      <c r="BC184" s="1" t="s">
        <v>121</v>
      </c>
      <c r="BD184" s="1" t="s">
        <v>121</v>
      </c>
      <c r="BE184" s="1" t="s">
        <v>121</v>
      </c>
      <c r="BF184" s="1" t="s">
        <v>121</v>
      </c>
      <c r="BG184" s="1" t="s">
        <v>121</v>
      </c>
      <c r="BH184" s="1" t="s">
        <v>121</v>
      </c>
      <c r="BI184" s="1" t="s">
        <v>121</v>
      </c>
      <c r="BJ184" s="1" t="s">
        <v>121</v>
      </c>
      <c r="BK184" s="1" t="s">
        <v>121</v>
      </c>
      <c r="BL184" s="1" t="s">
        <v>121</v>
      </c>
      <c r="BM184" s="1" t="s">
        <v>121</v>
      </c>
      <c r="BN184" s="1" t="s">
        <v>121</v>
      </c>
      <c r="BO184" s="1" t="s">
        <v>121</v>
      </c>
      <c r="BP184" s="1" t="s">
        <v>121</v>
      </c>
      <c r="BQ184" s="1" t="s">
        <v>121</v>
      </c>
    </row>
    <row r="185" spans="1:69" x14ac:dyDescent="0.25">
      <c r="A185" s="72">
        <v>185</v>
      </c>
      <c r="B185" s="231" t="s">
        <v>14</v>
      </c>
      <c r="C185" s="150" t="s">
        <v>121</v>
      </c>
      <c r="D185" s="164" t="s">
        <v>121</v>
      </c>
      <c r="E185" s="151" t="s">
        <v>121</v>
      </c>
      <c r="F185" s="244">
        <v>-961</v>
      </c>
      <c r="G185" s="244">
        <v>-945</v>
      </c>
      <c r="H185" s="244">
        <v>-920</v>
      </c>
      <c r="I185" s="244">
        <v>-966</v>
      </c>
      <c r="J185" s="244">
        <v>-997</v>
      </c>
      <c r="K185" s="244">
        <v>-1000</v>
      </c>
      <c r="L185" s="244">
        <v>-1168</v>
      </c>
      <c r="M185" s="244">
        <v>-1206</v>
      </c>
      <c r="N185" s="244">
        <v>-1352</v>
      </c>
      <c r="O185" s="244">
        <v>-1304</v>
      </c>
      <c r="P185" s="244">
        <v>-1301</v>
      </c>
      <c r="Q185" s="244">
        <v>-1758</v>
      </c>
      <c r="R185" s="406"/>
      <c r="S185" s="406"/>
      <c r="T185" s="406"/>
      <c r="U185" s="244">
        <v>-1252</v>
      </c>
      <c r="V185" s="244">
        <v>-1206.22</v>
      </c>
      <c r="W185" s="250">
        <v>-1219.694</v>
      </c>
      <c r="X185" s="250">
        <v>-1196.2180000000001</v>
      </c>
      <c r="Y185" s="250">
        <v>-1135.078</v>
      </c>
      <c r="Z185" s="250">
        <v>-877.51200000000006</v>
      </c>
      <c r="AA185" s="165">
        <v>-876.64</v>
      </c>
      <c r="AB185" s="165">
        <v>-653.06999999999994</v>
      </c>
      <c r="AC185" s="165">
        <v>-537.69399999999996</v>
      </c>
      <c r="AD185" s="165">
        <v>-360.92899999999997</v>
      </c>
      <c r="AE185" s="165">
        <v>-331.89200000000005</v>
      </c>
      <c r="AF185" s="165">
        <v>-301.62799999999999</v>
      </c>
      <c r="AG185" s="165">
        <v>-203.66499999999999</v>
      </c>
      <c r="AH185" s="165">
        <v>-307.05400000000003</v>
      </c>
      <c r="AI185" s="1">
        <v>-277.53899999999999</v>
      </c>
      <c r="AJ185" s="1">
        <v>-243.191</v>
      </c>
      <c r="AK185" s="1" t="s">
        <v>121</v>
      </c>
      <c r="AL185" s="1" t="s">
        <v>121</v>
      </c>
      <c r="AM185" s="1" t="s">
        <v>121</v>
      </c>
      <c r="AN185" s="1" t="s">
        <v>121</v>
      </c>
      <c r="AO185" s="1" t="s">
        <v>121</v>
      </c>
      <c r="AP185" s="1" t="s">
        <v>121</v>
      </c>
      <c r="AQ185" s="1" t="s">
        <v>121</v>
      </c>
      <c r="AR185" s="1" t="s">
        <v>121</v>
      </c>
      <c r="AS185" s="1" t="s">
        <v>121</v>
      </c>
      <c r="AT185" s="1" t="s">
        <v>121</v>
      </c>
      <c r="AU185" s="1" t="s">
        <v>121</v>
      </c>
      <c r="AV185" s="1" t="s">
        <v>121</v>
      </c>
      <c r="AW185" s="1" t="s">
        <v>121</v>
      </c>
      <c r="AX185" s="1" t="s">
        <v>121</v>
      </c>
      <c r="AY185" s="1" t="s">
        <v>121</v>
      </c>
      <c r="AZ185" s="1" t="s">
        <v>121</v>
      </c>
      <c r="BA185" s="1" t="s">
        <v>121</v>
      </c>
      <c r="BB185" s="1" t="s">
        <v>121</v>
      </c>
      <c r="BC185" s="1" t="s">
        <v>121</v>
      </c>
      <c r="BD185" s="1" t="s">
        <v>121</v>
      </c>
      <c r="BE185" s="1" t="s">
        <v>121</v>
      </c>
      <c r="BF185" s="1" t="s">
        <v>121</v>
      </c>
      <c r="BG185" s="1" t="s">
        <v>121</v>
      </c>
      <c r="BH185" s="1" t="s">
        <v>121</v>
      </c>
      <c r="BI185" s="1" t="s">
        <v>121</v>
      </c>
      <c r="BJ185" s="1" t="s">
        <v>121</v>
      </c>
      <c r="BK185" s="1" t="s">
        <v>121</v>
      </c>
      <c r="BL185" s="1" t="s">
        <v>121</v>
      </c>
      <c r="BM185" s="1" t="s">
        <v>121</v>
      </c>
      <c r="BN185" s="1" t="s">
        <v>121</v>
      </c>
      <c r="BO185" s="1" t="s">
        <v>121</v>
      </c>
      <c r="BP185" s="1" t="s">
        <v>121</v>
      </c>
      <c r="BQ185" s="1" t="s">
        <v>121</v>
      </c>
    </row>
    <row r="186" spans="1:69" x14ac:dyDescent="0.25">
      <c r="A186" s="72">
        <v>186</v>
      </c>
      <c r="B186" s="230" t="s">
        <v>341</v>
      </c>
      <c r="C186" s="150" t="s">
        <v>121</v>
      </c>
      <c r="D186" s="164" t="s">
        <v>121</v>
      </c>
      <c r="E186" s="151" t="s">
        <v>121</v>
      </c>
      <c r="F186" s="312">
        <v>31363</v>
      </c>
      <c r="G186" s="312">
        <v>30812</v>
      </c>
      <c r="H186" s="312">
        <v>31129</v>
      </c>
      <c r="I186" s="312">
        <v>32466</v>
      </c>
      <c r="J186" s="312">
        <v>33999</v>
      </c>
      <c r="K186" s="312">
        <v>34281</v>
      </c>
      <c r="L186" s="312">
        <v>34102</v>
      </c>
      <c r="M186" s="312">
        <v>34865</v>
      </c>
      <c r="N186" s="312">
        <v>35636</v>
      </c>
      <c r="O186" s="312">
        <v>34637</v>
      </c>
      <c r="P186" s="312">
        <v>34009</v>
      </c>
      <c r="Q186" s="312">
        <v>34165</v>
      </c>
      <c r="R186" s="406"/>
      <c r="S186" s="406"/>
      <c r="T186" s="406"/>
      <c r="U186" s="312">
        <v>37399</v>
      </c>
      <c r="V186" s="312">
        <v>35350.964</v>
      </c>
      <c r="W186" s="294">
        <v>33674.099000000002</v>
      </c>
      <c r="X186" s="294">
        <v>29533.738000000001</v>
      </c>
      <c r="Y186" s="294">
        <v>28063.253999999997</v>
      </c>
      <c r="Z186" s="294">
        <v>28572.455000000002</v>
      </c>
      <c r="AA186" s="212">
        <v>28528.469999999998</v>
      </c>
      <c r="AB186" s="212">
        <v>30069.235000000001</v>
      </c>
      <c r="AC186" s="212">
        <v>29411.710999999999</v>
      </c>
      <c r="AD186" s="212">
        <v>28316.441999999999</v>
      </c>
      <c r="AE186" s="212">
        <v>26080.063999999998</v>
      </c>
      <c r="AF186" s="212">
        <v>23744.226999999999</v>
      </c>
      <c r="AG186" s="212">
        <v>22730.273000000001</v>
      </c>
      <c r="AH186" s="212">
        <v>20854.84</v>
      </c>
      <c r="AI186" s="1">
        <v>18746.53</v>
      </c>
      <c r="AJ186" s="1">
        <v>16613.221000000001</v>
      </c>
      <c r="AK186" s="1" t="s">
        <v>121</v>
      </c>
      <c r="AL186" s="1" t="s">
        <v>121</v>
      </c>
      <c r="AM186" s="1" t="s">
        <v>121</v>
      </c>
      <c r="AN186" s="1" t="s">
        <v>121</v>
      </c>
      <c r="AO186" s="1" t="s">
        <v>121</v>
      </c>
      <c r="AP186" s="1" t="s">
        <v>121</v>
      </c>
      <c r="AQ186" s="1" t="s">
        <v>121</v>
      </c>
      <c r="AR186" s="1" t="s">
        <v>121</v>
      </c>
      <c r="AS186" s="1" t="s">
        <v>121</v>
      </c>
      <c r="AT186" s="1" t="s">
        <v>121</v>
      </c>
      <c r="AU186" s="1" t="s">
        <v>121</v>
      </c>
      <c r="AV186" s="1" t="s">
        <v>121</v>
      </c>
      <c r="AW186" s="1" t="s">
        <v>121</v>
      </c>
      <c r="AX186" s="1" t="s">
        <v>121</v>
      </c>
      <c r="AY186" s="1" t="s">
        <v>121</v>
      </c>
      <c r="AZ186" s="1" t="s">
        <v>121</v>
      </c>
      <c r="BA186" s="1" t="s">
        <v>121</v>
      </c>
      <c r="BB186" s="1" t="s">
        <v>121</v>
      </c>
      <c r="BC186" s="1" t="s">
        <v>121</v>
      </c>
      <c r="BD186" s="1" t="s">
        <v>121</v>
      </c>
      <c r="BE186" s="1" t="s">
        <v>121</v>
      </c>
      <c r="BF186" s="1" t="s">
        <v>121</v>
      </c>
      <c r="BG186" s="1" t="s">
        <v>121</v>
      </c>
      <c r="BH186" s="1" t="s">
        <v>121</v>
      </c>
      <c r="BI186" s="1" t="s">
        <v>121</v>
      </c>
      <c r="BJ186" s="1" t="s">
        <v>121</v>
      </c>
      <c r="BK186" s="1" t="s">
        <v>121</v>
      </c>
      <c r="BL186" s="1" t="s">
        <v>121</v>
      </c>
      <c r="BM186" s="1" t="s">
        <v>121</v>
      </c>
      <c r="BN186" s="1" t="s">
        <v>121</v>
      </c>
      <c r="BO186" s="1" t="s">
        <v>121</v>
      </c>
      <c r="BP186" s="1" t="s">
        <v>121</v>
      </c>
      <c r="BQ186" s="1" t="s">
        <v>121</v>
      </c>
    </row>
    <row r="187" spans="1:69" x14ac:dyDescent="0.25">
      <c r="A187" s="72">
        <v>187</v>
      </c>
      <c r="B187" s="232" t="s">
        <v>342</v>
      </c>
      <c r="C187" s="150" t="s">
        <v>121</v>
      </c>
      <c r="D187" s="164" t="s">
        <v>121</v>
      </c>
      <c r="E187" s="151" t="s">
        <v>121</v>
      </c>
      <c r="F187" s="326" t="s">
        <v>121</v>
      </c>
      <c r="G187" s="326" t="s">
        <v>121</v>
      </c>
      <c r="H187" s="326" t="s">
        <v>121</v>
      </c>
      <c r="I187" s="326" t="s">
        <v>121</v>
      </c>
      <c r="J187" s="326" t="s">
        <v>121</v>
      </c>
      <c r="K187" s="326" t="s">
        <v>121</v>
      </c>
      <c r="L187" s="326" t="s">
        <v>121</v>
      </c>
      <c r="M187" s="326" t="s">
        <v>121</v>
      </c>
      <c r="N187" s="326" t="s">
        <v>121</v>
      </c>
      <c r="O187" s="326" t="s">
        <v>121</v>
      </c>
      <c r="P187" s="326" t="s">
        <v>121</v>
      </c>
      <c r="Q187" s="326" t="s">
        <v>121</v>
      </c>
      <c r="R187" s="406"/>
      <c r="S187" s="406"/>
      <c r="T187" s="406"/>
      <c r="U187" s="326" t="s">
        <v>121</v>
      </c>
      <c r="V187" s="326" t="s">
        <v>121</v>
      </c>
      <c r="W187" s="275" t="s">
        <v>121</v>
      </c>
      <c r="X187" s="275" t="s">
        <v>121</v>
      </c>
      <c r="Y187" s="275" t="s">
        <v>121</v>
      </c>
      <c r="Z187" s="275" t="s">
        <v>121</v>
      </c>
      <c r="AA187" s="164" t="s">
        <v>121</v>
      </c>
      <c r="AB187" s="164" t="s">
        <v>121</v>
      </c>
      <c r="AC187" s="164" t="s">
        <v>121</v>
      </c>
      <c r="AD187" s="164" t="s">
        <v>121</v>
      </c>
      <c r="AE187" s="164" t="s">
        <v>121</v>
      </c>
      <c r="AF187" s="164" t="s">
        <v>121</v>
      </c>
      <c r="AG187" s="164" t="s">
        <v>121</v>
      </c>
      <c r="AH187" s="165" t="s">
        <v>121</v>
      </c>
      <c r="AI187" s="1" t="s">
        <v>121</v>
      </c>
      <c r="AJ187" s="1" t="s">
        <v>121</v>
      </c>
      <c r="AK187" s="1" t="s">
        <v>121</v>
      </c>
      <c r="AL187" s="1" t="s">
        <v>121</v>
      </c>
      <c r="AM187" s="1" t="s">
        <v>121</v>
      </c>
      <c r="AN187" s="1" t="s">
        <v>121</v>
      </c>
      <c r="AO187" s="1" t="s">
        <v>121</v>
      </c>
      <c r="AP187" s="1" t="s">
        <v>121</v>
      </c>
      <c r="AQ187" s="1" t="s">
        <v>121</v>
      </c>
      <c r="AR187" s="1" t="s">
        <v>121</v>
      </c>
      <c r="AS187" s="1" t="s">
        <v>121</v>
      </c>
      <c r="AT187" s="1" t="s">
        <v>121</v>
      </c>
      <c r="AU187" s="1" t="s">
        <v>121</v>
      </c>
      <c r="AV187" s="1" t="s">
        <v>121</v>
      </c>
      <c r="AW187" s="1" t="s">
        <v>121</v>
      </c>
      <c r="AX187" s="1" t="s">
        <v>121</v>
      </c>
      <c r="AY187" s="1" t="s">
        <v>121</v>
      </c>
      <c r="AZ187" s="1" t="s">
        <v>121</v>
      </c>
      <c r="BA187" s="1" t="s">
        <v>121</v>
      </c>
      <c r="BB187" s="1" t="s">
        <v>121</v>
      </c>
      <c r="BC187" s="1" t="s">
        <v>121</v>
      </c>
      <c r="BD187" s="1" t="s">
        <v>121</v>
      </c>
      <c r="BE187" s="1" t="s">
        <v>121</v>
      </c>
      <c r="BF187" s="1" t="s">
        <v>121</v>
      </c>
      <c r="BG187" s="1" t="s">
        <v>121</v>
      </c>
      <c r="BH187" s="1" t="s">
        <v>121</v>
      </c>
      <c r="BI187" s="1" t="s">
        <v>121</v>
      </c>
      <c r="BJ187" s="1" t="s">
        <v>121</v>
      </c>
      <c r="BK187" s="1" t="s">
        <v>121</v>
      </c>
      <c r="BL187" s="1" t="s">
        <v>121</v>
      </c>
      <c r="BM187" s="1" t="s">
        <v>121</v>
      </c>
      <c r="BN187" s="1" t="s">
        <v>121</v>
      </c>
      <c r="BO187" s="1" t="s">
        <v>121</v>
      </c>
      <c r="BP187" s="1" t="s">
        <v>121</v>
      </c>
      <c r="BQ187" s="1" t="s">
        <v>121</v>
      </c>
    </row>
    <row r="188" spans="1:69" x14ac:dyDescent="0.25">
      <c r="A188" s="72">
        <v>188</v>
      </c>
      <c r="B188" s="217" t="s">
        <v>353</v>
      </c>
      <c r="C188" s="150" t="s">
        <v>121</v>
      </c>
      <c r="D188" s="164" t="s">
        <v>121</v>
      </c>
      <c r="E188" s="151" t="s">
        <v>121</v>
      </c>
      <c r="F188" s="244">
        <v>433</v>
      </c>
      <c r="G188" s="244">
        <v>425</v>
      </c>
      <c r="H188" s="244">
        <v>446</v>
      </c>
      <c r="I188" s="244">
        <v>535</v>
      </c>
      <c r="J188" s="244">
        <v>424</v>
      </c>
      <c r="K188" s="244">
        <v>438</v>
      </c>
      <c r="L188" s="244">
        <v>429</v>
      </c>
      <c r="M188" s="244">
        <v>346</v>
      </c>
      <c r="N188" s="244">
        <v>443</v>
      </c>
      <c r="O188" s="244">
        <v>451</v>
      </c>
      <c r="P188" s="244">
        <v>503</v>
      </c>
      <c r="Q188" s="244">
        <v>599</v>
      </c>
      <c r="R188" s="406"/>
      <c r="S188" s="406"/>
      <c r="T188" s="406"/>
      <c r="U188" s="244">
        <v>225</v>
      </c>
      <c r="V188" s="244">
        <v>304.16399999999999</v>
      </c>
      <c r="W188" s="250">
        <v>385.70299999999997</v>
      </c>
      <c r="X188" s="250">
        <v>382.03</v>
      </c>
      <c r="Y188" s="250">
        <v>491.46899999999999</v>
      </c>
      <c r="Z188" s="250">
        <v>411.10399999999998</v>
      </c>
      <c r="AA188" s="165">
        <v>416.91900000000004</v>
      </c>
      <c r="AB188" s="165">
        <v>160.51</v>
      </c>
      <c r="AC188" s="164">
        <v>155.60300000000001</v>
      </c>
      <c r="AD188" s="164">
        <v>61.539000000000001</v>
      </c>
      <c r="AE188" s="164" t="s">
        <v>121</v>
      </c>
      <c r="AF188" s="164" t="s">
        <v>121</v>
      </c>
      <c r="AG188" s="164" t="s">
        <v>121</v>
      </c>
      <c r="AH188" s="165" t="s">
        <v>121</v>
      </c>
      <c r="AI188" s="1" t="s">
        <v>121</v>
      </c>
      <c r="AJ188" s="1" t="s">
        <v>121</v>
      </c>
      <c r="AK188" s="1" t="s">
        <v>121</v>
      </c>
      <c r="AL188" s="1" t="s">
        <v>121</v>
      </c>
      <c r="AM188" s="1" t="s">
        <v>121</v>
      </c>
      <c r="AN188" s="1" t="s">
        <v>121</v>
      </c>
      <c r="AO188" s="1" t="s">
        <v>121</v>
      </c>
      <c r="AP188" s="1" t="s">
        <v>121</v>
      </c>
      <c r="AQ188" s="1" t="s">
        <v>121</v>
      </c>
      <c r="AR188" s="1" t="s">
        <v>121</v>
      </c>
      <c r="AS188" s="1" t="s">
        <v>121</v>
      </c>
      <c r="AT188" s="1" t="s">
        <v>121</v>
      </c>
      <c r="AU188" s="1" t="s">
        <v>121</v>
      </c>
      <c r="AV188" s="1" t="s">
        <v>121</v>
      </c>
      <c r="AW188" s="1" t="s">
        <v>121</v>
      </c>
      <c r="AX188" s="1" t="s">
        <v>121</v>
      </c>
      <c r="AY188" s="1" t="s">
        <v>121</v>
      </c>
      <c r="AZ188" s="1" t="s">
        <v>121</v>
      </c>
      <c r="BA188" s="1" t="s">
        <v>121</v>
      </c>
      <c r="BB188" s="1" t="s">
        <v>121</v>
      </c>
      <c r="BC188" s="1" t="s">
        <v>121</v>
      </c>
      <c r="BD188" s="1" t="s">
        <v>121</v>
      </c>
      <c r="BE188" s="1" t="s">
        <v>121</v>
      </c>
      <c r="BF188" s="1" t="s">
        <v>121</v>
      </c>
      <c r="BG188" s="1" t="s">
        <v>121</v>
      </c>
      <c r="BH188" s="1" t="s">
        <v>121</v>
      </c>
      <c r="BI188" s="1" t="s">
        <v>121</v>
      </c>
      <c r="BJ188" s="1" t="s">
        <v>121</v>
      </c>
      <c r="BK188" s="1" t="s">
        <v>121</v>
      </c>
      <c r="BL188" s="1" t="s">
        <v>121</v>
      </c>
      <c r="BM188" s="1" t="s">
        <v>121</v>
      </c>
      <c r="BN188" s="1" t="s">
        <v>121</v>
      </c>
      <c r="BO188" s="1" t="s">
        <v>121</v>
      </c>
      <c r="BP188" s="1" t="s">
        <v>121</v>
      </c>
      <c r="BQ188" s="1" t="s">
        <v>121</v>
      </c>
    </row>
    <row r="189" spans="1:69" x14ac:dyDescent="0.25">
      <c r="A189" s="72">
        <v>189</v>
      </c>
      <c r="B189" s="217" t="s">
        <v>354</v>
      </c>
      <c r="C189" s="150" t="s">
        <v>121</v>
      </c>
      <c r="D189" s="164" t="s">
        <v>121</v>
      </c>
      <c r="E189" s="151" t="s">
        <v>121</v>
      </c>
      <c r="F189" s="244">
        <v>496</v>
      </c>
      <c r="G189" s="244">
        <v>473</v>
      </c>
      <c r="H189" s="244">
        <v>543</v>
      </c>
      <c r="I189" s="244">
        <v>366</v>
      </c>
      <c r="J189" s="244">
        <v>513</v>
      </c>
      <c r="K189" s="244">
        <v>443</v>
      </c>
      <c r="L189" s="244">
        <v>458</v>
      </c>
      <c r="M189" s="244">
        <v>407</v>
      </c>
      <c r="N189" s="244">
        <v>477</v>
      </c>
      <c r="O189" s="244">
        <v>541</v>
      </c>
      <c r="P189" s="244">
        <v>591</v>
      </c>
      <c r="Q189" s="244">
        <v>565</v>
      </c>
      <c r="R189" s="406"/>
      <c r="S189" s="406"/>
      <c r="T189" s="406"/>
      <c r="U189" s="244">
        <v>351</v>
      </c>
      <c r="V189" s="244">
        <v>558.41500000000008</v>
      </c>
      <c r="W189" s="250">
        <v>546.84800000000007</v>
      </c>
      <c r="X189" s="250">
        <v>581.89300000000003</v>
      </c>
      <c r="Y189" s="250">
        <v>571.298</v>
      </c>
      <c r="Z189" s="250">
        <v>698.07699999999988</v>
      </c>
      <c r="AA189" s="165">
        <v>780.50399999999991</v>
      </c>
      <c r="AB189" s="165">
        <v>494.21999999999997</v>
      </c>
      <c r="AC189" s="165">
        <v>425.99599999999998</v>
      </c>
      <c r="AD189" s="165">
        <v>410.53199999999998</v>
      </c>
      <c r="AE189" s="165">
        <v>280.36099999999999</v>
      </c>
      <c r="AF189" s="165">
        <v>265.06700000000001</v>
      </c>
      <c r="AG189" s="165">
        <v>180.9</v>
      </c>
      <c r="AH189" s="165">
        <v>168.648</v>
      </c>
      <c r="AI189" s="1">
        <v>151.95499999999998</v>
      </c>
      <c r="AJ189" s="1">
        <v>120.429</v>
      </c>
      <c r="AK189" s="1" t="s">
        <v>121</v>
      </c>
      <c r="AL189" s="1" t="s">
        <v>121</v>
      </c>
      <c r="AM189" s="1" t="s">
        <v>121</v>
      </c>
      <c r="AN189" s="1" t="s">
        <v>121</v>
      </c>
      <c r="AO189" s="1" t="s">
        <v>121</v>
      </c>
      <c r="AP189" s="1" t="s">
        <v>121</v>
      </c>
      <c r="AQ189" s="1" t="s">
        <v>121</v>
      </c>
      <c r="AR189" s="1" t="s">
        <v>121</v>
      </c>
      <c r="AS189" s="1" t="s">
        <v>121</v>
      </c>
      <c r="AT189" s="1" t="s">
        <v>121</v>
      </c>
      <c r="AU189" s="1" t="s">
        <v>121</v>
      </c>
      <c r="AV189" s="1" t="s">
        <v>121</v>
      </c>
      <c r="AW189" s="1" t="s">
        <v>121</v>
      </c>
      <c r="AX189" s="1" t="s">
        <v>121</v>
      </c>
      <c r="AY189" s="1" t="s">
        <v>121</v>
      </c>
      <c r="AZ189" s="1" t="s">
        <v>121</v>
      </c>
      <c r="BA189" s="1" t="s">
        <v>121</v>
      </c>
      <c r="BB189" s="1" t="s">
        <v>121</v>
      </c>
      <c r="BC189" s="1" t="s">
        <v>121</v>
      </c>
      <c r="BD189" s="1" t="s">
        <v>121</v>
      </c>
      <c r="BE189" s="1" t="s">
        <v>121</v>
      </c>
      <c r="BF189" s="1" t="s">
        <v>121</v>
      </c>
      <c r="BG189" s="1" t="s">
        <v>121</v>
      </c>
      <c r="BH189" s="1" t="s">
        <v>121</v>
      </c>
      <c r="BI189" s="1" t="s">
        <v>121</v>
      </c>
      <c r="BJ189" s="1" t="s">
        <v>121</v>
      </c>
      <c r="BK189" s="1" t="s">
        <v>121</v>
      </c>
      <c r="BL189" s="1" t="s">
        <v>121</v>
      </c>
      <c r="BM189" s="1" t="s">
        <v>121</v>
      </c>
      <c r="BN189" s="1" t="s">
        <v>121</v>
      </c>
      <c r="BO189" s="1" t="s">
        <v>121</v>
      </c>
      <c r="BP189" s="1" t="s">
        <v>121</v>
      </c>
      <c r="BQ189" s="1" t="s">
        <v>121</v>
      </c>
    </row>
    <row r="190" spans="1:69" x14ac:dyDescent="0.25">
      <c r="A190" s="72">
        <v>190</v>
      </c>
      <c r="B190" s="233" t="s">
        <v>343</v>
      </c>
      <c r="C190" s="150" t="s">
        <v>121</v>
      </c>
      <c r="D190" s="164" t="s">
        <v>121</v>
      </c>
      <c r="E190" s="151" t="s">
        <v>121</v>
      </c>
      <c r="F190" s="312">
        <v>929</v>
      </c>
      <c r="G190" s="312">
        <v>898</v>
      </c>
      <c r="H190" s="312">
        <v>989</v>
      </c>
      <c r="I190" s="312">
        <v>901</v>
      </c>
      <c r="J190" s="312">
        <v>937</v>
      </c>
      <c r="K190" s="312">
        <v>881</v>
      </c>
      <c r="L190" s="312">
        <v>887</v>
      </c>
      <c r="M190" s="312">
        <v>753</v>
      </c>
      <c r="N190" s="312">
        <v>920</v>
      </c>
      <c r="O190" s="312">
        <v>992</v>
      </c>
      <c r="P190" s="312">
        <v>1094</v>
      </c>
      <c r="Q190" s="312">
        <v>1164</v>
      </c>
      <c r="R190" s="406"/>
      <c r="S190" s="406"/>
      <c r="T190" s="406"/>
      <c r="U190" s="312">
        <v>576</v>
      </c>
      <c r="V190" s="312">
        <v>862.57900000000006</v>
      </c>
      <c r="W190" s="294">
        <v>932.55100000000004</v>
      </c>
      <c r="X190" s="294">
        <v>963.923</v>
      </c>
      <c r="Y190" s="294">
        <v>1062.7670000000001</v>
      </c>
      <c r="Z190" s="294">
        <v>1109.1809999999998</v>
      </c>
      <c r="AA190" s="212">
        <v>1197.423</v>
      </c>
      <c r="AB190" s="212">
        <v>654.73</v>
      </c>
      <c r="AC190" s="212">
        <v>581.59899999999993</v>
      </c>
      <c r="AD190" s="212">
        <v>472.07099999999997</v>
      </c>
      <c r="AE190" s="212">
        <v>280.36099999999999</v>
      </c>
      <c r="AF190" s="212">
        <v>265.06700000000001</v>
      </c>
      <c r="AG190" s="212">
        <v>180.9</v>
      </c>
      <c r="AH190" s="212">
        <v>168.648</v>
      </c>
      <c r="AI190" s="1">
        <v>151.95499999999998</v>
      </c>
      <c r="AJ190" s="1">
        <v>120.429</v>
      </c>
      <c r="AK190" s="1" t="s">
        <v>121</v>
      </c>
      <c r="AL190" s="1" t="s">
        <v>121</v>
      </c>
      <c r="AM190" s="1" t="s">
        <v>121</v>
      </c>
      <c r="AN190" s="1" t="s">
        <v>121</v>
      </c>
      <c r="AO190" s="1" t="s">
        <v>121</v>
      </c>
      <c r="AP190" s="1" t="s">
        <v>121</v>
      </c>
      <c r="AQ190" s="1" t="s">
        <v>121</v>
      </c>
      <c r="AR190" s="1" t="s">
        <v>121</v>
      </c>
      <c r="AS190" s="1" t="s">
        <v>121</v>
      </c>
      <c r="AT190" s="1" t="s">
        <v>121</v>
      </c>
      <c r="AU190" s="1" t="s">
        <v>121</v>
      </c>
      <c r="AV190" s="1" t="s">
        <v>121</v>
      </c>
      <c r="AW190" s="1" t="s">
        <v>121</v>
      </c>
      <c r="AX190" s="1" t="s">
        <v>121</v>
      </c>
      <c r="AY190" s="1" t="s">
        <v>121</v>
      </c>
      <c r="AZ190" s="1" t="s">
        <v>121</v>
      </c>
      <c r="BA190" s="1" t="s">
        <v>121</v>
      </c>
      <c r="BB190" s="1" t="s">
        <v>121</v>
      </c>
      <c r="BC190" s="1" t="s">
        <v>121</v>
      </c>
      <c r="BD190" s="1" t="s">
        <v>121</v>
      </c>
      <c r="BE190" s="1" t="s">
        <v>121</v>
      </c>
      <c r="BF190" s="1" t="s">
        <v>121</v>
      </c>
      <c r="BG190" s="1" t="s">
        <v>121</v>
      </c>
      <c r="BH190" s="1" t="s">
        <v>121</v>
      </c>
      <c r="BI190" s="1" t="s">
        <v>121</v>
      </c>
      <c r="BJ190" s="1" t="s">
        <v>121</v>
      </c>
      <c r="BK190" s="1" t="s">
        <v>121</v>
      </c>
      <c r="BL190" s="1" t="s">
        <v>121</v>
      </c>
      <c r="BM190" s="1" t="s">
        <v>121</v>
      </c>
      <c r="BN190" s="1" t="s">
        <v>121</v>
      </c>
      <c r="BO190" s="1" t="s">
        <v>121</v>
      </c>
      <c r="BP190" s="1" t="s">
        <v>121</v>
      </c>
      <c r="BQ190" s="1" t="s">
        <v>121</v>
      </c>
    </row>
    <row r="191" spans="1:69" x14ac:dyDescent="0.25">
      <c r="A191" s="72">
        <v>191</v>
      </c>
      <c r="B191" s="231" t="s">
        <v>14</v>
      </c>
      <c r="C191" s="150" t="s">
        <v>121</v>
      </c>
      <c r="D191" s="164" t="s">
        <v>121</v>
      </c>
      <c r="E191" s="151" t="s">
        <v>121</v>
      </c>
      <c r="F191" s="244">
        <v>-235</v>
      </c>
      <c r="G191" s="244">
        <v>-235</v>
      </c>
      <c r="H191" s="244">
        <v>-282</v>
      </c>
      <c r="I191" s="244">
        <v>-231</v>
      </c>
      <c r="J191" s="244">
        <v>-263</v>
      </c>
      <c r="K191" s="244">
        <v>-244</v>
      </c>
      <c r="L191" s="244">
        <v>-271</v>
      </c>
      <c r="M191" s="244">
        <v>-232</v>
      </c>
      <c r="N191" s="244">
        <v>-241</v>
      </c>
      <c r="O191" s="244">
        <v>-279</v>
      </c>
      <c r="P191" s="244">
        <v>-312</v>
      </c>
      <c r="Q191" s="244">
        <v>-415</v>
      </c>
      <c r="R191" s="406"/>
      <c r="S191" s="406"/>
      <c r="T191" s="406"/>
      <c r="U191" s="244">
        <v>-204</v>
      </c>
      <c r="V191" s="244">
        <v>-281.47499999999997</v>
      </c>
      <c r="W191" s="250">
        <v>-289.45799999999997</v>
      </c>
      <c r="X191" s="250">
        <v>-303.50200000000001</v>
      </c>
      <c r="Y191" s="250">
        <v>-320.24900000000002</v>
      </c>
      <c r="Z191" s="250">
        <v>-343.55399999999997</v>
      </c>
      <c r="AA191" s="165">
        <v>-382.02800000000002</v>
      </c>
      <c r="AB191" s="165">
        <v>-274.56099999999998</v>
      </c>
      <c r="AC191" s="165">
        <v>-227.298</v>
      </c>
      <c r="AD191" s="165">
        <v>-224.16899999999998</v>
      </c>
      <c r="AE191" s="165">
        <v>-127.194</v>
      </c>
      <c r="AF191" s="165">
        <v>-118.91</v>
      </c>
      <c r="AG191" s="165">
        <v>-80.415999999999997</v>
      </c>
      <c r="AH191" s="165">
        <v>-73.257000000000005</v>
      </c>
      <c r="AI191" s="1">
        <v>-61.28</v>
      </c>
      <c r="AJ191" s="1">
        <v>-54.998000000000005</v>
      </c>
      <c r="AK191" s="1" t="s">
        <v>121</v>
      </c>
      <c r="AL191" s="1" t="s">
        <v>121</v>
      </c>
      <c r="AM191" s="1" t="s">
        <v>121</v>
      </c>
      <c r="AN191" s="1" t="s">
        <v>121</v>
      </c>
      <c r="AO191" s="1" t="s">
        <v>121</v>
      </c>
      <c r="AP191" s="1" t="s">
        <v>121</v>
      </c>
      <c r="AQ191" s="1" t="s">
        <v>121</v>
      </c>
      <c r="AR191" s="1" t="s">
        <v>121</v>
      </c>
      <c r="AS191" s="1" t="s">
        <v>121</v>
      </c>
      <c r="AT191" s="1" t="s">
        <v>121</v>
      </c>
      <c r="AU191" s="1" t="s">
        <v>121</v>
      </c>
      <c r="AV191" s="1" t="s">
        <v>121</v>
      </c>
      <c r="AW191" s="1" t="s">
        <v>121</v>
      </c>
      <c r="AX191" s="1" t="s">
        <v>121</v>
      </c>
      <c r="AY191" s="1" t="s">
        <v>121</v>
      </c>
      <c r="AZ191" s="1" t="s">
        <v>121</v>
      </c>
      <c r="BA191" s="1" t="s">
        <v>121</v>
      </c>
      <c r="BB191" s="1" t="s">
        <v>121</v>
      </c>
      <c r="BC191" s="1" t="s">
        <v>121</v>
      </c>
      <c r="BD191" s="1" t="s">
        <v>121</v>
      </c>
      <c r="BE191" s="1" t="s">
        <v>121</v>
      </c>
      <c r="BF191" s="1" t="s">
        <v>121</v>
      </c>
      <c r="BG191" s="1" t="s">
        <v>121</v>
      </c>
      <c r="BH191" s="1" t="s">
        <v>121</v>
      </c>
      <c r="BI191" s="1" t="s">
        <v>121</v>
      </c>
      <c r="BJ191" s="1" t="s">
        <v>121</v>
      </c>
      <c r="BK191" s="1" t="s">
        <v>121</v>
      </c>
      <c r="BL191" s="1" t="s">
        <v>121</v>
      </c>
      <c r="BM191" s="1" t="s">
        <v>121</v>
      </c>
      <c r="BN191" s="1" t="s">
        <v>121</v>
      </c>
      <c r="BO191" s="1" t="s">
        <v>121</v>
      </c>
      <c r="BP191" s="1" t="s">
        <v>121</v>
      </c>
      <c r="BQ191" s="1" t="s">
        <v>121</v>
      </c>
    </row>
    <row r="192" spans="1:69" x14ac:dyDescent="0.25">
      <c r="A192" s="72">
        <v>192</v>
      </c>
      <c r="B192" s="233" t="s">
        <v>344</v>
      </c>
      <c r="C192" s="150" t="s">
        <v>121</v>
      </c>
      <c r="D192" s="164" t="s">
        <v>121</v>
      </c>
      <c r="E192" s="151" t="s">
        <v>121</v>
      </c>
      <c r="F192" s="312">
        <v>694</v>
      </c>
      <c r="G192" s="312">
        <v>663</v>
      </c>
      <c r="H192" s="312">
        <v>707</v>
      </c>
      <c r="I192" s="312">
        <v>670</v>
      </c>
      <c r="J192" s="312">
        <v>674</v>
      </c>
      <c r="K192" s="312">
        <v>637</v>
      </c>
      <c r="L192" s="312">
        <v>616</v>
      </c>
      <c r="M192" s="312">
        <v>521</v>
      </c>
      <c r="N192" s="312">
        <v>679</v>
      </c>
      <c r="O192" s="312">
        <v>713</v>
      </c>
      <c r="P192" s="312">
        <v>782</v>
      </c>
      <c r="Q192" s="312">
        <v>749</v>
      </c>
      <c r="R192" s="406"/>
      <c r="S192" s="406"/>
      <c r="T192" s="406"/>
      <c r="U192" s="312">
        <v>372</v>
      </c>
      <c r="V192" s="312">
        <v>581.10400000000004</v>
      </c>
      <c r="W192" s="294">
        <v>643.09300000000007</v>
      </c>
      <c r="X192" s="294">
        <v>660.42100000000005</v>
      </c>
      <c r="Y192" s="294">
        <v>742.51800000000003</v>
      </c>
      <c r="Z192" s="294">
        <v>765.62699999999984</v>
      </c>
      <c r="AA192" s="212">
        <v>815.39499999999998</v>
      </c>
      <c r="AB192" s="212">
        <v>380.16900000000004</v>
      </c>
      <c r="AC192" s="212">
        <v>354.30099999999993</v>
      </c>
      <c r="AD192" s="212">
        <v>247.90199999999999</v>
      </c>
      <c r="AE192" s="212">
        <v>153.16699999999997</v>
      </c>
      <c r="AF192" s="212">
        <v>146.15700000000001</v>
      </c>
      <c r="AG192" s="212">
        <v>100.48400000000001</v>
      </c>
      <c r="AH192" s="212">
        <v>95.390999999999991</v>
      </c>
      <c r="AI192" s="1">
        <v>90.674999999999983</v>
      </c>
      <c r="AJ192" s="1">
        <v>65.430999999999997</v>
      </c>
      <c r="AK192" s="1" t="s">
        <v>121</v>
      </c>
      <c r="AL192" s="1" t="s">
        <v>121</v>
      </c>
      <c r="AM192" s="1" t="s">
        <v>121</v>
      </c>
      <c r="AN192" s="1" t="s">
        <v>121</v>
      </c>
      <c r="AO192" s="1" t="s">
        <v>121</v>
      </c>
      <c r="AP192" s="1" t="s">
        <v>121</v>
      </c>
      <c r="AQ192" s="1" t="s">
        <v>121</v>
      </c>
      <c r="AR192" s="1" t="s">
        <v>121</v>
      </c>
      <c r="AS192" s="1" t="s">
        <v>121</v>
      </c>
      <c r="AT192" s="1" t="s">
        <v>121</v>
      </c>
      <c r="AU192" s="1" t="s">
        <v>121</v>
      </c>
      <c r="AV192" s="1" t="s">
        <v>121</v>
      </c>
      <c r="AW192" s="1" t="s">
        <v>121</v>
      </c>
      <c r="AX192" s="1" t="s">
        <v>121</v>
      </c>
      <c r="AY192" s="1" t="s">
        <v>121</v>
      </c>
      <c r="AZ192" s="1" t="s">
        <v>121</v>
      </c>
      <c r="BA192" s="1" t="s">
        <v>121</v>
      </c>
      <c r="BB192" s="1" t="s">
        <v>121</v>
      </c>
      <c r="BC192" s="1" t="s">
        <v>121</v>
      </c>
      <c r="BD192" s="1" t="s">
        <v>121</v>
      </c>
      <c r="BE192" s="1" t="s">
        <v>121</v>
      </c>
      <c r="BF192" s="1" t="s">
        <v>121</v>
      </c>
      <c r="BG192" s="1" t="s">
        <v>121</v>
      </c>
      <c r="BH192" s="1" t="s">
        <v>121</v>
      </c>
      <c r="BI192" s="1" t="s">
        <v>121</v>
      </c>
      <c r="BJ192" s="1" t="s">
        <v>121</v>
      </c>
      <c r="BK192" s="1" t="s">
        <v>121</v>
      </c>
      <c r="BL192" s="1" t="s">
        <v>121</v>
      </c>
      <c r="BM192" s="1" t="s">
        <v>121</v>
      </c>
      <c r="BN192" s="1" t="s">
        <v>121</v>
      </c>
      <c r="BO192" s="1" t="s">
        <v>121</v>
      </c>
      <c r="BP192" s="1" t="s">
        <v>121</v>
      </c>
      <c r="BQ192" s="1" t="s">
        <v>121</v>
      </c>
    </row>
    <row r="193" spans="1:69" x14ac:dyDescent="0.25">
      <c r="A193" s="72">
        <v>193</v>
      </c>
      <c r="B193" s="232" t="s">
        <v>345</v>
      </c>
      <c r="C193" s="150" t="s">
        <v>121</v>
      </c>
      <c r="D193" s="164" t="s">
        <v>121</v>
      </c>
      <c r="E193" s="151" t="s">
        <v>121</v>
      </c>
      <c r="F193" s="326" t="s">
        <v>121</v>
      </c>
      <c r="G193" s="326" t="s">
        <v>121</v>
      </c>
      <c r="H193" s="326" t="s">
        <v>121</v>
      </c>
      <c r="I193" s="326" t="s">
        <v>121</v>
      </c>
      <c r="J193" s="326" t="s">
        <v>121</v>
      </c>
      <c r="K193" s="326" t="s">
        <v>121</v>
      </c>
      <c r="L193" s="326" t="s">
        <v>121</v>
      </c>
      <c r="M193" s="326" t="s">
        <v>121</v>
      </c>
      <c r="N193" s="326" t="s">
        <v>121</v>
      </c>
      <c r="O193" s="326" t="s">
        <v>121</v>
      </c>
      <c r="P193" s="326" t="s">
        <v>121</v>
      </c>
      <c r="Q193" s="326" t="s">
        <v>121</v>
      </c>
      <c r="R193" s="406"/>
      <c r="S193" s="406"/>
      <c r="T193" s="406"/>
      <c r="U193" s="326" t="s">
        <v>121</v>
      </c>
      <c r="V193" s="326" t="s">
        <v>121</v>
      </c>
      <c r="W193" s="275" t="s">
        <v>121</v>
      </c>
      <c r="X193" s="275" t="s">
        <v>121</v>
      </c>
      <c r="Y193" s="275" t="s">
        <v>121</v>
      </c>
      <c r="Z193" s="275" t="s">
        <v>121</v>
      </c>
      <c r="AA193" s="164" t="s">
        <v>121</v>
      </c>
      <c r="AB193" s="164" t="s">
        <v>121</v>
      </c>
      <c r="AC193" s="164" t="s">
        <v>121</v>
      </c>
      <c r="AD193" s="164" t="s">
        <v>121</v>
      </c>
      <c r="AE193" s="164" t="s">
        <v>121</v>
      </c>
      <c r="AF193" s="164" t="s">
        <v>121</v>
      </c>
      <c r="AG193" s="164" t="s">
        <v>121</v>
      </c>
      <c r="AH193" s="165" t="s">
        <v>121</v>
      </c>
      <c r="AI193" s="1" t="s">
        <v>121</v>
      </c>
      <c r="AJ193" s="1" t="s">
        <v>121</v>
      </c>
      <c r="AK193" s="1" t="s">
        <v>121</v>
      </c>
      <c r="AL193" s="1" t="s">
        <v>121</v>
      </c>
      <c r="AM193" s="1" t="s">
        <v>121</v>
      </c>
      <c r="AN193" s="1" t="s">
        <v>121</v>
      </c>
      <c r="AO193" s="1" t="s">
        <v>121</v>
      </c>
      <c r="AP193" s="1" t="s">
        <v>121</v>
      </c>
      <c r="AQ193" s="1" t="s">
        <v>121</v>
      </c>
      <c r="AR193" s="1" t="s">
        <v>121</v>
      </c>
      <c r="AS193" s="1" t="s">
        <v>121</v>
      </c>
      <c r="AT193" s="1" t="s">
        <v>121</v>
      </c>
      <c r="AU193" s="1" t="s">
        <v>121</v>
      </c>
      <c r="AV193" s="1" t="s">
        <v>121</v>
      </c>
      <c r="AW193" s="1" t="s">
        <v>121</v>
      </c>
      <c r="AX193" s="1" t="s">
        <v>121</v>
      </c>
      <c r="AY193" s="1" t="s">
        <v>121</v>
      </c>
      <c r="AZ193" s="1" t="s">
        <v>121</v>
      </c>
      <c r="BA193" s="1" t="s">
        <v>121</v>
      </c>
      <c r="BB193" s="1" t="s">
        <v>121</v>
      </c>
      <c r="BC193" s="1" t="s">
        <v>121</v>
      </c>
      <c r="BD193" s="1" t="s">
        <v>121</v>
      </c>
      <c r="BE193" s="1" t="s">
        <v>121</v>
      </c>
      <c r="BF193" s="1" t="s">
        <v>121</v>
      </c>
      <c r="BG193" s="1" t="s">
        <v>121</v>
      </c>
      <c r="BH193" s="1" t="s">
        <v>121</v>
      </c>
      <c r="BI193" s="1" t="s">
        <v>121</v>
      </c>
      <c r="BJ193" s="1" t="s">
        <v>121</v>
      </c>
      <c r="BK193" s="1" t="s">
        <v>121</v>
      </c>
      <c r="BL193" s="1" t="s">
        <v>121</v>
      </c>
      <c r="BM193" s="1" t="s">
        <v>121</v>
      </c>
      <c r="BN193" s="1" t="s">
        <v>121</v>
      </c>
      <c r="BO193" s="1" t="s">
        <v>121</v>
      </c>
      <c r="BP193" s="1" t="s">
        <v>121</v>
      </c>
      <c r="BQ193" s="1" t="s">
        <v>121</v>
      </c>
    </row>
    <row r="194" spans="1:69" x14ac:dyDescent="0.25">
      <c r="A194" s="72">
        <v>194</v>
      </c>
      <c r="B194" s="217" t="s">
        <v>353</v>
      </c>
      <c r="C194" s="150" t="s">
        <v>121</v>
      </c>
      <c r="D194" s="164" t="s">
        <v>121</v>
      </c>
      <c r="E194" s="151" t="s">
        <v>121</v>
      </c>
      <c r="F194" s="244">
        <v>69</v>
      </c>
      <c r="G194" s="244">
        <v>62</v>
      </c>
      <c r="H194" s="244">
        <v>73</v>
      </c>
      <c r="I194" s="244">
        <v>85</v>
      </c>
      <c r="J194" s="244">
        <v>70</v>
      </c>
      <c r="K194" s="244">
        <v>75</v>
      </c>
      <c r="L194" s="244">
        <v>63</v>
      </c>
      <c r="M194" s="244">
        <v>66</v>
      </c>
      <c r="N194" s="244">
        <v>51</v>
      </c>
      <c r="O194" s="244">
        <v>52</v>
      </c>
      <c r="P194" s="244">
        <v>48</v>
      </c>
      <c r="Q194" s="244">
        <v>49</v>
      </c>
      <c r="R194" s="406"/>
      <c r="S194" s="406"/>
      <c r="T194" s="406"/>
      <c r="U194" s="244">
        <v>55</v>
      </c>
      <c r="V194" s="244">
        <v>66.057999999999993</v>
      </c>
      <c r="W194" s="250">
        <v>39.493000000000002</v>
      </c>
      <c r="X194" s="250">
        <v>38.274999999999999</v>
      </c>
      <c r="Y194" s="250">
        <v>43.528000000000006</v>
      </c>
      <c r="Z194" s="250">
        <v>36.981000000000002</v>
      </c>
      <c r="AA194" s="165">
        <v>35.649000000000001</v>
      </c>
      <c r="AB194" s="165">
        <v>36.583999999999996</v>
      </c>
      <c r="AC194" s="165">
        <v>33.024000000000001</v>
      </c>
      <c r="AD194" s="165">
        <v>29.457999999999998</v>
      </c>
      <c r="AE194" s="165">
        <v>34.099000000000004</v>
      </c>
      <c r="AF194" s="165">
        <v>27.556999999999999</v>
      </c>
      <c r="AG194" s="165">
        <v>28.040000000000003</v>
      </c>
      <c r="AH194" s="165">
        <v>21.501999999999999</v>
      </c>
      <c r="AI194" s="1">
        <v>20.538</v>
      </c>
      <c r="AJ194" s="1">
        <v>21.321999999999999</v>
      </c>
      <c r="AK194" s="1" t="s">
        <v>121</v>
      </c>
      <c r="AL194" s="1" t="s">
        <v>121</v>
      </c>
      <c r="AM194" s="1" t="s">
        <v>121</v>
      </c>
      <c r="AN194" s="1" t="s">
        <v>121</v>
      </c>
      <c r="AO194" s="1" t="s">
        <v>121</v>
      </c>
      <c r="AP194" s="1" t="s">
        <v>121</v>
      </c>
      <c r="AQ194" s="1" t="s">
        <v>121</v>
      </c>
      <c r="AR194" s="1" t="s">
        <v>121</v>
      </c>
      <c r="AS194" s="1" t="s">
        <v>121</v>
      </c>
      <c r="AT194" s="1" t="s">
        <v>121</v>
      </c>
      <c r="AU194" s="1" t="s">
        <v>121</v>
      </c>
      <c r="AV194" s="1" t="s">
        <v>121</v>
      </c>
      <c r="AW194" s="1" t="s">
        <v>121</v>
      </c>
      <c r="AX194" s="1" t="s">
        <v>121</v>
      </c>
      <c r="AY194" s="1" t="s">
        <v>121</v>
      </c>
      <c r="AZ194" s="1" t="s">
        <v>121</v>
      </c>
      <c r="BA194" s="1" t="s">
        <v>121</v>
      </c>
      <c r="BB194" s="1" t="s">
        <v>121</v>
      </c>
      <c r="BC194" s="1" t="s">
        <v>121</v>
      </c>
      <c r="BD194" s="1" t="s">
        <v>121</v>
      </c>
      <c r="BE194" s="1" t="s">
        <v>121</v>
      </c>
      <c r="BF194" s="1" t="s">
        <v>121</v>
      </c>
      <c r="BG194" s="1" t="s">
        <v>121</v>
      </c>
      <c r="BH194" s="1" t="s">
        <v>121</v>
      </c>
      <c r="BI194" s="1" t="s">
        <v>121</v>
      </c>
      <c r="BJ194" s="1" t="s">
        <v>121</v>
      </c>
      <c r="BK194" s="1" t="s">
        <v>121</v>
      </c>
      <c r="BL194" s="1" t="s">
        <v>121</v>
      </c>
      <c r="BM194" s="1" t="s">
        <v>121</v>
      </c>
      <c r="BN194" s="1" t="s">
        <v>121</v>
      </c>
      <c r="BO194" s="1" t="s">
        <v>121</v>
      </c>
      <c r="BP194" s="1" t="s">
        <v>121</v>
      </c>
      <c r="BQ194" s="1" t="s">
        <v>121</v>
      </c>
    </row>
    <row r="195" spans="1:69" x14ac:dyDescent="0.25">
      <c r="A195" s="72">
        <v>195</v>
      </c>
      <c r="B195" s="217" t="s">
        <v>354</v>
      </c>
      <c r="C195" s="150" t="s">
        <v>121</v>
      </c>
      <c r="D195" s="164" t="s">
        <v>121</v>
      </c>
      <c r="E195" s="151" t="s">
        <v>121</v>
      </c>
      <c r="F195" s="244">
        <v>70</v>
      </c>
      <c r="G195" s="244">
        <v>79</v>
      </c>
      <c r="H195" s="244">
        <v>72</v>
      </c>
      <c r="I195" s="244">
        <v>62</v>
      </c>
      <c r="J195" s="244">
        <v>63</v>
      </c>
      <c r="K195" s="244">
        <v>63</v>
      </c>
      <c r="L195" s="244">
        <v>58</v>
      </c>
      <c r="M195" s="244">
        <v>51</v>
      </c>
      <c r="N195" s="244">
        <v>53</v>
      </c>
      <c r="O195" s="244">
        <v>67</v>
      </c>
      <c r="P195" s="244">
        <v>64</v>
      </c>
      <c r="Q195" s="244">
        <v>80</v>
      </c>
      <c r="R195" s="406"/>
      <c r="S195" s="406"/>
      <c r="T195" s="406"/>
      <c r="U195" s="244">
        <v>65</v>
      </c>
      <c r="V195" s="244">
        <v>62.400999999999996</v>
      </c>
      <c r="W195" s="250">
        <v>24.232999999999997</v>
      </c>
      <c r="X195" s="250">
        <v>30.548000000000002</v>
      </c>
      <c r="Y195" s="250">
        <v>27.166</v>
      </c>
      <c r="Z195" s="250">
        <v>31.188000000000002</v>
      </c>
      <c r="AA195" s="165">
        <v>27.438000000000002</v>
      </c>
      <c r="AB195" s="165">
        <v>24.867999999999999</v>
      </c>
      <c r="AC195" s="165">
        <v>19.734999999999999</v>
      </c>
      <c r="AD195" s="165">
        <v>20.729999999999997</v>
      </c>
      <c r="AE195" s="165">
        <v>15.914</v>
      </c>
      <c r="AF195" s="165">
        <v>14.87</v>
      </c>
      <c r="AG195" s="165">
        <v>9.83</v>
      </c>
      <c r="AH195" s="245">
        <v>12.526</v>
      </c>
      <c r="AI195" s="1">
        <v>7.9750000000000005</v>
      </c>
      <c r="AJ195" s="1" t="s">
        <v>121</v>
      </c>
      <c r="AK195" s="1" t="s">
        <v>121</v>
      </c>
      <c r="AL195" s="1" t="s">
        <v>121</v>
      </c>
      <c r="AM195" s="1" t="s">
        <v>121</v>
      </c>
      <c r="AN195" s="1" t="s">
        <v>121</v>
      </c>
      <c r="AO195" s="1" t="s">
        <v>121</v>
      </c>
      <c r="AP195" s="1" t="s">
        <v>121</v>
      </c>
      <c r="AQ195" s="1" t="s">
        <v>121</v>
      </c>
      <c r="AR195" s="1" t="s">
        <v>121</v>
      </c>
      <c r="AS195" s="1" t="s">
        <v>121</v>
      </c>
      <c r="AT195" s="1" t="s">
        <v>121</v>
      </c>
      <c r="AU195" s="1" t="s">
        <v>121</v>
      </c>
      <c r="AV195" s="1" t="s">
        <v>121</v>
      </c>
      <c r="AW195" s="1" t="s">
        <v>121</v>
      </c>
      <c r="AX195" s="1" t="s">
        <v>121</v>
      </c>
      <c r="AY195" s="1" t="s">
        <v>121</v>
      </c>
      <c r="AZ195" s="1" t="s">
        <v>121</v>
      </c>
      <c r="BA195" s="1" t="s">
        <v>121</v>
      </c>
      <c r="BB195" s="1" t="s">
        <v>121</v>
      </c>
      <c r="BC195" s="1" t="s">
        <v>121</v>
      </c>
      <c r="BD195" s="1" t="s">
        <v>121</v>
      </c>
      <c r="BE195" s="1" t="s">
        <v>121</v>
      </c>
      <c r="BF195" s="1" t="s">
        <v>121</v>
      </c>
      <c r="BG195" s="1" t="s">
        <v>121</v>
      </c>
      <c r="BH195" s="1" t="s">
        <v>121</v>
      </c>
      <c r="BI195" s="1" t="s">
        <v>121</v>
      </c>
      <c r="BJ195" s="1" t="s">
        <v>121</v>
      </c>
      <c r="BK195" s="1" t="s">
        <v>121</v>
      </c>
      <c r="BL195" s="1" t="s">
        <v>121</v>
      </c>
      <c r="BM195" s="1" t="s">
        <v>121</v>
      </c>
      <c r="BN195" s="1" t="s">
        <v>121</v>
      </c>
      <c r="BO195" s="1" t="s">
        <v>121</v>
      </c>
      <c r="BP195" s="1" t="s">
        <v>121</v>
      </c>
      <c r="BQ195" s="1" t="s">
        <v>121</v>
      </c>
    </row>
    <row r="196" spans="1:69" x14ac:dyDescent="0.25">
      <c r="A196" s="72">
        <v>196</v>
      </c>
      <c r="B196" s="217" t="s">
        <v>355</v>
      </c>
      <c r="C196" s="150" t="s">
        <v>121</v>
      </c>
      <c r="D196" s="164" t="s">
        <v>121</v>
      </c>
      <c r="E196" s="151" t="s">
        <v>121</v>
      </c>
      <c r="F196" s="244">
        <v>3317</v>
      </c>
      <c r="G196" s="244">
        <v>3262</v>
      </c>
      <c r="H196" s="244">
        <v>3199</v>
      </c>
      <c r="I196" s="244">
        <v>3184</v>
      </c>
      <c r="J196" s="244">
        <v>3127</v>
      </c>
      <c r="K196" s="244">
        <v>3129</v>
      </c>
      <c r="L196" s="244">
        <v>3149</v>
      </c>
      <c r="M196" s="244">
        <v>3070</v>
      </c>
      <c r="N196" s="244">
        <v>3102</v>
      </c>
      <c r="O196" s="244">
        <v>3131</v>
      </c>
      <c r="P196" s="244">
        <v>3163</v>
      </c>
      <c r="Q196" s="244">
        <v>3045</v>
      </c>
      <c r="R196" s="406"/>
      <c r="S196" s="406"/>
      <c r="T196" s="406"/>
      <c r="U196" s="244">
        <v>2411</v>
      </c>
      <c r="V196" s="244">
        <v>2452.9629999999997</v>
      </c>
      <c r="W196" s="250">
        <v>2483.3959999999997</v>
      </c>
      <c r="X196" s="250">
        <v>2555.1469999999999</v>
      </c>
      <c r="Y196" s="250">
        <v>2309.0519999999997</v>
      </c>
      <c r="Z196" s="250">
        <v>2380.7570000000001</v>
      </c>
      <c r="AA196" s="250">
        <v>1816.068</v>
      </c>
      <c r="AB196" s="250">
        <v>1682.221</v>
      </c>
      <c r="AC196" s="250">
        <v>1550.3910000000001</v>
      </c>
      <c r="AD196" s="250">
        <v>1441.019</v>
      </c>
      <c r="AE196" s="250">
        <v>1315.287</v>
      </c>
      <c r="AF196" s="250">
        <v>1303.2280000000001</v>
      </c>
      <c r="AG196" s="250">
        <v>1224.452</v>
      </c>
      <c r="AH196" s="165">
        <v>1052.489</v>
      </c>
      <c r="AI196" s="1">
        <v>1030.95</v>
      </c>
      <c r="AJ196" s="1">
        <v>997.56200000000001</v>
      </c>
      <c r="AK196" s="1" t="s">
        <v>121</v>
      </c>
      <c r="AL196" s="1" t="s">
        <v>121</v>
      </c>
      <c r="AM196" s="1" t="s">
        <v>121</v>
      </c>
      <c r="AN196" s="1" t="s">
        <v>121</v>
      </c>
      <c r="AO196" s="1" t="s">
        <v>121</v>
      </c>
      <c r="AP196" s="1" t="s">
        <v>121</v>
      </c>
      <c r="AQ196" s="1" t="s">
        <v>121</v>
      </c>
      <c r="AR196" s="1" t="s">
        <v>121</v>
      </c>
      <c r="AS196" s="1" t="s">
        <v>121</v>
      </c>
      <c r="AT196" s="1" t="s">
        <v>121</v>
      </c>
      <c r="AU196" s="1" t="s">
        <v>121</v>
      </c>
      <c r="AV196" s="1" t="s">
        <v>121</v>
      </c>
      <c r="AW196" s="1" t="s">
        <v>121</v>
      </c>
      <c r="AX196" s="1" t="s">
        <v>121</v>
      </c>
      <c r="AY196" s="1" t="s">
        <v>121</v>
      </c>
      <c r="AZ196" s="1" t="s">
        <v>121</v>
      </c>
      <c r="BA196" s="1" t="s">
        <v>121</v>
      </c>
      <c r="BB196" s="1" t="s">
        <v>121</v>
      </c>
      <c r="BC196" s="1" t="s">
        <v>121</v>
      </c>
      <c r="BD196" s="1" t="s">
        <v>121</v>
      </c>
      <c r="BE196" s="1" t="s">
        <v>121</v>
      </c>
      <c r="BF196" s="1" t="s">
        <v>121</v>
      </c>
      <c r="BG196" s="1" t="s">
        <v>121</v>
      </c>
      <c r="BH196" s="1" t="s">
        <v>121</v>
      </c>
      <c r="BI196" s="1" t="s">
        <v>121</v>
      </c>
      <c r="BJ196" s="1" t="s">
        <v>121</v>
      </c>
      <c r="BK196" s="1" t="s">
        <v>121</v>
      </c>
      <c r="BL196" s="1" t="s">
        <v>121</v>
      </c>
      <c r="BM196" s="1" t="s">
        <v>121</v>
      </c>
      <c r="BN196" s="1" t="s">
        <v>121</v>
      </c>
      <c r="BO196" s="1" t="s">
        <v>121</v>
      </c>
      <c r="BP196" s="1" t="s">
        <v>121</v>
      </c>
      <c r="BQ196" s="1" t="s">
        <v>121</v>
      </c>
    </row>
    <row r="197" spans="1:69" x14ac:dyDescent="0.25">
      <c r="A197" s="72">
        <v>197</v>
      </c>
      <c r="B197" s="233" t="s">
        <v>346</v>
      </c>
      <c r="C197" s="150" t="s">
        <v>121</v>
      </c>
      <c r="D197" s="164" t="s">
        <v>121</v>
      </c>
      <c r="E197" s="151" t="s">
        <v>121</v>
      </c>
      <c r="F197" s="312">
        <v>3456</v>
      </c>
      <c r="G197" s="312">
        <v>3403</v>
      </c>
      <c r="H197" s="312">
        <v>3344</v>
      </c>
      <c r="I197" s="312">
        <v>3331</v>
      </c>
      <c r="J197" s="312">
        <v>3260</v>
      </c>
      <c r="K197" s="312">
        <v>3267</v>
      </c>
      <c r="L197" s="312">
        <v>3270</v>
      </c>
      <c r="M197" s="312">
        <v>3187</v>
      </c>
      <c r="N197" s="312">
        <v>3206</v>
      </c>
      <c r="O197" s="312">
        <v>3250</v>
      </c>
      <c r="P197" s="312">
        <v>3275</v>
      </c>
      <c r="Q197" s="312">
        <v>3174</v>
      </c>
      <c r="R197" s="406"/>
      <c r="S197" s="406"/>
      <c r="T197" s="406"/>
      <c r="U197" s="312">
        <v>2531</v>
      </c>
      <c r="V197" s="312">
        <v>2581.4219999999996</v>
      </c>
      <c r="W197" s="294">
        <v>2547.1219999999998</v>
      </c>
      <c r="X197" s="294">
        <v>2623.97</v>
      </c>
      <c r="Y197" s="294">
        <v>2379.7459999999996</v>
      </c>
      <c r="Z197" s="294">
        <v>2448.9259999999999</v>
      </c>
      <c r="AA197" s="212">
        <v>1879.155</v>
      </c>
      <c r="AB197" s="212">
        <v>1743.673</v>
      </c>
      <c r="AC197" s="212">
        <v>1603.15</v>
      </c>
      <c r="AD197" s="212">
        <v>1491.2070000000001</v>
      </c>
      <c r="AE197" s="212">
        <v>1365.3</v>
      </c>
      <c r="AF197" s="212">
        <v>1345.655</v>
      </c>
      <c r="AG197" s="212">
        <v>1262.3220000000001</v>
      </c>
      <c r="AH197" s="212">
        <v>1086.5170000000001</v>
      </c>
      <c r="AI197" s="1">
        <v>1059.463</v>
      </c>
      <c r="AJ197" s="1">
        <v>1018.884</v>
      </c>
      <c r="AK197" s="1" t="s">
        <v>121</v>
      </c>
      <c r="AL197" s="1" t="s">
        <v>121</v>
      </c>
      <c r="AM197" s="1" t="s">
        <v>121</v>
      </c>
      <c r="AN197" s="1" t="s">
        <v>121</v>
      </c>
      <c r="AO197" s="1" t="s">
        <v>121</v>
      </c>
      <c r="AP197" s="1" t="s">
        <v>121</v>
      </c>
      <c r="AQ197" s="1" t="s">
        <v>121</v>
      </c>
      <c r="AR197" s="1" t="s">
        <v>121</v>
      </c>
      <c r="AS197" s="1" t="s">
        <v>121</v>
      </c>
      <c r="AT197" s="1" t="s">
        <v>121</v>
      </c>
      <c r="AU197" s="1" t="s">
        <v>121</v>
      </c>
      <c r="AV197" s="1" t="s">
        <v>121</v>
      </c>
      <c r="AW197" s="1" t="s">
        <v>121</v>
      </c>
      <c r="AX197" s="1" t="s">
        <v>121</v>
      </c>
      <c r="AY197" s="1" t="s">
        <v>121</v>
      </c>
      <c r="AZ197" s="1" t="s">
        <v>121</v>
      </c>
      <c r="BA197" s="1" t="s">
        <v>121</v>
      </c>
      <c r="BB197" s="1" t="s">
        <v>121</v>
      </c>
      <c r="BC197" s="1" t="s">
        <v>121</v>
      </c>
      <c r="BD197" s="1" t="s">
        <v>121</v>
      </c>
      <c r="BE197" s="1" t="s">
        <v>121</v>
      </c>
      <c r="BF197" s="1" t="s">
        <v>121</v>
      </c>
      <c r="BG197" s="1" t="s">
        <v>121</v>
      </c>
      <c r="BH197" s="1" t="s">
        <v>121</v>
      </c>
      <c r="BI197" s="1" t="s">
        <v>121</v>
      </c>
      <c r="BJ197" s="1" t="s">
        <v>121</v>
      </c>
      <c r="BK197" s="1" t="s">
        <v>121</v>
      </c>
      <c r="BL197" s="1" t="s">
        <v>121</v>
      </c>
      <c r="BM197" s="1" t="s">
        <v>121</v>
      </c>
      <c r="BN197" s="1" t="s">
        <v>121</v>
      </c>
      <c r="BO197" s="1" t="s">
        <v>121</v>
      </c>
      <c r="BP197" s="1" t="s">
        <v>121</v>
      </c>
      <c r="BQ197" s="1" t="s">
        <v>121</v>
      </c>
    </row>
    <row r="198" spans="1:69" x14ac:dyDescent="0.25">
      <c r="A198" s="72">
        <v>198</v>
      </c>
      <c r="B198" s="231" t="s">
        <v>14</v>
      </c>
      <c r="C198" s="150" t="s">
        <v>121</v>
      </c>
      <c r="D198" s="164" t="s">
        <v>121</v>
      </c>
      <c r="E198" s="151" t="s">
        <v>121</v>
      </c>
      <c r="F198" s="244">
        <v>-3278</v>
      </c>
      <c r="G198" s="244">
        <v>-3225</v>
      </c>
      <c r="H198" s="244">
        <v>-3159</v>
      </c>
      <c r="I198" s="244">
        <v>-3126</v>
      </c>
      <c r="J198" s="244">
        <v>-3043</v>
      </c>
      <c r="K198" s="244">
        <v>-3038</v>
      </c>
      <c r="L198" s="244">
        <v>-3017</v>
      </c>
      <c r="M198" s="244">
        <v>-2911</v>
      </c>
      <c r="N198" s="244">
        <v>-2888</v>
      </c>
      <c r="O198" s="244">
        <v>-2906</v>
      </c>
      <c r="P198" s="244">
        <v>-2871</v>
      </c>
      <c r="Q198" s="244">
        <v>-2746</v>
      </c>
      <c r="R198" s="406"/>
      <c r="S198" s="406"/>
      <c r="T198" s="406"/>
      <c r="U198" s="244">
        <v>-1936</v>
      </c>
      <c r="V198" s="244">
        <v>-1956.335</v>
      </c>
      <c r="W198" s="250">
        <v>-1939.5139999999999</v>
      </c>
      <c r="X198" s="250">
        <v>-1979.4490000000001</v>
      </c>
      <c r="Y198" s="250">
        <v>-1779.355</v>
      </c>
      <c r="Z198" s="250">
        <v>-1828.85</v>
      </c>
      <c r="AA198" s="165">
        <v>-1449.4740000000002</v>
      </c>
      <c r="AB198" s="165">
        <v>-1498.675</v>
      </c>
      <c r="AC198" s="165">
        <v>-1413.2190000000001</v>
      </c>
      <c r="AD198" s="165">
        <v>-1363.104</v>
      </c>
      <c r="AE198" s="165">
        <v>-1257.693</v>
      </c>
      <c r="AF198" s="165">
        <v>-1266.394</v>
      </c>
      <c r="AG198" s="165">
        <v>-1194.627</v>
      </c>
      <c r="AH198" s="165">
        <v>-1016.812</v>
      </c>
      <c r="AI198" s="1">
        <v>-995.37</v>
      </c>
      <c r="AJ198" s="1">
        <v>-948.59199999999998</v>
      </c>
      <c r="AK198" s="1" t="s">
        <v>121</v>
      </c>
      <c r="AL198" s="1" t="s">
        <v>121</v>
      </c>
      <c r="AM198" s="1" t="s">
        <v>121</v>
      </c>
      <c r="AN198" s="1" t="s">
        <v>121</v>
      </c>
      <c r="AO198" s="1" t="s">
        <v>121</v>
      </c>
      <c r="AP198" s="1" t="s">
        <v>121</v>
      </c>
      <c r="AQ198" s="1" t="s">
        <v>121</v>
      </c>
      <c r="AR198" s="1" t="s">
        <v>121</v>
      </c>
      <c r="AS198" s="1" t="s">
        <v>121</v>
      </c>
      <c r="AT198" s="1" t="s">
        <v>121</v>
      </c>
      <c r="AU198" s="1" t="s">
        <v>121</v>
      </c>
      <c r="AV198" s="1" t="s">
        <v>121</v>
      </c>
      <c r="AW198" s="1" t="s">
        <v>121</v>
      </c>
      <c r="AX198" s="1" t="s">
        <v>121</v>
      </c>
      <c r="AY198" s="1" t="s">
        <v>121</v>
      </c>
      <c r="AZ198" s="1" t="s">
        <v>121</v>
      </c>
      <c r="BA198" s="1" t="s">
        <v>121</v>
      </c>
      <c r="BB198" s="1" t="s">
        <v>121</v>
      </c>
      <c r="BC198" s="1" t="s">
        <v>121</v>
      </c>
      <c r="BD198" s="1" t="s">
        <v>121</v>
      </c>
      <c r="BE198" s="1" t="s">
        <v>121</v>
      </c>
      <c r="BF198" s="1" t="s">
        <v>121</v>
      </c>
      <c r="BG198" s="1" t="s">
        <v>121</v>
      </c>
      <c r="BH198" s="1" t="s">
        <v>121</v>
      </c>
      <c r="BI198" s="1" t="s">
        <v>121</v>
      </c>
      <c r="BJ198" s="1" t="s">
        <v>121</v>
      </c>
      <c r="BK198" s="1" t="s">
        <v>121</v>
      </c>
      <c r="BL198" s="1" t="s">
        <v>121</v>
      </c>
      <c r="BM198" s="1" t="s">
        <v>121</v>
      </c>
      <c r="BN198" s="1" t="s">
        <v>121</v>
      </c>
      <c r="BO198" s="1" t="s">
        <v>121</v>
      </c>
      <c r="BP198" s="1" t="s">
        <v>121</v>
      </c>
      <c r="BQ198" s="1" t="s">
        <v>121</v>
      </c>
    </row>
    <row r="199" spans="1:69" ht="21" customHeight="1" x14ac:dyDescent="0.25">
      <c r="A199" s="72">
        <v>199</v>
      </c>
      <c r="B199" s="233" t="s">
        <v>347</v>
      </c>
      <c r="C199" s="150" t="s">
        <v>121</v>
      </c>
      <c r="D199" s="164" t="s">
        <v>121</v>
      </c>
      <c r="E199" s="151" t="s">
        <v>121</v>
      </c>
      <c r="F199" s="312">
        <v>178</v>
      </c>
      <c r="G199" s="312">
        <v>178</v>
      </c>
      <c r="H199" s="312">
        <v>185</v>
      </c>
      <c r="I199" s="312">
        <v>205</v>
      </c>
      <c r="J199" s="312">
        <v>217</v>
      </c>
      <c r="K199" s="312">
        <v>229</v>
      </c>
      <c r="L199" s="312">
        <v>253</v>
      </c>
      <c r="M199" s="312">
        <v>276</v>
      </c>
      <c r="N199" s="312">
        <v>318</v>
      </c>
      <c r="O199" s="312">
        <v>344</v>
      </c>
      <c r="P199" s="312">
        <v>404</v>
      </c>
      <c r="Q199" s="312">
        <v>428</v>
      </c>
      <c r="R199" s="406"/>
      <c r="S199" s="406"/>
      <c r="T199" s="406"/>
      <c r="U199" s="312">
        <v>595</v>
      </c>
      <c r="V199" s="312">
        <v>625.08699999999953</v>
      </c>
      <c r="W199" s="294">
        <v>607.60799999999995</v>
      </c>
      <c r="X199" s="294">
        <v>644.52099999999973</v>
      </c>
      <c r="Y199" s="294">
        <v>600.39099999999962</v>
      </c>
      <c r="Z199" s="294">
        <v>620.07600000000002</v>
      </c>
      <c r="AA199" s="212">
        <v>429.68099999999981</v>
      </c>
      <c r="AB199" s="212">
        <v>244.99800000000005</v>
      </c>
      <c r="AC199" s="212">
        <v>189.93100000000004</v>
      </c>
      <c r="AD199" s="212">
        <v>128.10300000000007</v>
      </c>
      <c r="AE199" s="212">
        <v>107.60699999999997</v>
      </c>
      <c r="AF199" s="212">
        <v>79.260999999999967</v>
      </c>
      <c r="AG199" s="212">
        <v>67.695000000000164</v>
      </c>
      <c r="AH199" s="212">
        <v>69.705000000000041</v>
      </c>
      <c r="AI199" s="1">
        <v>64.092999999999961</v>
      </c>
      <c r="AJ199" s="1">
        <v>70.29200000000003</v>
      </c>
      <c r="AK199" s="1" t="s">
        <v>121</v>
      </c>
      <c r="AL199" s="1" t="s">
        <v>121</v>
      </c>
      <c r="AM199" s="1" t="s">
        <v>121</v>
      </c>
      <c r="AN199" s="1" t="s">
        <v>121</v>
      </c>
      <c r="AO199" s="1" t="s">
        <v>121</v>
      </c>
      <c r="AP199" s="1" t="s">
        <v>121</v>
      </c>
      <c r="AQ199" s="1" t="s">
        <v>121</v>
      </c>
      <c r="AR199" s="1" t="s">
        <v>121</v>
      </c>
      <c r="AS199" s="1" t="s">
        <v>121</v>
      </c>
      <c r="AT199" s="1" t="s">
        <v>121</v>
      </c>
      <c r="AU199" s="1" t="s">
        <v>121</v>
      </c>
      <c r="AV199" s="1" t="s">
        <v>121</v>
      </c>
      <c r="AW199" s="1" t="s">
        <v>121</v>
      </c>
      <c r="AX199" s="1" t="s">
        <v>121</v>
      </c>
      <c r="AY199" s="1" t="s">
        <v>121</v>
      </c>
      <c r="AZ199" s="1" t="s">
        <v>121</v>
      </c>
      <c r="BA199" s="1" t="s">
        <v>121</v>
      </c>
      <c r="BB199" s="1" t="s">
        <v>121</v>
      </c>
      <c r="BC199" s="1" t="s">
        <v>121</v>
      </c>
      <c r="BD199" s="1" t="s">
        <v>121</v>
      </c>
      <c r="BE199" s="1" t="s">
        <v>121</v>
      </c>
      <c r="BF199" s="1" t="s">
        <v>121</v>
      </c>
      <c r="BG199" s="1" t="s">
        <v>121</v>
      </c>
      <c r="BH199" s="1" t="s">
        <v>121</v>
      </c>
      <c r="BI199" s="1" t="s">
        <v>121</v>
      </c>
      <c r="BJ199" s="1" t="s">
        <v>121</v>
      </c>
      <c r="BK199" s="1" t="s">
        <v>121</v>
      </c>
      <c r="BL199" s="1" t="s">
        <v>121</v>
      </c>
      <c r="BM199" s="1" t="s">
        <v>121</v>
      </c>
      <c r="BN199" s="1" t="s">
        <v>121</v>
      </c>
      <c r="BO199" s="1" t="s">
        <v>121</v>
      </c>
      <c r="BP199" s="1" t="s">
        <v>121</v>
      </c>
      <c r="BQ199" s="1" t="s">
        <v>121</v>
      </c>
    </row>
    <row r="200" spans="1:69" x14ac:dyDescent="0.25">
      <c r="A200" s="72">
        <v>200</v>
      </c>
      <c r="B200" s="218" t="s">
        <v>365</v>
      </c>
      <c r="C200" s="182" t="s">
        <v>121</v>
      </c>
      <c r="D200" s="179" t="s">
        <v>121</v>
      </c>
      <c r="E200" s="234" t="s">
        <v>121</v>
      </c>
      <c r="F200" s="312">
        <v>36709</v>
      </c>
      <c r="G200" s="312">
        <v>36058</v>
      </c>
      <c r="H200" s="312">
        <v>36382</v>
      </c>
      <c r="I200" s="312">
        <v>37664</v>
      </c>
      <c r="J200" s="312">
        <v>39193</v>
      </c>
      <c r="K200" s="312">
        <v>39429</v>
      </c>
      <c r="L200" s="312">
        <v>39427</v>
      </c>
      <c r="M200" s="312">
        <v>40011</v>
      </c>
      <c r="N200" s="312">
        <v>41114</v>
      </c>
      <c r="O200" s="312">
        <v>40183</v>
      </c>
      <c r="P200" s="312">
        <v>39679</v>
      </c>
      <c r="Q200" s="312">
        <v>40261</v>
      </c>
      <c r="R200" s="406"/>
      <c r="S200" s="406"/>
      <c r="T200" s="406"/>
      <c r="U200" s="312">
        <v>41758</v>
      </c>
      <c r="V200" s="312">
        <v>40001.184999999998</v>
      </c>
      <c r="W200" s="294">
        <v>38373.466000000008</v>
      </c>
      <c r="X200" s="294">
        <v>34317.849000000002</v>
      </c>
      <c r="Y200" s="294">
        <v>32640.844999999998</v>
      </c>
      <c r="Z200" s="294">
        <v>33008.074000000001</v>
      </c>
      <c r="AA200" s="212">
        <v>32481.687999999995</v>
      </c>
      <c r="AB200" s="212">
        <v>33120.707999999999</v>
      </c>
      <c r="AC200" s="212">
        <v>32134.153999999999</v>
      </c>
      <c r="AD200" s="212">
        <v>30640.648999999998</v>
      </c>
      <c r="AE200" s="212">
        <v>28057.616999999998</v>
      </c>
      <c r="AF200" s="212">
        <v>25656.576999999997</v>
      </c>
      <c r="AG200" s="212">
        <v>24377.160000000003</v>
      </c>
      <c r="AH200" s="212">
        <v>22417.059000000001</v>
      </c>
      <c r="AI200" s="1">
        <v>20235.487000000001</v>
      </c>
      <c r="AJ200" s="1">
        <v>17995.724999999999</v>
      </c>
      <c r="AK200" s="1" t="s">
        <v>121</v>
      </c>
      <c r="AL200" s="1" t="s">
        <v>121</v>
      </c>
      <c r="AM200" s="1" t="s">
        <v>121</v>
      </c>
      <c r="AN200" s="1" t="s">
        <v>121</v>
      </c>
      <c r="AO200" s="1" t="s">
        <v>121</v>
      </c>
      <c r="AP200" s="1" t="s">
        <v>121</v>
      </c>
      <c r="AQ200" s="1" t="s">
        <v>121</v>
      </c>
      <c r="AR200" s="1" t="s">
        <v>121</v>
      </c>
      <c r="AS200" s="1" t="s">
        <v>121</v>
      </c>
      <c r="AT200" s="1" t="s">
        <v>121</v>
      </c>
      <c r="AU200" s="1" t="s">
        <v>121</v>
      </c>
      <c r="AV200" s="1" t="s">
        <v>121</v>
      </c>
      <c r="AW200" s="1" t="s">
        <v>121</v>
      </c>
      <c r="AX200" s="1" t="s">
        <v>121</v>
      </c>
      <c r="AY200" s="1" t="s">
        <v>121</v>
      </c>
      <c r="AZ200" s="1" t="s">
        <v>121</v>
      </c>
      <c r="BA200" s="1" t="s">
        <v>121</v>
      </c>
      <c r="BB200" s="1" t="s">
        <v>121</v>
      </c>
      <c r="BC200" s="1" t="s">
        <v>121</v>
      </c>
      <c r="BD200" s="1" t="s">
        <v>121</v>
      </c>
      <c r="BE200" s="1" t="s">
        <v>121</v>
      </c>
      <c r="BF200" s="1" t="s">
        <v>121</v>
      </c>
      <c r="BG200" s="1" t="s">
        <v>121</v>
      </c>
      <c r="BH200" s="1" t="s">
        <v>121</v>
      </c>
      <c r="BI200" s="1" t="s">
        <v>121</v>
      </c>
      <c r="BJ200" s="1" t="s">
        <v>121</v>
      </c>
      <c r="BK200" s="1" t="s">
        <v>121</v>
      </c>
      <c r="BL200" s="1" t="s">
        <v>121</v>
      </c>
      <c r="BM200" s="1" t="s">
        <v>121</v>
      </c>
      <c r="BN200" s="1" t="s">
        <v>121</v>
      </c>
      <c r="BO200" s="1" t="s">
        <v>121</v>
      </c>
      <c r="BP200" s="1" t="s">
        <v>121</v>
      </c>
      <c r="BQ200" s="1" t="s">
        <v>121</v>
      </c>
    </row>
    <row r="201" spans="1:69" x14ac:dyDescent="0.25">
      <c r="A201" s="72">
        <v>201</v>
      </c>
      <c r="B201" s="147" t="s">
        <v>14</v>
      </c>
      <c r="C201" s="150" t="s">
        <v>121</v>
      </c>
      <c r="D201" s="164" t="s">
        <v>121</v>
      </c>
      <c r="E201" s="151" t="s">
        <v>121</v>
      </c>
      <c r="F201" s="244">
        <v>-4474</v>
      </c>
      <c r="G201" s="244">
        <v>-4405</v>
      </c>
      <c r="H201" s="244">
        <v>-4361</v>
      </c>
      <c r="I201" s="244">
        <v>-4323</v>
      </c>
      <c r="J201" s="244">
        <v>-4303</v>
      </c>
      <c r="K201" s="244">
        <v>-4282</v>
      </c>
      <c r="L201" s="244">
        <v>-4456</v>
      </c>
      <c r="M201" s="244">
        <v>-4349</v>
      </c>
      <c r="N201" s="244">
        <v>-4481</v>
      </c>
      <c r="O201" s="244">
        <v>-4489</v>
      </c>
      <c r="P201" s="244">
        <v>-4484</v>
      </c>
      <c r="Q201" s="244">
        <v>-4919</v>
      </c>
      <c r="R201" s="406"/>
      <c r="S201" s="406"/>
      <c r="T201" s="406"/>
      <c r="U201" s="244">
        <v>-3392</v>
      </c>
      <c r="V201" s="244">
        <v>-3444.0299999999997</v>
      </c>
      <c r="W201" s="250">
        <v>-3448.6660000000002</v>
      </c>
      <c r="X201" s="250">
        <v>-3479.1689999999999</v>
      </c>
      <c r="Y201" s="250">
        <v>-3234.6819999999998</v>
      </c>
      <c r="Z201" s="250">
        <v>-3049.9160000000002</v>
      </c>
      <c r="AA201" s="165">
        <v>-2708.1420000000003</v>
      </c>
      <c r="AB201" s="165">
        <v>-2426.3059999999996</v>
      </c>
      <c r="AC201" s="165">
        <v>-2178.2110000000002</v>
      </c>
      <c r="AD201" s="165">
        <v>-1948.202</v>
      </c>
      <c r="AE201" s="165">
        <v>-1716.779</v>
      </c>
      <c r="AF201" s="165">
        <v>-1686.932</v>
      </c>
      <c r="AG201" s="165">
        <v>-1478.7080000000001</v>
      </c>
      <c r="AH201" s="165">
        <v>-1397.123</v>
      </c>
      <c r="AI201" s="1">
        <v>-1334.1889999999999</v>
      </c>
      <c r="AJ201" s="1">
        <v>-1246.7809999999999</v>
      </c>
      <c r="AK201" s="1" t="s">
        <v>121</v>
      </c>
      <c r="AL201" s="1" t="s">
        <v>121</v>
      </c>
      <c r="AM201" s="1" t="s">
        <v>121</v>
      </c>
      <c r="AN201" s="1" t="s">
        <v>121</v>
      </c>
      <c r="AO201" s="1" t="s">
        <v>121</v>
      </c>
      <c r="AP201" s="1" t="s">
        <v>121</v>
      </c>
      <c r="AQ201" s="1" t="s">
        <v>121</v>
      </c>
      <c r="AR201" s="1" t="s">
        <v>121</v>
      </c>
      <c r="AS201" s="1" t="s">
        <v>121</v>
      </c>
      <c r="AT201" s="1" t="s">
        <v>121</v>
      </c>
      <c r="AU201" s="1" t="s">
        <v>121</v>
      </c>
      <c r="AV201" s="1" t="s">
        <v>121</v>
      </c>
      <c r="AW201" s="1" t="s">
        <v>121</v>
      </c>
      <c r="AX201" s="1" t="s">
        <v>121</v>
      </c>
      <c r="AY201" s="1" t="s">
        <v>121</v>
      </c>
      <c r="AZ201" s="1" t="s">
        <v>121</v>
      </c>
      <c r="BA201" s="1" t="s">
        <v>121</v>
      </c>
      <c r="BB201" s="1" t="s">
        <v>121</v>
      </c>
      <c r="BC201" s="1" t="s">
        <v>121</v>
      </c>
      <c r="BD201" s="1" t="s">
        <v>121</v>
      </c>
      <c r="BE201" s="1" t="s">
        <v>121</v>
      </c>
      <c r="BF201" s="1" t="s">
        <v>121</v>
      </c>
      <c r="BG201" s="1" t="s">
        <v>121</v>
      </c>
      <c r="BH201" s="1" t="s">
        <v>121</v>
      </c>
      <c r="BI201" s="1" t="s">
        <v>121</v>
      </c>
      <c r="BJ201" s="1" t="s">
        <v>121</v>
      </c>
      <c r="BK201" s="1" t="s">
        <v>121</v>
      </c>
      <c r="BL201" s="1" t="s">
        <v>121</v>
      </c>
      <c r="BM201" s="1" t="s">
        <v>121</v>
      </c>
      <c r="BN201" s="1" t="s">
        <v>121</v>
      </c>
      <c r="BO201" s="1" t="s">
        <v>121</v>
      </c>
      <c r="BP201" s="1" t="s">
        <v>121</v>
      </c>
      <c r="BQ201" s="1" t="s">
        <v>121</v>
      </c>
    </row>
    <row r="202" spans="1:69" x14ac:dyDescent="0.25">
      <c r="A202" s="72">
        <v>202</v>
      </c>
      <c r="B202" s="235" t="s">
        <v>366</v>
      </c>
      <c r="C202" s="182" t="s">
        <v>121</v>
      </c>
      <c r="D202" s="179" t="s">
        <v>121</v>
      </c>
      <c r="E202" s="234" t="s">
        <v>121</v>
      </c>
      <c r="F202" s="312">
        <v>32235</v>
      </c>
      <c r="G202" s="312">
        <v>31653</v>
      </c>
      <c r="H202" s="312">
        <v>32021</v>
      </c>
      <c r="I202" s="312">
        <v>33341</v>
      </c>
      <c r="J202" s="312">
        <v>34890</v>
      </c>
      <c r="K202" s="312">
        <v>35147</v>
      </c>
      <c r="L202" s="312">
        <v>34971</v>
      </c>
      <c r="M202" s="312">
        <v>35662</v>
      </c>
      <c r="N202" s="312">
        <v>36633</v>
      </c>
      <c r="O202" s="312">
        <v>35694</v>
      </c>
      <c r="P202" s="312">
        <v>35195</v>
      </c>
      <c r="Q202" s="312">
        <v>35342</v>
      </c>
      <c r="R202" s="406"/>
      <c r="S202" s="406"/>
      <c r="T202" s="406"/>
      <c r="U202" s="312">
        <v>38366</v>
      </c>
      <c r="V202" s="312">
        <v>36557.154999999999</v>
      </c>
      <c r="W202" s="294">
        <v>34924.80000000001</v>
      </c>
      <c r="X202" s="294">
        <v>30838.68</v>
      </c>
      <c r="Y202" s="294">
        <v>29406.162999999997</v>
      </c>
      <c r="Z202" s="294">
        <v>29958.157999999999</v>
      </c>
      <c r="AA202" s="212">
        <v>29773.545999999995</v>
      </c>
      <c r="AB202" s="212">
        <v>30694.401999999998</v>
      </c>
      <c r="AC202" s="212">
        <v>29955.942999999999</v>
      </c>
      <c r="AD202" s="212">
        <v>28692.446999999996</v>
      </c>
      <c r="AE202" s="212">
        <v>26340.838</v>
      </c>
      <c r="AF202" s="212">
        <v>23969.644999999997</v>
      </c>
      <c r="AG202" s="212">
        <v>22898.452000000005</v>
      </c>
      <c r="AH202" s="212">
        <v>21019.936000000002</v>
      </c>
      <c r="AI202" s="1">
        <v>18901.298000000003</v>
      </c>
      <c r="AJ202" s="1">
        <v>16748.944</v>
      </c>
      <c r="AK202" s="1" t="s">
        <v>121</v>
      </c>
      <c r="AL202" s="1" t="s">
        <v>121</v>
      </c>
      <c r="AM202" s="1" t="s">
        <v>121</v>
      </c>
      <c r="AN202" s="1" t="s">
        <v>121</v>
      </c>
      <c r="AO202" s="1" t="s">
        <v>121</v>
      </c>
      <c r="AP202" s="1" t="s">
        <v>121</v>
      </c>
      <c r="AQ202" s="1" t="s">
        <v>121</v>
      </c>
      <c r="AR202" s="1" t="s">
        <v>121</v>
      </c>
      <c r="AS202" s="1" t="s">
        <v>121</v>
      </c>
      <c r="AT202" s="1" t="s">
        <v>121</v>
      </c>
      <c r="AU202" s="1" t="s">
        <v>121</v>
      </c>
      <c r="AV202" s="1" t="s">
        <v>121</v>
      </c>
      <c r="AW202" s="1" t="s">
        <v>121</v>
      </c>
      <c r="AX202" s="1" t="s">
        <v>121</v>
      </c>
      <c r="AY202" s="1" t="s">
        <v>121</v>
      </c>
      <c r="AZ202" s="1" t="s">
        <v>121</v>
      </c>
      <c r="BA202" s="1" t="s">
        <v>121</v>
      </c>
      <c r="BB202" s="1" t="s">
        <v>121</v>
      </c>
      <c r="BC202" s="1" t="s">
        <v>121</v>
      </c>
      <c r="BD202" s="1" t="s">
        <v>121</v>
      </c>
      <c r="BE202" s="1" t="s">
        <v>121</v>
      </c>
      <c r="BF202" s="1" t="s">
        <v>121</v>
      </c>
      <c r="BG202" s="1" t="s">
        <v>121</v>
      </c>
      <c r="BH202" s="1" t="s">
        <v>121</v>
      </c>
      <c r="BI202" s="1" t="s">
        <v>121</v>
      </c>
      <c r="BJ202" s="1" t="s">
        <v>121</v>
      </c>
      <c r="BK202" s="1" t="s">
        <v>121</v>
      </c>
      <c r="BL202" s="1" t="s">
        <v>121</v>
      </c>
      <c r="BM202" s="1" t="s">
        <v>121</v>
      </c>
      <c r="BN202" s="1" t="s">
        <v>121</v>
      </c>
      <c r="BO202" s="1" t="s">
        <v>121</v>
      </c>
      <c r="BP202" s="1" t="s">
        <v>121</v>
      </c>
      <c r="BQ202" s="1" t="s">
        <v>121</v>
      </c>
    </row>
    <row r="203" spans="1:69" x14ac:dyDescent="0.25">
      <c r="A203" s="72">
        <v>203</v>
      </c>
      <c r="B203" s="14" t="s">
        <v>121</v>
      </c>
      <c r="C203" s="91" t="s">
        <v>121</v>
      </c>
      <c r="D203" s="86" t="s">
        <v>121</v>
      </c>
      <c r="E203" s="92" t="s">
        <v>121</v>
      </c>
      <c r="F203" s="326" t="s">
        <v>121</v>
      </c>
      <c r="G203" s="326" t="s">
        <v>121</v>
      </c>
      <c r="H203" s="326" t="s">
        <v>121</v>
      </c>
      <c r="I203" s="326" t="s">
        <v>121</v>
      </c>
      <c r="J203" s="326" t="s">
        <v>121</v>
      </c>
      <c r="K203" s="326" t="s">
        <v>121</v>
      </c>
      <c r="L203" s="326" t="s">
        <v>121</v>
      </c>
      <c r="M203" s="326" t="s">
        <v>121</v>
      </c>
      <c r="N203" s="326" t="s">
        <v>121</v>
      </c>
      <c r="O203" s="326" t="s">
        <v>121</v>
      </c>
      <c r="P203" s="326" t="s">
        <v>121</v>
      </c>
      <c r="Q203" s="326" t="s">
        <v>121</v>
      </c>
      <c r="R203" s="406"/>
      <c r="S203" s="406"/>
      <c r="T203" s="406"/>
      <c r="U203" s="326" t="s">
        <v>121</v>
      </c>
      <c r="V203" s="326" t="s">
        <v>121</v>
      </c>
      <c r="W203" s="275" t="s">
        <v>121</v>
      </c>
      <c r="X203" s="275" t="s">
        <v>121</v>
      </c>
      <c r="Y203" s="275" t="s">
        <v>121</v>
      </c>
      <c r="Z203" s="275" t="s">
        <v>121</v>
      </c>
      <c r="AA203" s="86" t="s">
        <v>121</v>
      </c>
      <c r="AB203" s="86" t="s">
        <v>121</v>
      </c>
      <c r="AC203" s="86" t="s">
        <v>121</v>
      </c>
      <c r="AD203" s="86" t="s">
        <v>121</v>
      </c>
      <c r="AE203" s="86" t="s">
        <v>121</v>
      </c>
      <c r="AF203" s="86" t="s">
        <v>121</v>
      </c>
      <c r="AG203" s="86" t="s">
        <v>121</v>
      </c>
      <c r="AH203" s="39" t="s">
        <v>121</v>
      </c>
      <c r="AI203" s="1" t="s">
        <v>121</v>
      </c>
      <c r="AJ203" s="1" t="s">
        <v>121</v>
      </c>
      <c r="AK203" s="1" t="s">
        <v>121</v>
      </c>
      <c r="AL203" s="1" t="s">
        <v>121</v>
      </c>
      <c r="AM203" s="1" t="s">
        <v>121</v>
      </c>
      <c r="AN203" s="1" t="s">
        <v>121</v>
      </c>
      <c r="AO203" s="1" t="s">
        <v>121</v>
      </c>
      <c r="AP203" s="1" t="s">
        <v>121</v>
      </c>
      <c r="AQ203" s="1" t="s">
        <v>121</v>
      </c>
      <c r="AR203" s="1" t="s">
        <v>121</v>
      </c>
      <c r="AS203" s="1" t="s">
        <v>121</v>
      </c>
      <c r="AT203" s="1" t="s">
        <v>121</v>
      </c>
      <c r="AU203" s="1" t="s">
        <v>121</v>
      </c>
      <c r="AV203" s="1" t="s">
        <v>121</v>
      </c>
      <c r="AW203" s="1" t="s">
        <v>121</v>
      </c>
      <c r="AX203" s="1" t="s">
        <v>121</v>
      </c>
      <c r="AY203" s="1" t="s">
        <v>121</v>
      </c>
      <c r="AZ203" s="1" t="s">
        <v>121</v>
      </c>
      <c r="BA203" s="1" t="s">
        <v>121</v>
      </c>
      <c r="BB203" s="1" t="s">
        <v>121</v>
      </c>
      <c r="BC203" s="1" t="s">
        <v>121</v>
      </c>
      <c r="BD203" s="1" t="s">
        <v>121</v>
      </c>
      <c r="BE203" s="1" t="s">
        <v>121</v>
      </c>
      <c r="BF203" s="1" t="s">
        <v>121</v>
      </c>
      <c r="BG203" s="1" t="s">
        <v>121</v>
      </c>
      <c r="BH203" s="1" t="s">
        <v>121</v>
      </c>
      <c r="BI203" s="1" t="s">
        <v>121</v>
      </c>
      <c r="BJ203" s="1" t="s">
        <v>121</v>
      </c>
      <c r="BK203" s="1" t="s">
        <v>121</v>
      </c>
      <c r="BL203" s="1" t="s">
        <v>121</v>
      </c>
      <c r="BM203" s="1" t="s">
        <v>121</v>
      </c>
      <c r="BN203" s="1" t="s">
        <v>121</v>
      </c>
      <c r="BO203" s="1" t="s">
        <v>121</v>
      </c>
      <c r="BP203" s="1" t="s">
        <v>121</v>
      </c>
      <c r="BQ203" s="1" t="s">
        <v>121</v>
      </c>
    </row>
    <row r="204" spans="1:69" x14ac:dyDescent="0.25">
      <c r="A204" s="72">
        <v>204</v>
      </c>
      <c r="B204" s="44" t="s">
        <v>60</v>
      </c>
      <c r="C204" s="91">
        <v>5.9854928175224087E-2</v>
      </c>
      <c r="D204" s="86">
        <v>0.16761933413557961</v>
      </c>
      <c r="E204" s="92">
        <v>0.14169449977018544</v>
      </c>
      <c r="F204" s="312">
        <v>186296</v>
      </c>
      <c r="G204" s="312">
        <v>175775</v>
      </c>
      <c r="H204" s="312">
        <v>171377</v>
      </c>
      <c r="I204" s="312">
        <v>163175</v>
      </c>
      <c r="J204" s="312">
        <v>159552</v>
      </c>
      <c r="K204" s="312">
        <v>159371</v>
      </c>
      <c r="L204" s="312">
        <v>157427</v>
      </c>
      <c r="M204" s="312">
        <v>158869</v>
      </c>
      <c r="N204" s="312">
        <v>158011</v>
      </c>
      <c r="O204" s="312">
        <v>151596</v>
      </c>
      <c r="P204" s="312">
        <v>146549</v>
      </c>
      <c r="Q204" s="312">
        <v>142673</v>
      </c>
      <c r="R204" s="406"/>
      <c r="S204" s="406"/>
      <c r="T204" s="406"/>
      <c r="U204" s="312">
        <v>135269</v>
      </c>
      <c r="V204" s="312">
        <v>130055.3</v>
      </c>
      <c r="W204" s="294">
        <v>127736.758</v>
      </c>
      <c r="X204" s="294">
        <v>118957.10699999999</v>
      </c>
      <c r="Y204" s="294">
        <v>115283.49400000001</v>
      </c>
      <c r="Z204" s="294">
        <v>111521.674</v>
      </c>
      <c r="AA204" s="212">
        <v>105325.84700000001</v>
      </c>
      <c r="AB204" s="212">
        <v>104842.18100000001</v>
      </c>
      <c r="AC204" s="212">
        <v>102955.452</v>
      </c>
      <c r="AD204" s="212">
        <v>102223.726</v>
      </c>
      <c r="AE204" s="212">
        <v>99034.344000000012</v>
      </c>
      <c r="AF204" s="205">
        <v>93185.843999999997</v>
      </c>
      <c r="AG204" s="205">
        <v>89736.322000000015</v>
      </c>
      <c r="AH204" s="205">
        <v>85700.044999999998</v>
      </c>
      <c r="AI204" s="1">
        <v>81977.388999999996</v>
      </c>
      <c r="AJ204" s="1">
        <v>77687.497000000003</v>
      </c>
      <c r="AK204" s="1" t="s">
        <v>121</v>
      </c>
      <c r="AL204" s="1" t="s">
        <v>121</v>
      </c>
      <c r="AM204" s="1" t="s">
        <v>121</v>
      </c>
      <c r="AN204" s="1" t="s">
        <v>121</v>
      </c>
      <c r="AO204" s="1" t="s">
        <v>121</v>
      </c>
      <c r="AP204" s="1" t="s">
        <v>121</v>
      </c>
      <c r="AQ204" s="1" t="s">
        <v>121</v>
      </c>
      <c r="AR204" s="1" t="s">
        <v>121</v>
      </c>
      <c r="AS204" s="1" t="s">
        <v>121</v>
      </c>
      <c r="AT204" s="1" t="s">
        <v>121</v>
      </c>
      <c r="AU204" s="1" t="s">
        <v>121</v>
      </c>
      <c r="AV204" s="1" t="s">
        <v>121</v>
      </c>
      <c r="AW204" s="1" t="s">
        <v>121</v>
      </c>
      <c r="AX204" s="1" t="s">
        <v>121</v>
      </c>
      <c r="AY204" s="1" t="s">
        <v>121</v>
      </c>
      <c r="AZ204" s="1" t="s">
        <v>121</v>
      </c>
      <c r="BA204" s="1" t="s">
        <v>121</v>
      </c>
      <c r="BB204" s="1" t="s">
        <v>121</v>
      </c>
      <c r="BC204" s="1" t="s">
        <v>121</v>
      </c>
      <c r="BD204" s="1" t="s">
        <v>121</v>
      </c>
      <c r="BE204" s="1" t="s">
        <v>121</v>
      </c>
      <c r="BF204" s="1" t="s">
        <v>121</v>
      </c>
      <c r="BG204" s="1" t="s">
        <v>121</v>
      </c>
      <c r="BH204" s="1" t="s">
        <v>121</v>
      </c>
      <c r="BI204" s="1" t="s">
        <v>121</v>
      </c>
      <c r="BJ204" s="1" t="s">
        <v>121</v>
      </c>
      <c r="BK204" s="1" t="s">
        <v>121</v>
      </c>
      <c r="BL204" s="1" t="s">
        <v>121</v>
      </c>
      <c r="BM204" s="1" t="s">
        <v>121</v>
      </c>
      <c r="BN204" s="1" t="s">
        <v>121</v>
      </c>
      <c r="BO204" s="1" t="s">
        <v>121</v>
      </c>
      <c r="BP204" s="1" t="s">
        <v>121</v>
      </c>
      <c r="BQ204" s="1" t="s">
        <v>121</v>
      </c>
    </row>
    <row r="205" spans="1:69" x14ac:dyDescent="0.25">
      <c r="A205" s="72">
        <v>205</v>
      </c>
      <c r="B205" s="22" t="s">
        <v>14</v>
      </c>
      <c r="C205" s="91" t="s">
        <v>121</v>
      </c>
      <c r="D205" s="86" t="s">
        <v>121</v>
      </c>
      <c r="E205" s="92" t="s">
        <v>121</v>
      </c>
      <c r="F205" s="244">
        <v>-5349</v>
      </c>
      <c r="G205" s="244">
        <v>-5225</v>
      </c>
      <c r="H205" s="244">
        <v>-5168</v>
      </c>
      <c r="I205" s="244">
        <v>-5130</v>
      </c>
      <c r="J205" s="244">
        <v>-5077</v>
      </c>
      <c r="K205" s="244">
        <v>-5053</v>
      </c>
      <c r="L205" s="244">
        <v>-5229</v>
      </c>
      <c r="M205" s="244">
        <v>-5069</v>
      </c>
      <c r="N205" s="244">
        <v>-5246</v>
      </c>
      <c r="O205" s="244">
        <v>-5326</v>
      </c>
      <c r="P205" s="244">
        <v>-5343</v>
      </c>
      <c r="Q205" s="244">
        <v>-5777</v>
      </c>
      <c r="R205" s="406"/>
      <c r="S205" s="406"/>
      <c r="T205" s="406"/>
      <c r="U205" s="244">
        <v>-4232</v>
      </c>
      <c r="V205" s="244">
        <v>-4849.0819999999994</v>
      </c>
      <c r="W205" s="250">
        <v>-5322.2340000000004</v>
      </c>
      <c r="X205" s="250">
        <v>-5629.0969999999998</v>
      </c>
      <c r="Y205" s="250">
        <v>-5465.6299999999992</v>
      </c>
      <c r="Z205" s="250">
        <v>-5412.1530000000002</v>
      </c>
      <c r="AA205" s="165">
        <v>-4934.5750000000007</v>
      </c>
      <c r="AB205" s="165">
        <v>-4209.7529999999997</v>
      </c>
      <c r="AC205" s="165">
        <v>-3994.2540000000004</v>
      </c>
      <c r="AD205" s="165">
        <v>-3647.0619999999999</v>
      </c>
      <c r="AE205" s="165">
        <v>-3890.0929999999998</v>
      </c>
      <c r="AF205" s="83">
        <v>-3968.0739999999996</v>
      </c>
      <c r="AG205" s="83">
        <v>-3714.1730000000002</v>
      </c>
      <c r="AH205" s="83">
        <v>-3502.3760000000002</v>
      </c>
      <c r="AI205" s="1">
        <v>-3634.9279999999999</v>
      </c>
      <c r="AJ205" s="1">
        <v>-3196.6410000000005</v>
      </c>
      <c r="AK205" s="1" t="s">
        <v>121</v>
      </c>
      <c r="AL205" s="1" t="s">
        <v>121</v>
      </c>
      <c r="AM205" s="1" t="s">
        <v>121</v>
      </c>
      <c r="AN205" s="1" t="s">
        <v>121</v>
      </c>
      <c r="AO205" s="1" t="s">
        <v>121</v>
      </c>
      <c r="AP205" s="1" t="s">
        <v>121</v>
      </c>
      <c r="AQ205" s="1" t="s">
        <v>121</v>
      </c>
      <c r="AR205" s="1" t="s">
        <v>121</v>
      </c>
      <c r="AS205" s="1" t="s">
        <v>121</v>
      </c>
      <c r="AT205" s="1" t="s">
        <v>121</v>
      </c>
      <c r="AU205" s="1" t="s">
        <v>121</v>
      </c>
      <c r="AV205" s="1" t="s">
        <v>121</v>
      </c>
      <c r="AW205" s="1" t="s">
        <v>121</v>
      </c>
      <c r="AX205" s="1" t="s">
        <v>121</v>
      </c>
      <c r="AY205" s="1" t="s">
        <v>121</v>
      </c>
      <c r="AZ205" s="1" t="s">
        <v>121</v>
      </c>
      <c r="BA205" s="1" t="s">
        <v>121</v>
      </c>
      <c r="BB205" s="1" t="s">
        <v>121</v>
      </c>
      <c r="BC205" s="1" t="s">
        <v>121</v>
      </c>
      <c r="BD205" s="1" t="s">
        <v>121</v>
      </c>
      <c r="BE205" s="1" t="s">
        <v>121</v>
      </c>
      <c r="BF205" s="1" t="s">
        <v>121</v>
      </c>
      <c r="BG205" s="1" t="s">
        <v>121</v>
      </c>
      <c r="BH205" s="1" t="s">
        <v>121</v>
      </c>
      <c r="BI205" s="1" t="s">
        <v>121</v>
      </c>
      <c r="BJ205" s="1" t="s">
        <v>121</v>
      </c>
      <c r="BK205" s="1" t="s">
        <v>121</v>
      </c>
      <c r="BL205" s="1" t="s">
        <v>121</v>
      </c>
      <c r="BM205" s="1" t="s">
        <v>121</v>
      </c>
      <c r="BN205" s="1" t="s">
        <v>121</v>
      </c>
      <c r="BO205" s="1" t="s">
        <v>121</v>
      </c>
      <c r="BP205" s="1" t="s">
        <v>121</v>
      </c>
      <c r="BQ205" s="1" t="s">
        <v>121</v>
      </c>
    </row>
    <row r="206" spans="1:69" x14ac:dyDescent="0.25">
      <c r="A206" s="72">
        <v>206</v>
      </c>
      <c r="B206" s="19" t="s">
        <v>61</v>
      </c>
      <c r="C206" s="93" t="s">
        <v>121</v>
      </c>
      <c r="D206" s="123" t="s">
        <v>121</v>
      </c>
      <c r="E206" s="94" t="s">
        <v>121</v>
      </c>
      <c r="F206" s="312">
        <v>180947</v>
      </c>
      <c r="G206" s="312">
        <v>170550</v>
      </c>
      <c r="H206" s="312">
        <v>166209</v>
      </c>
      <c r="I206" s="312">
        <v>158045</v>
      </c>
      <c r="J206" s="312">
        <v>154475</v>
      </c>
      <c r="K206" s="312">
        <v>154318</v>
      </c>
      <c r="L206" s="312">
        <v>152198</v>
      </c>
      <c r="M206" s="312">
        <v>153800</v>
      </c>
      <c r="N206" s="312">
        <v>152765</v>
      </c>
      <c r="O206" s="312">
        <v>146270</v>
      </c>
      <c r="P206" s="312">
        <v>141206</v>
      </c>
      <c r="Q206" s="312">
        <v>136896</v>
      </c>
      <c r="R206" s="406"/>
      <c r="S206" s="406"/>
      <c r="T206" s="406"/>
      <c r="U206" s="312">
        <v>131037</v>
      </c>
      <c r="V206" s="312">
        <v>125206.21800000001</v>
      </c>
      <c r="W206" s="294">
        <v>122414.524</v>
      </c>
      <c r="X206" s="294">
        <v>113328.01</v>
      </c>
      <c r="Y206" s="294">
        <v>109817.864</v>
      </c>
      <c r="Z206" s="294">
        <v>106109.52099999999</v>
      </c>
      <c r="AA206" s="212">
        <v>100391.27200000001</v>
      </c>
      <c r="AB206" s="212">
        <v>100632.42800000001</v>
      </c>
      <c r="AC206" s="212">
        <v>98961.198000000004</v>
      </c>
      <c r="AD206" s="212">
        <v>98576.66399999999</v>
      </c>
      <c r="AE206" s="212">
        <v>95144.251000000018</v>
      </c>
      <c r="AF206" s="205">
        <v>89217.77</v>
      </c>
      <c r="AG206" s="205">
        <v>86022.149000000019</v>
      </c>
      <c r="AH206" s="205">
        <v>82197.668999999994</v>
      </c>
      <c r="AI206" s="1">
        <v>78342.460999999996</v>
      </c>
      <c r="AJ206" s="1">
        <v>74490.856</v>
      </c>
      <c r="AK206" s="1" t="s">
        <v>121</v>
      </c>
      <c r="AL206" s="1" t="s">
        <v>121</v>
      </c>
      <c r="AM206" s="1" t="s">
        <v>121</v>
      </c>
      <c r="AN206" s="1" t="s">
        <v>121</v>
      </c>
      <c r="AO206" s="1" t="s">
        <v>121</v>
      </c>
      <c r="AP206" s="1" t="s">
        <v>121</v>
      </c>
      <c r="AQ206" s="1" t="s">
        <v>121</v>
      </c>
      <c r="AR206" s="1" t="s">
        <v>121</v>
      </c>
      <c r="AS206" s="1" t="s">
        <v>121</v>
      </c>
      <c r="AT206" s="1" t="s">
        <v>121</v>
      </c>
      <c r="AU206" s="1" t="s">
        <v>121</v>
      </c>
      <c r="AV206" s="1" t="s">
        <v>121</v>
      </c>
      <c r="AW206" s="1" t="s">
        <v>121</v>
      </c>
      <c r="AX206" s="1" t="s">
        <v>121</v>
      </c>
      <c r="AY206" s="1" t="s">
        <v>121</v>
      </c>
      <c r="AZ206" s="1" t="s">
        <v>121</v>
      </c>
      <c r="BA206" s="1" t="s">
        <v>121</v>
      </c>
      <c r="BB206" s="1" t="s">
        <v>121</v>
      </c>
      <c r="BC206" s="1" t="s">
        <v>121</v>
      </c>
      <c r="BD206" s="1" t="s">
        <v>121</v>
      </c>
      <c r="BE206" s="1" t="s">
        <v>121</v>
      </c>
      <c r="BF206" s="1" t="s">
        <v>121</v>
      </c>
      <c r="BG206" s="1" t="s">
        <v>121</v>
      </c>
      <c r="BH206" s="1" t="s">
        <v>121</v>
      </c>
      <c r="BI206" s="1" t="s">
        <v>121</v>
      </c>
      <c r="BJ206" s="1" t="s">
        <v>121</v>
      </c>
      <c r="BK206" s="1" t="s">
        <v>121</v>
      </c>
      <c r="BL206" s="1" t="s">
        <v>121</v>
      </c>
      <c r="BM206" s="1" t="s">
        <v>121</v>
      </c>
      <c r="BN206" s="1" t="s">
        <v>121</v>
      </c>
      <c r="BO206" s="1" t="s">
        <v>121</v>
      </c>
      <c r="BP206" s="1" t="s">
        <v>121</v>
      </c>
      <c r="BQ206" s="1" t="s">
        <v>121</v>
      </c>
    </row>
    <row r="207" spans="1:69" x14ac:dyDescent="0.25">
      <c r="A207" s="72">
        <v>207</v>
      </c>
      <c r="B207" s="1" t="s">
        <v>121</v>
      </c>
      <c r="C207" s="1" t="s">
        <v>121</v>
      </c>
      <c r="D207" s="1" t="s">
        <v>121</v>
      </c>
      <c r="E207" s="1" t="s">
        <v>121</v>
      </c>
      <c r="F207" s="1" t="s">
        <v>121</v>
      </c>
      <c r="G207" s="1" t="s">
        <v>121</v>
      </c>
      <c r="H207" s="1" t="s">
        <v>121</v>
      </c>
      <c r="I207" s="1" t="s">
        <v>121</v>
      </c>
      <c r="J207" s="1" t="s">
        <v>121</v>
      </c>
      <c r="K207" s="288" t="s">
        <v>121</v>
      </c>
      <c r="L207" s="288" t="s">
        <v>121</v>
      </c>
      <c r="M207" s="288" t="s">
        <v>121</v>
      </c>
      <c r="N207" s="288" t="s">
        <v>121</v>
      </c>
      <c r="O207" s="288" t="s">
        <v>121</v>
      </c>
      <c r="P207" s="288" t="s">
        <v>121</v>
      </c>
      <c r="Q207" s="288" t="s">
        <v>121</v>
      </c>
      <c r="R207" s="288" t="s">
        <v>121</v>
      </c>
      <c r="S207" s="288" t="s">
        <v>121</v>
      </c>
      <c r="T207" s="288" t="s">
        <v>121</v>
      </c>
      <c r="U207" s="288" t="s">
        <v>121</v>
      </c>
      <c r="V207" s="288" t="s">
        <v>121</v>
      </c>
      <c r="W207" s="288" t="s">
        <v>121</v>
      </c>
      <c r="X207" s="288" t="s">
        <v>121</v>
      </c>
      <c r="Y207" s="288" t="s">
        <v>121</v>
      </c>
      <c r="Z207" s="288" t="s">
        <v>121</v>
      </c>
      <c r="AA207" s="1" t="s">
        <v>121</v>
      </c>
      <c r="AB207" s="39" t="s">
        <v>121</v>
      </c>
      <c r="AC207" s="39" t="s">
        <v>121</v>
      </c>
      <c r="AD207" s="39" t="s">
        <v>121</v>
      </c>
      <c r="AE207" s="39" t="s">
        <v>121</v>
      </c>
      <c r="AF207" s="1" t="s">
        <v>121</v>
      </c>
      <c r="AG207" s="1" t="s">
        <v>121</v>
      </c>
      <c r="AH207" s="41" t="s">
        <v>121</v>
      </c>
      <c r="AI207" s="1" t="s">
        <v>121</v>
      </c>
      <c r="AJ207" s="1" t="s">
        <v>121</v>
      </c>
      <c r="AK207" s="1" t="s">
        <v>121</v>
      </c>
      <c r="AL207" s="1" t="s">
        <v>121</v>
      </c>
      <c r="AM207" s="1" t="s">
        <v>121</v>
      </c>
      <c r="AN207" s="1" t="s">
        <v>121</v>
      </c>
      <c r="AO207" s="1" t="s">
        <v>121</v>
      </c>
      <c r="AP207" s="1" t="s">
        <v>121</v>
      </c>
      <c r="AQ207" s="1" t="s">
        <v>121</v>
      </c>
      <c r="AR207" s="1" t="s">
        <v>121</v>
      </c>
      <c r="AS207" s="1" t="s">
        <v>121</v>
      </c>
      <c r="AT207" s="1" t="s">
        <v>121</v>
      </c>
      <c r="AU207" s="1" t="s">
        <v>121</v>
      </c>
      <c r="AV207" s="1" t="s">
        <v>121</v>
      </c>
      <c r="AW207" s="1" t="s">
        <v>121</v>
      </c>
      <c r="AX207" s="1" t="s">
        <v>121</v>
      </c>
      <c r="AY207" s="1" t="s">
        <v>121</v>
      </c>
      <c r="AZ207" s="1" t="s">
        <v>121</v>
      </c>
      <c r="BA207" s="1" t="s">
        <v>121</v>
      </c>
      <c r="BB207" s="1" t="s">
        <v>121</v>
      </c>
      <c r="BC207" s="1" t="s">
        <v>121</v>
      </c>
      <c r="BD207" s="1" t="s">
        <v>121</v>
      </c>
      <c r="BE207" s="1" t="s">
        <v>121</v>
      </c>
      <c r="BF207" s="1" t="s">
        <v>121</v>
      </c>
      <c r="BG207" s="1" t="s">
        <v>121</v>
      </c>
      <c r="BH207" s="1" t="s">
        <v>121</v>
      </c>
      <c r="BI207" s="1" t="s">
        <v>121</v>
      </c>
      <c r="BJ207" s="1" t="s">
        <v>121</v>
      </c>
      <c r="BK207" s="1" t="s">
        <v>121</v>
      </c>
      <c r="BL207" s="1" t="s">
        <v>121</v>
      </c>
      <c r="BM207" s="1" t="s">
        <v>121</v>
      </c>
      <c r="BN207" s="1" t="s">
        <v>121</v>
      </c>
      <c r="BO207" s="1" t="s">
        <v>121</v>
      </c>
      <c r="BP207" s="1" t="s">
        <v>121</v>
      </c>
      <c r="BQ207" s="1" t="s">
        <v>121</v>
      </c>
    </row>
    <row r="208" spans="1:69" x14ac:dyDescent="0.25">
      <c r="A208" s="72">
        <v>208</v>
      </c>
      <c r="B208" s="1" t="s">
        <v>121</v>
      </c>
      <c r="C208" s="1" t="s">
        <v>121</v>
      </c>
      <c r="D208" s="1" t="s">
        <v>121</v>
      </c>
      <c r="E208" s="1" t="s">
        <v>121</v>
      </c>
      <c r="F208" s="1" t="s">
        <v>121</v>
      </c>
      <c r="G208" s="1" t="s">
        <v>121</v>
      </c>
      <c r="H208" s="1" t="s">
        <v>121</v>
      </c>
      <c r="I208" s="1" t="s">
        <v>121</v>
      </c>
      <c r="J208" s="1" t="s">
        <v>121</v>
      </c>
      <c r="K208" s="288" t="s">
        <v>121</v>
      </c>
      <c r="L208" s="288" t="s">
        <v>121</v>
      </c>
      <c r="M208" s="288" t="s">
        <v>121</v>
      </c>
      <c r="N208" s="288" t="s">
        <v>121</v>
      </c>
      <c r="O208" s="288" t="s">
        <v>121</v>
      </c>
      <c r="P208" s="288" t="s">
        <v>121</v>
      </c>
      <c r="Q208" s="288" t="s">
        <v>121</v>
      </c>
      <c r="R208" s="288" t="s">
        <v>121</v>
      </c>
      <c r="S208" s="288" t="s">
        <v>121</v>
      </c>
      <c r="T208" s="288" t="s">
        <v>121</v>
      </c>
      <c r="U208" s="288" t="s">
        <v>121</v>
      </c>
      <c r="V208" s="288" t="s">
        <v>121</v>
      </c>
      <c r="W208" s="288" t="s">
        <v>121</v>
      </c>
      <c r="X208" s="288" t="s">
        <v>121</v>
      </c>
      <c r="Y208" s="288" t="s">
        <v>121</v>
      </c>
      <c r="Z208" s="288" t="s">
        <v>121</v>
      </c>
      <c r="AA208" s="1" t="s">
        <v>121</v>
      </c>
      <c r="AB208" s="39" t="s">
        <v>121</v>
      </c>
      <c r="AC208" s="39" t="s">
        <v>121</v>
      </c>
      <c r="AD208" s="39" t="s">
        <v>121</v>
      </c>
      <c r="AE208" s="39" t="s">
        <v>121</v>
      </c>
      <c r="AF208" s="1" t="s">
        <v>121</v>
      </c>
      <c r="AG208" s="1" t="s">
        <v>121</v>
      </c>
      <c r="AH208" s="39" t="s">
        <v>121</v>
      </c>
      <c r="AI208" s="1" t="s">
        <v>121</v>
      </c>
      <c r="AJ208" s="1" t="s">
        <v>121</v>
      </c>
      <c r="AK208" s="1" t="s">
        <v>121</v>
      </c>
      <c r="AL208" s="1" t="s">
        <v>121</v>
      </c>
      <c r="AM208" s="1" t="s">
        <v>121</v>
      </c>
      <c r="AN208" s="1" t="s">
        <v>121</v>
      </c>
      <c r="AO208" s="1" t="s">
        <v>121</v>
      </c>
      <c r="AP208" s="1" t="s">
        <v>121</v>
      </c>
      <c r="AQ208" s="1" t="s">
        <v>121</v>
      </c>
      <c r="AR208" s="1" t="s">
        <v>121</v>
      </c>
      <c r="AS208" s="1" t="s">
        <v>121</v>
      </c>
      <c r="AT208" s="1" t="s">
        <v>121</v>
      </c>
      <c r="AU208" s="1" t="s">
        <v>121</v>
      </c>
      <c r="AV208" s="1" t="s">
        <v>121</v>
      </c>
      <c r="AW208" s="1" t="s">
        <v>121</v>
      </c>
      <c r="AX208" s="1" t="s">
        <v>121</v>
      </c>
      <c r="AY208" s="1" t="s">
        <v>121</v>
      </c>
      <c r="AZ208" s="1" t="s">
        <v>121</v>
      </c>
      <c r="BA208" s="1" t="s">
        <v>121</v>
      </c>
      <c r="BB208" s="1" t="s">
        <v>121</v>
      </c>
      <c r="BC208" s="1" t="s">
        <v>121</v>
      </c>
      <c r="BD208" s="1" t="s">
        <v>121</v>
      </c>
      <c r="BE208" s="1" t="s">
        <v>121</v>
      </c>
      <c r="BF208" s="1" t="s">
        <v>121</v>
      </c>
      <c r="BG208" s="1" t="s">
        <v>121</v>
      </c>
      <c r="BH208" s="1" t="s">
        <v>121</v>
      </c>
      <c r="BI208" s="1" t="s">
        <v>121</v>
      </c>
      <c r="BJ208" s="1" t="s">
        <v>121</v>
      </c>
      <c r="BK208" s="1" t="s">
        <v>121</v>
      </c>
      <c r="BL208" s="1" t="s">
        <v>121</v>
      </c>
      <c r="BM208" s="1" t="s">
        <v>121</v>
      </c>
      <c r="BN208" s="1" t="s">
        <v>121</v>
      </c>
      <c r="BO208" s="1" t="s">
        <v>121</v>
      </c>
      <c r="BP208" s="1" t="s">
        <v>121</v>
      </c>
      <c r="BQ208" s="1" t="s">
        <v>121</v>
      </c>
    </row>
    <row r="209" spans="1:69" ht="14.45" customHeight="1" x14ac:dyDescent="0.25">
      <c r="A209" s="72">
        <v>209</v>
      </c>
      <c r="B209" s="1" t="s">
        <v>121</v>
      </c>
      <c r="C209" s="1" t="s">
        <v>121</v>
      </c>
      <c r="D209" s="1" t="s">
        <v>121</v>
      </c>
      <c r="E209" s="1" t="s">
        <v>121</v>
      </c>
      <c r="F209" s="1" t="s">
        <v>121</v>
      </c>
      <c r="G209" s="1" t="s">
        <v>121</v>
      </c>
      <c r="H209" s="1" t="s">
        <v>121</v>
      </c>
      <c r="I209" s="1" t="s">
        <v>121</v>
      </c>
      <c r="J209" s="1" t="s">
        <v>121</v>
      </c>
      <c r="K209" s="288" t="s">
        <v>121</v>
      </c>
      <c r="L209" s="288" t="s">
        <v>121</v>
      </c>
      <c r="M209" s="288" t="s">
        <v>121</v>
      </c>
      <c r="N209" s="288" t="s">
        <v>121</v>
      </c>
      <c r="O209" s="288" t="s">
        <v>121</v>
      </c>
      <c r="P209" s="288" t="s">
        <v>121</v>
      </c>
      <c r="Q209" s="288" t="s">
        <v>121</v>
      </c>
      <c r="R209" s="288" t="s">
        <v>121</v>
      </c>
      <c r="S209" s="288" t="s">
        <v>121</v>
      </c>
      <c r="T209" s="288" t="s">
        <v>121</v>
      </c>
      <c r="U209" s="288" t="s">
        <v>121</v>
      </c>
      <c r="V209" s="288" t="s">
        <v>121</v>
      </c>
      <c r="W209" s="288" t="s">
        <v>121</v>
      </c>
      <c r="X209" s="288" t="s">
        <v>121</v>
      </c>
      <c r="Y209" s="288" t="s">
        <v>121</v>
      </c>
      <c r="Z209" s="288" t="s">
        <v>121</v>
      </c>
      <c r="AA209" s="1" t="s">
        <v>121</v>
      </c>
      <c r="AB209" s="39" t="s">
        <v>121</v>
      </c>
      <c r="AC209" s="39" t="s">
        <v>121</v>
      </c>
      <c r="AD209" s="39" t="s">
        <v>121</v>
      </c>
      <c r="AE209" s="39" t="s">
        <v>121</v>
      </c>
      <c r="AF209" s="1" t="s">
        <v>121</v>
      </c>
      <c r="AG209" s="1" t="s">
        <v>121</v>
      </c>
      <c r="AH209" s="39" t="s">
        <v>121</v>
      </c>
      <c r="AI209" s="1" t="s">
        <v>121</v>
      </c>
      <c r="AJ209" s="1" t="s">
        <v>121</v>
      </c>
      <c r="AK209" s="1" t="s">
        <v>121</v>
      </c>
      <c r="AL209" s="1" t="s">
        <v>121</v>
      </c>
      <c r="AM209" s="1" t="s">
        <v>121</v>
      </c>
      <c r="AN209" s="1" t="s">
        <v>121</v>
      </c>
      <c r="AO209" s="1" t="s">
        <v>121</v>
      </c>
      <c r="AP209" s="1" t="s">
        <v>121</v>
      </c>
      <c r="AQ209" s="1" t="s">
        <v>121</v>
      </c>
      <c r="AR209" s="1" t="s">
        <v>121</v>
      </c>
      <c r="AS209" s="1" t="s">
        <v>121</v>
      </c>
      <c r="AT209" s="1" t="s">
        <v>121</v>
      </c>
      <c r="AU209" s="1" t="s">
        <v>121</v>
      </c>
      <c r="AV209" s="1" t="s">
        <v>121</v>
      </c>
      <c r="AW209" s="1" t="s">
        <v>121</v>
      </c>
      <c r="AX209" s="1" t="s">
        <v>121</v>
      </c>
      <c r="AY209" s="1" t="s">
        <v>121</v>
      </c>
      <c r="AZ209" s="1" t="s">
        <v>121</v>
      </c>
      <c r="BA209" s="1" t="s">
        <v>121</v>
      </c>
      <c r="BB209" s="1" t="s">
        <v>121</v>
      </c>
      <c r="BC209" s="1" t="s">
        <v>121</v>
      </c>
      <c r="BD209" s="1" t="s">
        <v>121</v>
      </c>
      <c r="BE209" s="1" t="s">
        <v>121</v>
      </c>
      <c r="BF209" s="1" t="s">
        <v>121</v>
      </c>
      <c r="BG209" s="1" t="s">
        <v>121</v>
      </c>
      <c r="BH209" s="1" t="s">
        <v>121</v>
      </c>
      <c r="BI209" s="1" t="s">
        <v>121</v>
      </c>
      <c r="BJ209" s="1" t="s">
        <v>121</v>
      </c>
      <c r="BK209" s="1" t="s">
        <v>121</v>
      </c>
      <c r="BL209" s="1" t="s">
        <v>121</v>
      </c>
      <c r="BM209" s="1" t="s">
        <v>121</v>
      </c>
      <c r="BN209" s="1" t="s">
        <v>121</v>
      </c>
      <c r="BO209" s="1" t="s">
        <v>121</v>
      </c>
      <c r="BP209" s="1" t="s">
        <v>121</v>
      </c>
      <c r="BQ209" s="1" t="s">
        <v>121</v>
      </c>
    </row>
    <row r="210" spans="1:69" x14ac:dyDescent="0.25">
      <c r="A210" s="72">
        <v>210</v>
      </c>
      <c r="B210" s="426" t="s">
        <v>42</v>
      </c>
      <c r="C210" s="436" t="s">
        <v>64</v>
      </c>
      <c r="D210" s="438" t="s">
        <v>265</v>
      </c>
      <c r="E210" s="434" t="s">
        <v>79</v>
      </c>
      <c r="F210" s="416">
        <v>45930</v>
      </c>
      <c r="G210" s="416">
        <v>45838</v>
      </c>
      <c r="H210" s="416">
        <v>45747</v>
      </c>
      <c r="I210" s="416">
        <v>45657</v>
      </c>
      <c r="J210" s="416">
        <v>45565</v>
      </c>
      <c r="K210" s="416">
        <v>45473</v>
      </c>
      <c r="L210" s="416">
        <v>45382</v>
      </c>
      <c r="M210" s="416">
        <v>45291</v>
      </c>
      <c r="N210" s="416">
        <v>45199</v>
      </c>
      <c r="O210" s="416">
        <v>45107</v>
      </c>
      <c r="P210" s="416">
        <v>45016</v>
      </c>
      <c r="Q210" s="416">
        <v>44926</v>
      </c>
      <c r="R210" s="416">
        <v>44834</v>
      </c>
      <c r="S210" s="416">
        <v>44742</v>
      </c>
      <c r="T210" s="449">
        <v>44651</v>
      </c>
      <c r="U210" s="449">
        <v>44561</v>
      </c>
      <c r="V210" s="449">
        <v>44469</v>
      </c>
      <c r="W210" s="449">
        <v>44377</v>
      </c>
      <c r="X210" s="416">
        <v>44286</v>
      </c>
      <c r="Y210" s="429">
        <v>44196</v>
      </c>
      <c r="Z210" s="429">
        <v>44104</v>
      </c>
      <c r="AA210" s="429">
        <v>44012</v>
      </c>
      <c r="AB210" s="416">
        <v>43921</v>
      </c>
      <c r="AC210" s="416">
        <v>43830</v>
      </c>
      <c r="AD210" s="416">
        <v>43738</v>
      </c>
      <c r="AE210" s="416">
        <v>43646</v>
      </c>
      <c r="AF210" s="416">
        <v>43555</v>
      </c>
      <c r="AG210" s="1">
        <v>43465</v>
      </c>
      <c r="AH210" s="1">
        <v>43373</v>
      </c>
      <c r="AI210" s="1">
        <v>43281</v>
      </c>
      <c r="AJ210" s="1">
        <v>43190</v>
      </c>
      <c r="AK210" s="1" t="s">
        <v>121</v>
      </c>
      <c r="AL210" s="1" t="s">
        <v>121</v>
      </c>
      <c r="AM210" s="1" t="s">
        <v>121</v>
      </c>
      <c r="AN210" s="1" t="s">
        <v>121</v>
      </c>
      <c r="AO210" s="1" t="s">
        <v>121</v>
      </c>
      <c r="AP210" s="1" t="s">
        <v>121</v>
      </c>
      <c r="AQ210" s="1" t="s">
        <v>121</v>
      </c>
      <c r="AR210" s="1" t="s">
        <v>121</v>
      </c>
      <c r="AS210" s="1" t="s">
        <v>121</v>
      </c>
      <c r="AT210" s="1" t="s">
        <v>121</v>
      </c>
      <c r="AU210" s="1" t="s">
        <v>121</v>
      </c>
      <c r="AV210" s="1" t="s">
        <v>121</v>
      </c>
      <c r="AW210" s="1" t="s">
        <v>121</v>
      </c>
      <c r="AX210" s="1" t="s">
        <v>121</v>
      </c>
      <c r="AY210" s="1" t="s">
        <v>121</v>
      </c>
      <c r="AZ210" s="1" t="s">
        <v>121</v>
      </c>
      <c r="BA210" s="1" t="s">
        <v>121</v>
      </c>
      <c r="BB210" s="1" t="s">
        <v>121</v>
      </c>
      <c r="BC210" s="1" t="s">
        <v>121</v>
      </c>
      <c r="BD210" s="1" t="s">
        <v>121</v>
      </c>
      <c r="BE210" s="1" t="s">
        <v>121</v>
      </c>
      <c r="BF210" s="1" t="s">
        <v>121</v>
      </c>
      <c r="BG210" s="1" t="s">
        <v>121</v>
      </c>
      <c r="BH210" s="1" t="s">
        <v>121</v>
      </c>
      <c r="BI210" s="1" t="s">
        <v>121</v>
      </c>
      <c r="BJ210" s="1" t="s">
        <v>121</v>
      </c>
      <c r="BK210" s="1" t="s">
        <v>121</v>
      </c>
      <c r="BL210" s="1" t="s">
        <v>121</v>
      </c>
      <c r="BM210" s="1" t="s">
        <v>121</v>
      </c>
      <c r="BN210" s="1" t="s">
        <v>121</v>
      </c>
      <c r="BO210" s="1" t="s">
        <v>121</v>
      </c>
      <c r="BP210" s="1" t="s">
        <v>121</v>
      </c>
      <c r="BQ210" s="1" t="s">
        <v>121</v>
      </c>
    </row>
    <row r="211" spans="1:69" x14ac:dyDescent="0.25">
      <c r="A211" s="72">
        <v>211</v>
      </c>
      <c r="B211" s="427"/>
      <c r="C211" s="437"/>
      <c r="D211" s="451"/>
      <c r="E211" s="444"/>
      <c r="F211" s="417"/>
      <c r="G211" s="417"/>
      <c r="H211" s="417"/>
      <c r="I211" s="417"/>
      <c r="J211" s="417"/>
      <c r="K211" s="417"/>
      <c r="L211" s="417"/>
      <c r="M211" s="417"/>
      <c r="N211" s="417"/>
      <c r="O211" s="417"/>
      <c r="P211" s="417"/>
      <c r="Q211" s="417"/>
      <c r="R211" s="417"/>
      <c r="S211" s="417"/>
      <c r="T211" s="450"/>
      <c r="U211" s="450"/>
      <c r="V211" s="450"/>
      <c r="W211" s="450"/>
      <c r="X211" s="417"/>
      <c r="Y211" s="430"/>
      <c r="Z211" s="430"/>
      <c r="AA211" s="430"/>
      <c r="AB211" s="417"/>
      <c r="AC211" s="417"/>
      <c r="AD211" s="417"/>
      <c r="AE211" s="417"/>
      <c r="AF211" s="417"/>
    </row>
    <row r="212" spans="1:69" x14ac:dyDescent="0.25">
      <c r="A212" s="72">
        <v>212</v>
      </c>
      <c r="B212" s="8" t="s">
        <v>121</v>
      </c>
      <c r="C212" s="87" t="s">
        <v>121</v>
      </c>
      <c r="D212" s="56" t="s">
        <v>121</v>
      </c>
      <c r="E212" s="88" t="s">
        <v>121</v>
      </c>
      <c r="F212" s="56" t="s">
        <v>121</v>
      </c>
      <c r="G212" s="56" t="s">
        <v>121</v>
      </c>
      <c r="H212" s="56" t="s">
        <v>121</v>
      </c>
      <c r="I212" s="56" t="s">
        <v>121</v>
      </c>
      <c r="J212" s="56" t="s">
        <v>121</v>
      </c>
      <c r="K212" s="286" t="s">
        <v>121</v>
      </c>
      <c r="L212" s="286" t="s">
        <v>121</v>
      </c>
      <c r="M212" s="286" t="s">
        <v>121</v>
      </c>
      <c r="N212" s="286" t="s">
        <v>121</v>
      </c>
      <c r="O212" s="286" t="s">
        <v>121</v>
      </c>
      <c r="P212" s="286" t="s">
        <v>121</v>
      </c>
      <c r="Q212" s="286" t="s">
        <v>121</v>
      </c>
      <c r="R212" s="286" t="s">
        <v>121</v>
      </c>
      <c r="S212" s="286" t="s">
        <v>121</v>
      </c>
      <c r="T212" s="286" t="s">
        <v>121</v>
      </c>
      <c r="U212" s="286" t="s">
        <v>121</v>
      </c>
      <c r="V212" s="286" t="s">
        <v>121</v>
      </c>
      <c r="W212" s="286" t="s">
        <v>121</v>
      </c>
      <c r="X212" s="286" t="s">
        <v>121</v>
      </c>
      <c r="Y212" s="286" t="s">
        <v>121</v>
      </c>
      <c r="Z212" s="286" t="s">
        <v>121</v>
      </c>
      <c r="AA212" s="56" t="s">
        <v>121</v>
      </c>
      <c r="AB212" s="56" t="s">
        <v>121</v>
      </c>
      <c r="AC212" s="56" t="s">
        <v>121</v>
      </c>
      <c r="AD212" s="56" t="s">
        <v>121</v>
      </c>
      <c r="AE212" s="56" t="s">
        <v>121</v>
      </c>
      <c r="AF212" s="56" t="s">
        <v>121</v>
      </c>
      <c r="AG212" s="56" t="s">
        <v>121</v>
      </c>
      <c r="AH212" s="56" t="s">
        <v>121</v>
      </c>
      <c r="AI212" s="1" t="s">
        <v>121</v>
      </c>
      <c r="AJ212" s="1" t="s">
        <v>121</v>
      </c>
      <c r="AK212" s="1" t="s">
        <v>121</v>
      </c>
      <c r="AL212" s="1" t="s">
        <v>121</v>
      </c>
      <c r="AM212" s="1" t="s">
        <v>121</v>
      </c>
      <c r="AN212" s="1" t="s">
        <v>121</v>
      </c>
      <c r="AO212" s="1" t="s">
        <v>121</v>
      </c>
      <c r="AP212" s="1" t="s">
        <v>121</v>
      </c>
      <c r="AQ212" s="1" t="s">
        <v>121</v>
      </c>
      <c r="AR212" s="1" t="s">
        <v>121</v>
      </c>
      <c r="AS212" s="1" t="s">
        <v>121</v>
      </c>
      <c r="AT212" s="1" t="s">
        <v>121</v>
      </c>
      <c r="AU212" s="1" t="s">
        <v>121</v>
      </c>
      <c r="AV212" s="1" t="s">
        <v>121</v>
      </c>
      <c r="AW212" s="1" t="s">
        <v>121</v>
      </c>
      <c r="AX212" s="1" t="s">
        <v>121</v>
      </c>
      <c r="AY212" s="1" t="s">
        <v>121</v>
      </c>
      <c r="AZ212" s="1" t="s">
        <v>121</v>
      </c>
      <c r="BA212" s="1" t="s">
        <v>121</v>
      </c>
      <c r="BB212" s="1" t="s">
        <v>121</v>
      </c>
      <c r="BC212" s="1" t="s">
        <v>121</v>
      </c>
      <c r="BD212" s="1" t="s">
        <v>121</v>
      </c>
      <c r="BE212" s="1" t="s">
        <v>121</v>
      </c>
      <c r="BF212" s="1" t="s">
        <v>121</v>
      </c>
      <c r="BG212" s="1" t="s">
        <v>121</v>
      </c>
      <c r="BH212" s="1" t="s">
        <v>121</v>
      </c>
      <c r="BI212" s="1" t="s">
        <v>121</v>
      </c>
      <c r="BJ212" s="1" t="s">
        <v>121</v>
      </c>
      <c r="BK212" s="1" t="s">
        <v>121</v>
      </c>
      <c r="BL212" s="1" t="s">
        <v>121</v>
      </c>
      <c r="BM212" s="1" t="s">
        <v>121</v>
      </c>
      <c r="BN212" s="1" t="s">
        <v>121</v>
      </c>
      <c r="BO212" s="1" t="s">
        <v>121</v>
      </c>
      <c r="BP212" s="1" t="s">
        <v>121</v>
      </c>
      <c r="BQ212" s="1" t="s">
        <v>121</v>
      </c>
    </row>
    <row r="213" spans="1:69" x14ac:dyDescent="0.25">
      <c r="A213" s="72">
        <v>213</v>
      </c>
      <c r="B213" s="15" t="s">
        <v>67</v>
      </c>
      <c r="C213" s="105" t="s">
        <v>121</v>
      </c>
      <c r="D213" s="144" t="s">
        <v>121</v>
      </c>
      <c r="E213" s="106" t="s">
        <v>121</v>
      </c>
      <c r="F213" s="297">
        <v>0.19541094345757876</v>
      </c>
      <c r="G213" s="297">
        <v>0.20491397168800615</v>
      </c>
      <c r="H213" s="297">
        <v>0.22537476542229248</v>
      </c>
      <c r="I213" s="297">
        <v>0.21726394556917361</v>
      </c>
      <c r="J213" s="297">
        <v>0.21570904587629772</v>
      </c>
      <c r="K213" s="297">
        <v>0.22247923823988855</v>
      </c>
      <c r="L213" s="297">
        <v>0.22306340772228125</v>
      </c>
      <c r="M213" s="297">
        <v>0.23148285760079265</v>
      </c>
      <c r="N213" s="297">
        <v>0.23930364458310302</v>
      </c>
      <c r="O213" s="297">
        <v>0.26328348877194813</v>
      </c>
      <c r="P213" s="297">
        <v>0.2452341747156904</v>
      </c>
      <c r="Q213" s="297">
        <v>0.25575742365710907</v>
      </c>
      <c r="R213" s="407"/>
      <c r="S213" s="407"/>
      <c r="T213" s="407"/>
      <c r="U213" s="297">
        <v>0.26321330027981338</v>
      </c>
      <c r="V213" s="297">
        <v>0.25238330954435384</v>
      </c>
      <c r="W213" s="297">
        <v>0.25178760381424103</v>
      </c>
      <c r="X213" s="297">
        <v>0.24644431772915246</v>
      </c>
      <c r="Y213" s="297">
        <v>0.25101322998422154</v>
      </c>
      <c r="Z213" s="297">
        <v>0.23796155123534982</v>
      </c>
      <c r="AA213" s="41">
        <v>0.25244684337337014</v>
      </c>
      <c r="AB213" s="41">
        <v>0.24137801018121585</v>
      </c>
      <c r="AC213" s="41">
        <v>0.25646136891570182</v>
      </c>
      <c r="AD213" s="41">
        <v>0.26159531560925803</v>
      </c>
      <c r="AE213" s="41">
        <v>0.27082119088470025</v>
      </c>
      <c r="AF213" s="13">
        <v>0.25043543349386971</v>
      </c>
      <c r="AG213" s="13">
        <v>0.23911585370419314</v>
      </c>
      <c r="AH213" s="41">
        <v>0.22778172202014318</v>
      </c>
      <c r="AI213" s="1">
        <v>0.23086668836623564</v>
      </c>
      <c r="AJ213" s="1">
        <v>0.22467335832714347</v>
      </c>
      <c r="AK213" s="1" t="s">
        <v>121</v>
      </c>
      <c r="AL213" s="1" t="s">
        <v>121</v>
      </c>
      <c r="AM213" s="1" t="s">
        <v>121</v>
      </c>
      <c r="AN213" s="1" t="s">
        <v>121</v>
      </c>
      <c r="AO213" s="1" t="s">
        <v>121</v>
      </c>
      <c r="AP213" s="1" t="s">
        <v>121</v>
      </c>
      <c r="AQ213" s="1" t="s">
        <v>121</v>
      </c>
      <c r="AR213" s="1" t="s">
        <v>121</v>
      </c>
      <c r="AS213" s="1" t="s">
        <v>121</v>
      </c>
      <c r="AT213" s="1" t="s">
        <v>121</v>
      </c>
      <c r="AU213" s="1" t="s">
        <v>121</v>
      </c>
      <c r="AV213" s="1" t="s">
        <v>121</v>
      </c>
      <c r="AW213" s="1" t="s">
        <v>121</v>
      </c>
      <c r="AX213" s="1" t="s">
        <v>121</v>
      </c>
      <c r="AY213" s="1" t="s">
        <v>121</v>
      </c>
      <c r="AZ213" s="1" t="s">
        <v>121</v>
      </c>
      <c r="BA213" s="1" t="s">
        <v>121</v>
      </c>
      <c r="BB213" s="1" t="s">
        <v>121</v>
      </c>
      <c r="BC213" s="1" t="s">
        <v>121</v>
      </c>
      <c r="BD213" s="1" t="s">
        <v>121</v>
      </c>
      <c r="BE213" s="1" t="s">
        <v>121</v>
      </c>
      <c r="BF213" s="1" t="s">
        <v>121</v>
      </c>
      <c r="BG213" s="1" t="s">
        <v>121</v>
      </c>
      <c r="BH213" s="1" t="s">
        <v>121</v>
      </c>
      <c r="BI213" s="1" t="s">
        <v>121</v>
      </c>
      <c r="BJ213" s="1" t="s">
        <v>121</v>
      </c>
      <c r="BK213" s="1" t="s">
        <v>121</v>
      </c>
      <c r="BL213" s="1" t="s">
        <v>121</v>
      </c>
      <c r="BM213" s="1" t="s">
        <v>121</v>
      </c>
      <c r="BN213" s="1" t="s">
        <v>121</v>
      </c>
      <c r="BO213" s="1" t="s">
        <v>121</v>
      </c>
      <c r="BP213" s="1" t="s">
        <v>121</v>
      </c>
      <c r="BQ213" s="1" t="s">
        <v>121</v>
      </c>
    </row>
    <row r="214" spans="1:69" x14ac:dyDescent="0.25">
      <c r="A214" s="72">
        <v>214</v>
      </c>
      <c r="B214" s="15" t="s">
        <v>43</v>
      </c>
      <c r="C214" s="105" t="s">
        <v>121</v>
      </c>
      <c r="D214" s="144" t="s">
        <v>121</v>
      </c>
      <c r="E214" s="106" t="s">
        <v>121</v>
      </c>
      <c r="F214" s="297">
        <v>0.80458905654242119</v>
      </c>
      <c r="G214" s="297">
        <v>0.79508602831199382</v>
      </c>
      <c r="H214" s="297">
        <v>0.77462523457770749</v>
      </c>
      <c r="I214" s="297">
        <v>0.78273605443082639</v>
      </c>
      <c r="J214" s="297">
        <v>0.78429095412370231</v>
      </c>
      <c r="K214" s="297">
        <v>0.77752076176011142</v>
      </c>
      <c r="L214" s="297">
        <v>0.77693659227771872</v>
      </c>
      <c r="M214" s="297">
        <v>0.76851714239920732</v>
      </c>
      <c r="N214" s="297">
        <v>0.76069635541689695</v>
      </c>
      <c r="O214" s="297">
        <v>0.73671651122805193</v>
      </c>
      <c r="P214" s="297">
        <v>0.75476582528430958</v>
      </c>
      <c r="Q214" s="297">
        <v>0.74424257634289093</v>
      </c>
      <c r="R214" s="407"/>
      <c r="S214" s="407"/>
      <c r="T214" s="407"/>
      <c r="U214" s="297">
        <v>0.73678669972018662</v>
      </c>
      <c r="V214" s="297">
        <v>0.74761669045564616</v>
      </c>
      <c r="W214" s="297">
        <v>0.74821224834992384</v>
      </c>
      <c r="X214" s="297">
        <v>0.75355568227084757</v>
      </c>
      <c r="Y214" s="297">
        <v>0.74898680267612161</v>
      </c>
      <c r="Z214" s="297">
        <v>0.7620384487646501</v>
      </c>
      <c r="AA214" s="41">
        <v>0.7475531566266298</v>
      </c>
      <c r="AB214" s="41">
        <v>0.75862198981878426</v>
      </c>
      <c r="AC214" s="41">
        <v>0.74353863108429841</v>
      </c>
      <c r="AD214" s="41">
        <v>0.73840468439074192</v>
      </c>
      <c r="AE214" s="41">
        <v>0.72917880911529986</v>
      </c>
      <c r="AF214" s="41">
        <v>0.74956456650613035</v>
      </c>
      <c r="AG214" s="41">
        <v>0.76088414629580714</v>
      </c>
      <c r="AH214" s="41">
        <v>0.77221827797985665</v>
      </c>
      <c r="AI214" s="1">
        <v>0.76913331163376442</v>
      </c>
      <c r="AJ214" s="1">
        <v>0.77532663702767601</v>
      </c>
      <c r="AK214" s="1" t="s">
        <v>121</v>
      </c>
      <c r="AL214" s="1" t="s">
        <v>121</v>
      </c>
      <c r="AM214" s="1" t="s">
        <v>121</v>
      </c>
      <c r="AN214" s="1" t="s">
        <v>121</v>
      </c>
      <c r="AO214" s="1" t="s">
        <v>121</v>
      </c>
      <c r="AP214" s="1" t="s">
        <v>121</v>
      </c>
      <c r="AQ214" s="1" t="s">
        <v>121</v>
      </c>
      <c r="AR214" s="1" t="s">
        <v>121</v>
      </c>
      <c r="AS214" s="1" t="s">
        <v>121</v>
      </c>
      <c r="AT214" s="1" t="s">
        <v>121</v>
      </c>
      <c r="AU214" s="1" t="s">
        <v>121</v>
      </c>
      <c r="AV214" s="1" t="s">
        <v>121</v>
      </c>
      <c r="AW214" s="1" t="s">
        <v>121</v>
      </c>
      <c r="AX214" s="1" t="s">
        <v>121</v>
      </c>
      <c r="AY214" s="1" t="s">
        <v>121</v>
      </c>
      <c r="AZ214" s="1" t="s">
        <v>121</v>
      </c>
      <c r="BA214" s="1" t="s">
        <v>121</v>
      </c>
      <c r="BB214" s="1" t="s">
        <v>121</v>
      </c>
      <c r="BC214" s="1" t="s">
        <v>121</v>
      </c>
      <c r="BD214" s="1" t="s">
        <v>121</v>
      </c>
      <c r="BE214" s="1" t="s">
        <v>121</v>
      </c>
      <c r="BF214" s="1" t="s">
        <v>121</v>
      </c>
      <c r="BG214" s="1" t="s">
        <v>121</v>
      </c>
      <c r="BH214" s="1" t="s">
        <v>121</v>
      </c>
      <c r="BI214" s="1" t="s">
        <v>121</v>
      </c>
      <c r="BJ214" s="1" t="s">
        <v>121</v>
      </c>
      <c r="BK214" s="1" t="s">
        <v>121</v>
      </c>
      <c r="BL214" s="1" t="s">
        <v>121</v>
      </c>
      <c r="BM214" s="1" t="s">
        <v>121</v>
      </c>
      <c r="BN214" s="1" t="s">
        <v>121</v>
      </c>
      <c r="BO214" s="1" t="s">
        <v>121</v>
      </c>
      <c r="BP214" s="1" t="s">
        <v>121</v>
      </c>
      <c r="BQ214" s="1" t="s">
        <v>121</v>
      </c>
    </row>
    <row r="215" spans="1:69" x14ac:dyDescent="0.25">
      <c r="A215" s="72">
        <v>215</v>
      </c>
      <c r="B215" s="5" t="s">
        <v>121</v>
      </c>
      <c r="C215" s="105" t="s">
        <v>121</v>
      </c>
      <c r="D215" s="144" t="s">
        <v>121</v>
      </c>
      <c r="E215" s="106" t="s">
        <v>121</v>
      </c>
      <c r="F215" s="297" t="s">
        <v>121</v>
      </c>
      <c r="G215" s="297" t="s">
        <v>121</v>
      </c>
      <c r="H215" s="297" t="s">
        <v>121</v>
      </c>
      <c r="I215" s="297" t="s">
        <v>121</v>
      </c>
      <c r="J215" s="297" t="s">
        <v>121</v>
      </c>
      <c r="K215" s="297" t="s">
        <v>121</v>
      </c>
      <c r="L215" s="297" t="s">
        <v>121</v>
      </c>
      <c r="M215" s="297" t="s">
        <v>121</v>
      </c>
      <c r="N215" s="297" t="s">
        <v>121</v>
      </c>
      <c r="O215" s="297" t="s">
        <v>121</v>
      </c>
      <c r="P215" s="297" t="s">
        <v>121</v>
      </c>
      <c r="Q215" s="297" t="s">
        <v>121</v>
      </c>
      <c r="R215" s="407"/>
      <c r="S215" s="407"/>
      <c r="T215" s="407"/>
      <c r="U215" s="297" t="s">
        <v>121</v>
      </c>
      <c r="V215" s="297" t="s">
        <v>121</v>
      </c>
      <c r="W215" s="297" t="s">
        <v>121</v>
      </c>
      <c r="X215" s="297" t="s">
        <v>121</v>
      </c>
      <c r="Y215" s="297" t="s">
        <v>121</v>
      </c>
      <c r="Z215" s="297" t="s">
        <v>121</v>
      </c>
      <c r="AA215" s="41" t="s">
        <v>121</v>
      </c>
      <c r="AB215" s="41" t="s">
        <v>121</v>
      </c>
      <c r="AC215" s="41" t="s">
        <v>121</v>
      </c>
      <c r="AD215" s="41" t="s">
        <v>121</v>
      </c>
      <c r="AE215" s="41" t="s">
        <v>121</v>
      </c>
      <c r="AF215" s="13" t="s">
        <v>121</v>
      </c>
      <c r="AG215" s="13" t="s">
        <v>121</v>
      </c>
      <c r="AH215" s="41" t="s">
        <v>121</v>
      </c>
      <c r="AI215" s="1" t="s">
        <v>121</v>
      </c>
      <c r="AJ215" s="1" t="s">
        <v>121</v>
      </c>
      <c r="AK215" s="1" t="s">
        <v>121</v>
      </c>
      <c r="AL215" s="1" t="s">
        <v>121</v>
      </c>
      <c r="AM215" s="1" t="s">
        <v>121</v>
      </c>
      <c r="AN215" s="1" t="s">
        <v>121</v>
      </c>
      <c r="AO215" s="1" t="s">
        <v>121</v>
      </c>
      <c r="AP215" s="1" t="s">
        <v>121</v>
      </c>
      <c r="AQ215" s="1" t="s">
        <v>121</v>
      </c>
      <c r="AR215" s="1" t="s">
        <v>121</v>
      </c>
      <c r="AS215" s="1" t="s">
        <v>121</v>
      </c>
      <c r="AT215" s="1" t="s">
        <v>121</v>
      </c>
      <c r="AU215" s="1" t="s">
        <v>121</v>
      </c>
      <c r="AV215" s="1" t="s">
        <v>121</v>
      </c>
      <c r="AW215" s="1" t="s">
        <v>121</v>
      </c>
      <c r="AX215" s="1" t="s">
        <v>121</v>
      </c>
      <c r="AY215" s="1" t="s">
        <v>121</v>
      </c>
      <c r="AZ215" s="1" t="s">
        <v>121</v>
      </c>
      <c r="BA215" s="1" t="s">
        <v>121</v>
      </c>
      <c r="BB215" s="1" t="s">
        <v>121</v>
      </c>
      <c r="BC215" s="1" t="s">
        <v>121</v>
      </c>
      <c r="BD215" s="1" t="s">
        <v>121</v>
      </c>
      <c r="BE215" s="1" t="s">
        <v>121</v>
      </c>
      <c r="BF215" s="1" t="s">
        <v>121</v>
      </c>
      <c r="BG215" s="1" t="s">
        <v>121</v>
      </c>
      <c r="BH215" s="1" t="s">
        <v>121</v>
      </c>
      <c r="BI215" s="1" t="s">
        <v>121</v>
      </c>
      <c r="BJ215" s="1" t="s">
        <v>121</v>
      </c>
      <c r="BK215" s="1" t="s">
        <v>121</v>
      </c>
      <c r="BL215" s="1" t="s">
        <v>121</v>
      </c>
      <c r="BM215" s="1" t="s">
        <v>121</v>
      </c>
      <c r="BN215" s="1" t="s">
        <v>121</v>
      </c>
      <c r="BO215" s="1" t="s">
        <v>121</v>
      </c>
      <c r="BP215" s="1" t="s">
        <v>121</v>
      </c>
      <c r="BQ215" s="1" t="s">
        <v>121</v>
      </c>
    </row>
    <row r="216" spans="1:69" x14ac:dyDescent="0.25">
      <c r="A216" s="72">
        <v>216</v>
      </c>
      <c r="B216" s="5" t="s">
        <v>51</v>
      </c>
      <c r="C216" s="105" t="s">
        <v>121</v>
      </c>
      <c r="D216" s="144" t="s">
        <v>121</v>
      </c>
      <c r="E216" s="106" t="s">
        <v>121</v>
      </c>
      <c r="F216" s="297">
        <v>3.6800562224984394E-2</v>
      </c>
      <c r="G216" s="297">
        <v>4.1925905719171971E-2</v>
      </c>
      <c r="H216" s="297">
        <v>4.084643921889404E-2</v>
      </c>
      <c r="I216" s="297">
        <v>4.4315586948851265E-2</v>
      </c>
      <c r="J216" s="297">
        <v>4.17487423326569E-2</v>
      </c>
      <c r="K216" s="297">
        <v>4.1026550204441736E-2</v>
      </c>
      <c r="L216" s="297">
        <v>4.2710591569252568E-2</v>
      </c>
      <c r="M216" s="297">
        <v>5.0346053532660168E-2</v>
      </c>
      <c r="N216" s="297">
        <v>5.5700860978804931E-2</v>
      </c>
      <c r="O216" s="297">
        <v>6.4608624672189516E-2</v>
      </c>
      <c r="P216" s="297">
        <v>6.0556771554984373E-2</v>
      </c>
      <c r="Q216" s="297">
        <v>7.6322275901011927E-2</v>
      </c>
      <c r="R216" s="407"/>
      <c r="S216" s="407"/>
      <c r="T216" s="407"/>
      <c r="U216" s="297">
        <v>7.8057807337414437E-2</v>
      </c>
      <c r="V216" s="297">
        <v>8.2756246819381873E-2</v>
      </c>
      <c r="W216" s="297">
        <v>8.3745040529066062E-2</v>
      </c>
      <c r="X216" s="297">
        <v>8.7518804292368066E-2</v>
      </c>
      <c r="Y216" s="297">
        <v>8.6676195459619659E-2</v>
      </c>
      <c r="Z216" s="297">
        <v>8.8491323430507474E-2</v>
      </c>
      <c r="AA216" s="41">
        <v>9.2871224280358572E-2</v>
      </c>
      <c r="AB216" s="41">
        <v>8.6896932845066138E-2</v>
      </c>
      <c r="AC216" s="41">
        <v>8.3140858619427743E-2</v>
      </c>
      <c r="AD216" s="41">
        <v>9.1676101958122327E-2</v>
      </c>
      <c r="AE216" s="41">
        <v>9.9207667412037195E-2</v>
      </c>
      <c r="AF216" s="13">
        <v>9.8960383225495607E-2</v>
      </c>
      <c r="AG216" s="13">
        <v>9.7260456168931073E-2</v>
      </c>
      <c r="AH216" s="41">
        <v>0.10017391537318102</v>
      </c>
      <c r="AI216" s="1">
        <v>0.10399030944088904</v>
      </c>
      <c r="AJ216" s="1">
        <v>0.10348202666710843</v>
      </c>
      <c r="AK216" s="1" t="s">
        <v>121</v>
      </c>
      <c r="AL216" s="1" t="s">
        <v>121</v>
      </c>
      <c r="AM216" s="1" t="s">
        <v>121</v>
      </c>
      <c r="AN216" s="1" t="s">
        <v>121</v>
      </c>
      <c r="AO216" s="1" t="s">
        <v>121</v>
      </c>
      <c r="AP216" s="1" t="s">
        <v>121</v>
      </c>
      <c r="AQ216" s="1" t="s">
        <v>121</v>
      </c>
      <c r="AR216" s="1" t="s">
        <v>121</v>
      </c>
      <c r="AS216" s="1" t="s">
        <v>121</v>
      </c>
      <c r="AT216" s="1" t="s">
        <v>121</v>
      </c>
      <c r="AU216" s="1" t="s">
        <v>121</v>
      </c>
      <c r="AV216" s="1" t="s">
        <v>121</v>
      </c>
      <c r="AW216" s="1" t="s">
        <v>121</v>
      </c>
      <c r="AX216" s="1" t="s">
        <v>121</v>
      </c>
      <c r="AY216" s="1" t="s">
        <v>121</v>
      </c>
      <c r="AZ216" s="1" t="s">
        <v>121</v>
      </c>
      <c r="BA216" s="1" t="s">
        <v>121</v>
      </c>
      <c r="BB216" s="1" t="s">
        <v>121</v>
      </c>
      <c r="BC216" s="1" t="s">
        <v>121</v>
      </c>
      <c r="BD216" s="1" t="s">
        <v>121</v>
      </c>
      <c r="BE216" s="1" t="s">
        <v>121</v>
      </c>
      <c r="BF216" s="1" t="s">
        <v>121</v>
      </c>
      <c r="BG216" s="1" t="s">
        <v>121</v>
      </c>
      <c r="BH216" s="1" t="s">
        <v>121</v>
      </c>
      <c r="BI216" s="1" t="s">
        <v>121</v>
      </c>
      <c r="BJ216" s="1" t="s">
        <v>121</v>
      </c>
      <c r="BK216" s="1" t="s">
        <v>121</v>
      </c>
      <c r="BL216" s="1" t="s">
        <v>121</v>
      </c>
      <c r="BM216" s="1" t="s">
        <v>121</v>
      </c>
      <c r="BN216" s="1" t="s">
        <v>121</v>
      </c>
      <c r="BO216" s="1" t="s">
        <v>121</v>
      </c>
      <c r="BP216" s="1" t="s">
        <v>121</v>
      </c>
      <c r="BQ216" s="1" t="s">
        <v>121</v>
      </c>
    </row>
    <row r="217" spans="1:69" x14ac:dyDescent="0.25">
      <c r="A217" s="72">
        <v>217</v>
      </c>
      <c r="B217" s="5" t="s">
        <v>121</v>
      </c>
      <c r="C217" s="105" t="s">
        <v>121</v>
      </c>
      <c r="D217" s="144" t="s">
        <v>121</v>
      </c>
      <c r="E217" s="106" t="s">
        <v>121</v>
      </c>
      <c r="F217" s="297" t="s">
        <v>121</v>
      </c>
      <c r="G217" s="297" t="s">
        <v>121</v>
      </c>
      <c r="H217" s="297" t="s">
        <v>121</v>
      </c>
      <c r="I217" s="297" t="s">
        <v>121</v>
      </c>
      <c r="J217" s="297" t="s">
        <v>121</v>
      </c>
      <c r="K217" s="297" t="s">
        <v>121</v>
      </c>
      <c r="L217" s="297" t="s">
        <v>121</v>
      </c>
      <c r="M217" s="297" t="s">
        <v>121</v>
      </c>
      <c r="N217" s="297" t="s">
        <v>121</v>
      </c>
      <c r="O217" s="297" t="s">
        <v>121</v>
      </c>
      <c r="P217" s="297" t="s">
        <v>121</v>
      </c>
      <c r="Q217" s="297" t="s">
        <v>121</v>
      </c>
      <c r="R217" s="407"/>
      <c r="S217" s="407"/>
      <c r="T217" s="407"/>
      <c r="U217" s="297" t="s">
        <v>121</v>
      </c>
      <c r="V217" s="297" t="s">
        <v>121</v>
      </c>
      <c r="W217" s="297" t="s">
        <v>121</v>
      </c>
      <c r="X217" s="297" t="s">
        <v>121</v>
      </c>
      <c r="Y217" s="297" t="s">
        <v>121</v>
      </c>
      <c r="Z217" s="297" t="s">
        <v>121</v>
      </c>
      <c r="AA217" s="41" t="s">
        <v>121</v>
      </c>
      <c r="AB217" s="41" t="s">
        <v>121</v>
      </c>
      <c r="AC217" s="41" t="s">
        <v>121</v>
      </c>
      <c r="AD217" s="41" t="s">
        <v>121</v>
      </c>
      <c r="AE217" s="41" t="s">
        <v>121</v>
      </c>
      <c r="AF217" s="13" t="s">
        <v>121</v>
      </c>
      <c r="AG217" s="13" t="s">
        <v>121</v>
      </c>
      <c r="AH217" s="41" t="s">
        <v>121</v>
      </c>
      <c r="AI217" s="1" t="s">
        <v>121</v>
      </c>
      <c r="AJ217" s="1" t="s">
        <v>121</v>
      </c>
      <c r="AK217" s="1" t="s">
        <v>121</v>
      </c>
      <c r="AL217" s="1" t="s">
        <v>121</v>
      </c>
      <c r="AM217" s="1" t="s">
        <v>121</v>
      </c>
      <c r="AN217" s="1" t="s">
        <v>121</v>
      </c>
      <c r="AO217" s="1" t="s">
        <v>121</v>
      </c>
      <c r="AP217" s="1" t="s">
        <v>121</v>
      </c>
      <c r="AQ217" s="1" t="s">
        <v>121</v>
      </c>
      <c r="AR217" s="1" t="s">
        <v>121</v>
      </c>
      <c r="AS217" s="1" t="s">
        <v>121</v>
      </c>
      <c r="AT217" s="1" t="s">
        <v>121</v>
      </c>
      <c r="AU217" s="1" t="s">
        <v>121</v>
      </c>
      <c r="AV217" s="1" t="s">
        <v>121</v>
      </c>
      <c r="AW217" s="1" t="s">
        <v>121</v>
      </c>
      <c r="AX217" s="1" t="s">
        <v>121</v>
      </c>
      <c r="AY217" s="1" t="s">
        <v>121</v>
      </c>
      <c r="AZ217" s="1" t="s">
        <v>121</v>
      </c>
      <c r="BA217" s="1" t="s">
        <v>121</v>
      </c>
      <c r="BB217" s="1" t="s">
        <v>121</v>
      </c>
      <c r="BC217" s="1" t="s">
        <v>121</v>
      </c>
      <c r="BD217" s="1" t="s">
        <v>121</v>
      </c>
      <c r="BE217" s="1" t="s">
        <v>121</v>
      </c>
      <c r="BF217" s="1" t="s">
        <v>121</v>
      </c>
      <c r="BG217" s="1" t="s">
        <v>121</v>
      </c>
      <c r="BH217" s="1" t="s">
        <v>121</v>
      </c>
      <c r="BI217" s="1" t="s">
        <v>121</v>
      </c>
      <c r="BJ217" s="1" t="s">
        <v>121</v>
      </c>
      <c r="BK217" s="1" t="s">
        <v>121</v>
      </c>
      <c r="BL217" s="1" t="s">
        <v>121</v>
      </c>
      <c r="BM217" s="1" t="s">
        <v>121</v>
      </c>
      <c r="BN217" s="1" t="s">
        <v>121</v>
      </c>
      <c r="BO217" s="1" t="s">
        <v>121</v>
      </c>
      <c r="BP217" s="1" t="s">
        <v>121</v>
      </c>
      <c r="BQ217" s="1" t="s">
        <v>121</v>
      </c>
    </row>
    <row r="218" spans="1:69" x14ac:dyDescent="0.25">
      <c r="A218" s="72">
        <v>218</v>
      </c>
      <c r="B218" s="5" t="s">
        <v>250</v>
      </c>
      <c r="C218" s="105" t="s">
        <v>121</v>
      </c>
      <c r="D218" s="144" t="s">
        <v>121</v>
      </c>
      <c r="E218" s="106" t="s">
        <v>121</v>
      </c>
      <c r="F218" s="297">
        <v>3.6210016205925392E-2</v>
      </c>
      <c r="G218" s="297">
        <v>4.8759674469193832E-2</v>
      </c>
      <c r="H218" s="297">
        <v>4.3662029250048327E-2</v>
      </c>
      <c r="I218" s="297">
        <v>4.7424588406819831E-2</v>
      </c>
      <c r="J218" s="297">
        <v>4.7975902539399699E-2</v>
      </c>
      <c r="K218" s="297">
        <v>4.6188896070446898E-2</v>
      </c>
      <c r="L218" s="297">
        <v>4.422954303931987E-2</v>
      </c>
      <c r="M218" s="297">
        <v>5.2001282219405226E-2</v>
      </c>
      <c r="N218" s="297">
        <v>5.7348609333706904E-2</v>
      </c>
      <c r="O218" s="297">
        <v>6.8377359801316456E-2</v>
      </c>
      <c r="P218" s="297">
        <v>6.4715154922789619E-2</v>
      </c>
      <c r="Q218" s="297">
        <v>8.4618487214190324E-2</v>
      </c>
      <c r="R218" s="407"/>
      <c r="S218" s="407"/>
      <c r="T218" s="407"/>
      <c r="U218" s="297">
        <v>8.9462439240806824E-2</v>
      </c>
      <c r="V218" s="297">
        <v>9.494128217993783E-2</v>
      </c>
      <c r="W218" s="297">
        <v>0.1014298155670886</v>
      </c>
      <c r="X218" s="297">
        <v>0.1057245109930999</v>
      </c>
      <c r="Y218" s="297">
        <v>0.10429661160198893</v>
      </c>
      <c r="Z218" s="297">
        <v>9.4410173959978805E-2</v>
      </c>
      <c r="AA218" s="41">
        <v>0.10538069467592341</v>
      </c>
      <c r="AB218" s="41">
        <v>9.8046295164290184E-2</v>
      </c>
      <c r="AC218" s="41">
        <v>9.2282005411937623E-2</v>
      </c>
      <c r="AD218" s="41">
        <v>0.10660533115608255</v>
      </c>
      <c r="AE218" s="41">
        <v>0.10374328174205837</v>
      </c>
      <c r="AF218" s="13">
        <v>0.10555847811938814</v>
      </c>
      <c r="AG218" s="13">
        <v>0.10779108740049062</v>
      </c>
      <c r="AH218" s="41">
        <v>0.10923221825379299</v>
      </c>
      <c r="AI218" s="1">
        <v>0.12089638077312749</v>
      </c>
      <c r="AJ218" s="1">
        <v>0.11601324932428736</v>
      </c>
      <c r="AK218" s="1" t="s">
        <v>121</v>
      </c>
      <c r="AL218" s="1" t="s">
        <v>121</v>
      </c>
      <c r="AM218" s="1" t="s">
        <v>121</v>
      </c>
      <c r="AN218" s="1" t="s">
        <v>121</v>
      </c>
      <c r="AO218" s="1" t="s">
        <v>121</v>
      </c>
      <c r="AP218" s="1" t="s">
        <v>121</v>
      </c>
      <c r="AQ218" s="1" t="s">
        <v>121</v>
      </c>
      <c r="AR218" s="1" t="s">
        <v>121</v>
      </c>
      <c r="AS218" s="1" t="s">
        <v>121</v>
      </c>
      <c r="AT218" s="1" t="s">
        <v>121</v>
      </c>
      <c r="AU218" s="1" t="s">
        <v>121</v>
      </c>
      <c r="AV218" s="1" t="s">
        <v>121</v>
      </c>
      <c r="AW218" s="1" t="s">
        <v>121</v>
      </c>
      <c r="AX218" s="1" t="s">
        <v>121</v>
      </c>
      <c r="AY218" s="1" t="s">
        <v>121</v>
      </c>
      <c r="AZ218" s="1" t="s">
        <v>121</v>
      </c>
      <c r="BA218" s="1" t="s">
        <v>121</v>
      </c>
      <c r="BB218" s="1" t="s">
        <v>121</v>
      </c>
      <c r="BC218" s="1" t="s">
        <v>121</v>
      </c>
      <c r="BD218" s="1" t="s">
        <v>121</v>
      </c>
      <c r="BE218" s="1" t="s">
        <v>121</v>
      </c>
      <c r="BF218" s="1" t="s">
        <v>121</v>
      </c>
      <c r="BG218" s="1" t="s">
        <v>121</v>
      </c>
      <c r="BH218" s="1" t="s">
        <v>121</v>
      </c>
      <c r="BI218" s="1" t="s">
        <v>121</v>
      </c>
      <c r="BJ218" s="1" t="s">
        <v>121</v>
      </c>
      <c r="BK218" s="1" t="s">
        <v>121</v>
      </c>
      <c r="BL218" s="1" t="s">
        <v>121</v>
      </c>
      <c r="BM218" s="1" t="s">
        <v>121</v>
      </c>
      <c r="BN218" s="1" t="s">
        <v>121</v>
      </c>
      <c r="BO218" s="1" t="s">
        <v>121</v>
      </c>
      <c r="BP218" s="1" t="s">
        <v>121</v>
      </c>
      <c r="BQ218" s="1" t="s">
        <v>121</v>
      </c>
    </row>
    <row r="219" spans="1:69" x14ac:dyDescent="0.25">
      <c r="A219" s="72">
        <v>219</v>
      </c>
      <c r="B219" s="14" t="s">
        <v>367</v>
      </c>
      <c r="C219" s="105" t="s">
        <v>121</v>
      </c>
      <c r="D219" s="144" t="s">
        <v>121</v>
      </c>
      <c r="E219" s="106" t="s">
        <v>121</v>
      </c>
      <c r="F219" s="298">
        <v>3.8474224277402387E-2</v>
      </c>
      <c r="G219" s="298">
        <v>5.4030356702989925E-2</v>
      </c>
      <c r="H219" s="298">
        <v>4.809585896861291E-2</v>
      </c>
      <c r="I219" s="298">
        <v>5.2270059707078098E-2</v>
      </c>
      <c r="J219" s="298">
        <v>5.2689916240167833E-2</v>
      </c>
      <c r="K219" s="298">
        <v>5.070111496130851E-2</v>
      </c>
      <c r="L219" s="298">
        <v>4.8210634972452371E-2</v>
      </c>
      <c r="M219" s="298">
        <v>5.8772450378336158E-2</v>
      </c>
      <c r="N219" s="298">
        <v>6.5956709749862633E-2</v>
      </c>
      <c r="O219" s="298">
        <v>8.1123259640636131E-2</v>
      </c>
      <c r="P219" s="298">
        <v>7.4618824536237444E-2</v>
      </c>
      <c r="Q219" s="298">
        <v>0.10197219465667241</v>
      </c>
      <c r="R219" s="408"/>
      <c r="S219" s="408"/>
      <c r="T219" s="408"/>
      <c r="U219" s="298">
        <v>0.11029328262620661</v>
      </c>
      <c r="V219" s="298">
        <v>0.11464551092535627</v>
      </c>
      <c r="W219" s="298">
        <v>0.12251746361413028</v>
      </c>
      <c r="X219" s="298">
        <v>0.12579319292038577</v>
      </c>
      <c r="Y219" s="298">
        <v>0.12449611267045313</v>
      </c>
      <c r="Z219" s="298">
        <v>0.10888902048648337</v>
      </c>
      <c r="AA219" s="50">
        <v>0.1266487978639054</v>
      </c>
      <c r="AB219" s="50">
        <v>0.11683446925635305</v>
      </c>
      <c r="AC219" s="50">
        <v>0.11077865863913579</v>
      </c>
      <c r="AD219" s="50">
        <v>0.13066517644021292</v>
      </c>
      <c r="AE219" s="50">
        <v>0.12621039234067535</v>
      </c>
      <c r="AF219" s="50">
        <v>0.12547609315240066</v>
      </c>
      <c r="AG219" s="50">
        <v>0.12684721252584122</v>
      </c>
      <c r="AH219" s="50">
        <v>0.12780901566110872</v>
      </c>
      <c r="AI219" s="1">
        <v>0.14197153979430224</v>
      </c>
      <c r="AJ219" s="1">
        <v>0.13554456056716652</v>
      </c>
      <c r="AK219" s="1" t="s">
        <v>121</v>
      </c>
      <c r="AL219" s="1" t="s">
        <v>121</v>
      </c>
      <c r="AM219" s="1" t="s">
        <v>121</v>
      </c>
      <c r="AN219" s="1" t="s">
        <v>121</v>
      </c>
      <c r="AO219" s="1" t="s">
        <v>121</v>
      </c>
      <c r="AP219" s="1" t="s">
        <v>121</v>
      </c>
      <c r="AQ219" s="1" t="s">
        <v>121</v>
      </c>
      <c r="AR219" s="1" t="s">
        <v>121</v>
      </c>
      <c r="AS219" s="1" t="s">
        <v>121</v>
      </c>
      <c r="AT219" s="1" t="s">
        <v>121</v>
      </c>
      <c r="AU219" s="1" t="s">
        <v>121</v>
      </c>
      <c r="AV219" s="1" t="s">
        <v>121</v>
      </c>
      <c r="AW219" s="1" t="s">
        <v>121</v>
      </c>
      <c r="AX219" s="1" t="s">
        <v>121</v>
      </c>
      <c r="AY219" s="1" t="s">
        <v>121</v>
      </c>
      <c r="AZ219" s="1" t="s">
        <v>121</v>
      </c>
      <c r="BA219" s="1" t="s">
        <v>121</v>
      </c>
      <c r="BB219" s="1" t="s">
        <v>121</v>
      </c>
      <c r="BC219" s="1" t="s">
        <v>121</v>
      </c>
      <c r="BD219" s="1" t="s">
        <v>121</v>
      </c>
      <c r="BE219" s="1" t="s">
        <v>121</v>
      </c>
      <c r="BF219" s="1" t="s">
        <v>121</v>
      </c>
      <c r="BG219" s="1" t="s">
        <v>121</v>
      </c>
      <c r="BH219" s="1" t="s">
        <v>121</v>
      </c>
      <c r="BI219" s="1" t="s">
        <v>121</v>
      </c>
      <c r="BJ219" s="1" t="s">
        <v>121</v>
      </c>
      <c r="BK219" s="1" t="s">
        <v>121</v>
      </c>
      <c r="BL219" s="1" t="s">
        <v>121</v>
      </c>
      <c r="BM219" s="1" t="s">
        <v>121</v>
      </c>
      <c r="BN219" s="1" t="s">
        <v>121</v>
      </c>
      <c r="BO219" s="1" t="s">
        <v>121</v>
      </c>
      <c r="BP219" s="1" t="s">
        <v>121</v>
      </c>
      <c r="BQ219" s="1" t="s">
        <v>121</v>
      </c>
    </row>
    <row r="220" spans="1:69" x14ac:dyDescent="0.25">
      <c r="A220" s="72">
        <v>220</v>
      </c>
      <c r="B220" s="14" t="s">
        <v>368</v>
      </c>
      <c r="C220" s="105" t="s">
        <v>121</v>
      </c>
      <c r="D220" s="144" t="s">
        <v>121</v>
      </c>
      <c r="E220" s="106" t="s">
        <v>121</v>
      </c>
      <c r="F220" s="299">
        <v>2.6887319105080087E-2</v>
      </c>
      <c r="G220" s="299">
        <v>2.8308917650405347E-2</v>
      </c>
      <c r="H220" s="299">
        <v>2.842271716741453E-2</v>
      </c>
      <c r="I220" s="299">
        <v>2.9967825953730657E-2</v>
      </c>
      <c r="J220" s="299">
        <v>3.0836341756919374E-2</v>
      </c>
      <c r="K220" s="299">
        <v>3.041958700139925E-2</v>
      </c>
      <c r="L220" s="299">
        <v>3.0363279488270754E-2</v>
      </c>
      <c r="M220" s="299">
        <v>2.952117782575581E-2</v>
      </c>
      <c r="N220" s="299">
        <v>2.9985254191163907E-2</v>
      </c>
      <c r="O220" s="299">
        <v>3.2711944906198054E-2</v>
      </c>
      <c r="P220" s="299">
        <v>3.4234283413738749E-2</v>
      </c>
      <c r="Q220" s="299">
        <v>3.4119980655064379E-2</v>
      </c>
      <c r="R220" s="409"/>
      <c r="S220" s="409"/>
      <c r="T220" s="409"/>
      <c r="U220" s="299">
        <v>3.1152740095661238E-2</v>
      </c>
      <c r="V220" s="299">
        <v>3.6572880920654513E-2</v>
      </c>
      <c r="W220" s="299">
        <v>3.8765803027504417E-2</v>
      </c>
      <c r="X220" s="299">
        <v>4.4360266764053025E-2</v>
      </c>
      <c r="Y220" s="299">
        <v>4.4024238196666732E-2</v>
      </c>
      <c r="Z220" s="299">
        <v>4.8043701352617783E-2</v>
      </c>
      <c r="AA220" s="51">
        <v>4.2400950262474507E-2</v>
      </c>
      <c r="AB220" s="51">
        <v>3.8997328756447742E-2</v>
      </c>
      <c r="AC220" s="51">
        <v>3.8656087877696851E-2</v>
      </c>
      <c r="AD220" s="51">
        <v>3.8691643855752231E-2</v>
      </c>
      <c r="AE220" s="51">
        <v>4.3251187688989987E-2</v>
      </c>
      <c r="AF220" s="51">
        <v>4.5944156496559717E-2</v>
      </c>
      <c r="AG220" s="51">
        <v>4.7153102619917939E-2</v>
      </c>
      <c r="AH220" s="51">
        <v>4.6253756342835059E-2</v>
      </c>
      <c r="AI220" s="1">
        <v>5.0684402744273799E-2</v>
      </c>
      <c r="AJ220" s="1">
        <v>4.8612532850685092E-2</v>
      </c>
      <c r="AK220" s="1" t="s">
        <v>121</v>
      </c>
      <c r="AL220" s="1" t="s">
        <v>121</v>
      </c>
      <c r="AM220" s="1" t="s">
        <v>121</v>
      </c>
      <c r="AN220" s="1" t="s">
        <v>121</v>
      </c>
      <c r="AO220" s="1" t="s">
        <v>121</v>
      </c>
      <c r="AP220" s="1" t="s">
        <v>121</v>
      </c>
      <c r="AQ220" s="1" t="s">
        <v>121</v>
      </c>
      <c r="AR220" s="1" t="s">
        <v>121</v>
      </c>
      <c r="AS220" s="1" t="s">
        <v>121</v>
      </c>
      <c r="AT220" s="1" t="s">
        <v>121</v>
      </c>
      <c r="AU220" s="1" t="s">
        <v>121</v>
      </c>
      <c r="AV220" s="1" t="s">
        <v>121</v>
      </c>
      <c r="AW220" s="1" t="s">
        <v>121</v>
      </c>
      <c r="AX220" s="1" t="s">
        <v>121</v>
      </c>
      <c r="AY220" s="1" t="s">
        <v>121</v>
      </c>
      <c r="AZ220" s="1" t="s">
        <v>121</v>
      </c>
      <c r="BA220" s="1" t="s">
        <v>121</v>
      </c>
      <c r="BB220" s="1" t="s">
        <v>121</v>
      </c>
      <c r="BC220" s="1" t="s">
        <v>121</v>
      </c>
      <c r="BD220" s="1" t="s">
        <v>121</v>
      </c>
      <c r="BE220" s="1" t="s">
        <v>121</v>
      </c>
      <c r="BF220" s="1" t="s">
        <v>121</v>
      </c>
      <c r="BG220" s="1" t="s">
        <v>121</v>
      </c>
      <c r="BH220" s="1" t="s">
        <v>121</v>
      </c>
      <c r="BI220" s="1" t="s">
        <v>121</v>
      </c>
      <c r="BJ220" s="1" t="s">
        <v>121</v>
      </c>
      <c r="BK220" s="1" t="s">
        <v>121</v>
      </c>
      <c r="BL220" s="1" t="s">
        <v>121</v>
      </c>
      <c r="BM220" s="1" t="s">
        <v>121</v>
      </c>
      <c r="BN220" s="1" t="s">
        <v>121</v>
      </c>
      <c r="BO220" s="1" t="s">
        <v>121</v>
      </c>
      <c r="BP220" s="1" t="s">
        <v>121</v>
      </c>
      <c r="BQ220" s="1" t="s">
        <v>121</v>
      </c>
    </row>
    <row r="221" spans="1:69" x14ac:dyDescent="0.25">
      <c r="A221" s="72">
        <v>221</v>
      </c>
      <c r="B221" s="1" t="s">
        <v>121</v>
      </c>
      <c r="C221" s="105" t="s">
        <v>121</v>
      </c>
      <c r="D221" s="144" t="s">
        <v>121</v>
      </c>
      <c r="E221" s="106" t="s">
        <v>121</v>
      </c>
      <c r="F221" s="288" t="s">
        <v>121</v>
      </c>
      <c r="G221" s="288" t="s">
        <v>121</v>
      </c>
      <c r="H221" s="288" t="s">
        <v>121</v>
      </c>
      <c r="I221" s="288" t="s">
        <v>121</v>
      </c>
      <c r="J221" s="288" t="s">
        <v>121</v>
      </c>
      <c r="K221" s="288" t="s">
        <v>121</v>
      </c>
      <c r="L221" s="288" t="s">
        <v>121</v>
      </c>
      <c r="M221" s="288" t="s">
        <v>121</v>
      </c>
      <c r="N221" s="288" t="s">
        <v>121</v>
      </c>
      <c r="O221" s="288" t="s">
        <v>121</v>
      </c>
      <c r="P221" s="288" t="s">
        <v>121</v>
      </c>
      <c r="Q221" s="288" t="s">
        <v>121</v>
      </c>
      <c r="R221" s="407"/>
      <c r="S221" s="407"/>
      <c r="T221" s="407"/>
      <c r="U221" s="288" t="s">
        <v>121</v>
      </c>
      <c r="V221" s="288" t="s">
        <v>121</v>
      </c>
      <c r="W221" s="288" t="s">
        <v>121</v>
      </c>
      <c r="X221" s="288" t="s">
        <v>121</v>
      </c>
      <c r="Y221" s="288" t="s">
        <v>121</v>
      </c>
      <c r="Z221" s="288" t="s">
        <v>121</v>
      </c>
      <c r="AA221" s="39" t="s">
        <v>121</v>
      </c>
      <c r="AB221" s="39" t="s">
        <v>121</v>
      </c>
      <c r="AC221" s="39" t="s">
        <v>121</v>
      </c>
      <c r="AD221" s="39" t="s">
        <v>121</v>
      </c>
      <c r="AE221" s="39" t="s">
        <v>121</v>
      </c>
      <c r="AF221" s="1" t="s">
        <v>121</v>
      </c>
      <c r="AG221" s="1" t="s">
        <v>121</v>
      </c>
      <c r="AH221" s="39" t="s">
        <v>121</v>
      </c>
      <c r="AI221" s="1" t="s">
        <v>121</v>
      </c>
      <c r="AJ221" s="1" t="s">
        <v>121</v>
      </c>
      <c r="AK221" s="1" t="s">
        <v>121</v>
      </c>
      <c r="AL221" s="1" t="s">
        <v>121</v>
      </c>
      <c r="AM221" s="1" t="s">
        <v>121</v>
      </c>
      <c r="AN221" s="1" t="s">
        <v>121</v>
      </c>
      <c r="AO221" s="1" t="s">
        <v>121</v>
      </c>
      <c r="AP221" s="1" t="s">
        <v>121</v>
      </c>
      <c r="AQ221" s="1" t="s">
        <v>121</v>
      </c>
      <c r="AR221" s="1" t="s">
        <v>121</v>
      </c>
      <c r="AS221" s="1" t="s">
        <v>121</v>
      </c>
      <c r="AT221" s="1" t="s">
        <v>121</v>
      </c>
      <c r="AU221" s="1" t="s">
        <v>121</v>
      </c>
      <c r="AV221" s="1" t="s">
        <v>121</v>
      </c>
      <c r="AW221" s="1" t="s">
        <v>121</v>
      </c>
      <c r="AX221" s="1" t="s">
        <v>121</v>
      </c>
      <c r="AY221" s="1" t="s">
        <v>121</v>
      </c>
      <c r="AZ221" s="1" t="s">
        <v>121</v>
      </c>
      <c r="BA221" s="1" t="s">
        <v>121</v>
      </c>
      <c r="BB221" s="1" t="s">
        <v>121</v>
      </c>
      <c r="BC221" s="1" t="s">
        <v>121</v>
      </c>
      <c r="BD221" s="1" t="s">
        <v>121</v>
      </c>
      <c r="BE221" s="1" t="s">
        <v>121</v>
      </c>
      <c r="BF221" s="1" t="s">
        <v>121</v>
      </c>
      <c r="BG221" s="1" t="s">
        <v>121</v>
      </c>
      <c r="BH221" s="1" t="s">
        <v>121</v>
      </c>
      <c r="BI221" s="1" t="s">
        <v>121</v>
      </c>
      <c r="BJ221" s="1" t="s">
        <v>121</v>
      </c>
      <c r="BK221" s="1" t="s">
        <v>121</v>
      </c>
      <c r="BL221" s="1" t="s">
        <v>121</v>
      </c>
      <c r="BM221" s="1" t="s">
        <v>121</v>
      </c>
      <c r="BN221" s="1" t="s">
        <v>121</v>
      </c>
      <c r="BO221" s="1" t="s">
        <v>121</v>
      </c>
      <c r="BP221" s="1" t="s">
        <v>121</v>
      </c>
      <c r="BQ221" s="1" t="s">
        <v>121</v>
      </c>
    </row>
    <row r="222" spans="1:69" x14ac:dyDescent="0.25">
      <c r="A222" s="72">
        <v>222</v>
      </c>
      <c r="B222" s="5" t="s">
        <v>50</v>
      </c>
      <c r="C222" s="105" t="s">
        <v>121</v>
      </c>
      <c r="D222" s="144" t="s">
        <v>121</v>
      </c>
      <c r="E222" s="106" t="s">
        <v>121</v>
      </c>
      <c r="F222" s="41">
        <v>1.0163089134150225</v>
      </c>
      <c r="G222" s="41">
        <v>0.85984794147181176</v>
      </c>
      <c r="H222" s="41">
        <v>0.93551399054245354</v>
      </c>
      <c r="I222" s="41">
        <v>0.93444325902633496</v>
      </c>
      <c r="J222" s="41">
        <v>0.87020233331454666</v>
      </c>
      <c r="K222" s="41">
        <v>0.88823404962674146</v>
      </c>
      <c r="L222" s="41">
        <v>0.96565753644081376</v>
      </c>
      <c r="M222" s="41">
        <v>0.96816946398049819</v>
      </c>
      <c r="N222" s="41">
        <v>0.97126785855758313</v>
      </c>
      <c r="O222" s="41">
        <v>0.94488328973102031</v>
      </c>
      <c r="P222" s="41">
        <v>0.9357432834277144</v>
      </c>
      <c r="Q222" s="41">
        <v>0.90195746123209886</v>
      </c>
      <c r="R222" s="407"/>
      <c r="S222" s="407"/>
      <c r="T222" s="407"/>
      <c r="U222" s="41">
        <v>0.87252044544980001</v>
      </c>
      <c r="V222" s="41">
        <v>0.8716571434388023</v>
      </c>
      <c r="W222" s="41">
        <v>0.82564520166828737</v>
      </c>
      <c r="X222" s="41">
        <v>0.82780051163424129</v>
      </c>
      <c r="Y222" s="41">
        <v>0.83105475938555562</v>
      </c>
      <c r="Z222" s="41">
        <v>0.93730706891843696</v>
      </c>
      <c r="AA222" s="41">
        <v>0.88129257987874221</v>
      </c>
      <c r="AB222" s="41">
        <v>0.88628471580143098</v>
      </c>
      <c r="AC222" s="41">
        <v>0.90094334478639992</v>
      </c>
      <c r="AD222" s="41">
        <v>0.85995794923143098</v>
      </c>
      <c r="AE222" s="41">
        <v>0.95628040434176476</v>
      </c>
      <c r="AF222" s="13">
        <v>0.93749346323058969</v>
      </c>
      <c r="AG222" s="13">
        <v>0.9023051767495982</v>
      </c>
      <c r="AH222" s="41">
        <v>0.91707297512199493</v>
      </c>
      <c r="AI222" s="1">
        <v>0.86016064977193851</v>
      </c>
      <c r="AJ222" s="1">
        <v>0.89198455581438907</v>
      </c>
      <c r="AK222" s="1" t="s">
        <v>121</v>
      </c>
      <c r="AL222" s="1" t="s">
        <v>121</v>
      </c>
      <c r="AM222" s="1" t="s">
        <v>121</v>
      </c>
      <c r="AN222" s="1" t="s">
        <v>121</v>
      </c>
      <c r="AO222" s="1" t="s">
        <v>121</v>
      </c>
      <c r="AP222" s="1" t="s">
        <v>121</v>
      </c>
      <c r="AQ222" s="1" t="s">
        <v>121</v>
      </c>
      <c r="AR222" s="1" t="s">
        <v>121</v>
      </c>
      <c r="AS222" s="1" t="s">
        <v>121</v>
      </c>
      <c r="AT222" s="1" t="s">
        <v>121</v>
      </c>
      <c r="AU222" s="1" t="s">
        <v>121</v>
      </c>
      <c r="AV222" s="1" t="s">
        <v>121</v>
      </c>
      <c r="AW222" s="1" t="s">
        <v>121</v>
      </c>
      <c r="AX222" s="1" t="s">
        <v>121</v>
      </c>
      <c r="AY222" s="1" t="s">
        <v>121</v>
      </c>
      <c r="AZ222" s="1" t="s">
        <v>121</v>
      </c>
      <c r="BA222" s="1" t="s">
        <v>121</v>
      </c>
      <c r="BB222" s="1" t="s">
        <v>121</v>
      </c>
      <c r="BC222" s="1" t="s">
        <v>121</v>
      </c>
      <c r="BD222" s="1" t="s">
        <v>121</v>
      </c>
      <c r="BE222" s="1" t="s">
        <v>121</v>
      </c>
      <c r="BF222" s="1" t="s">
        <v>121</v>
      </c>
      <c r="BG222" s="1" t="s">
        <v>121</v>
      </c>
      <c r="BH222" s="1" t="s">
        <v>121</v>
      </c>
      <c r="BI222" s="1" t="s">
        <v>121</v>
      </c>
      <c r="BJ222" s="1" t="s">
        <v>121</v>
      </c>
      <c r="BK222" s="1" t="s">
        <v>121</v>
      </c>
      <c r="BL222" s="1" t="s">
        <v>121</v>
      </c>
      <c r="BM222" s="1" t="s">
        <v>121</v>
      </c>
      <c r="BN222" s="1" t="s">
        <v>121</v>
      </c>
      <c r="BO222" s="1" t="s">
        <v>121</v>
      </c>
      <c r="BP222" s="1" t="s">
        <v>121</v>
      </c>
      <c r="BQ222" s="1" t="s">
        <v>121</v>
      </c>
    </row>
    <row r="223" spans="1:69" x14ac:dyDescent="0.25">
      <c r="A223" s="72">
        <v>223</v>
      </c>
      <c r="B223" s="1" t="s">
        <v>121</v>
      </c>
      <c r="C223" s="13" t="s">
        <v>121</v>
      </c>
      <c r="D223" s="13" t="s">
        <v>121</v>
      </c>
      <c r="E223" s="1" t="s">
        <v>121</v>
      </c>
      <c r="F223" s="1" t="s">
        <v>121</v>
      </c>
      <c r="G223" s="1" t="s">
        <v>121</v>
      </c>
      <c r="H223" s="1" t="s">
        <v>121</v>
      </c>
      <c r="I223" s="1" t="s">
        <v>121</v>
      </c>
      <c r="J223" s="1" t="s">
        <v>121</v>
      </c>
      <c r="K223" s="1" t="s">
        <v>121</v>
      </c>
      <c r="L223" s="1" t="s">
        <v>121</v>
      </c>
      <c r="M223" s="1" t="s">
        <v>121</v>
      </c>
      <c r="N223" s="343" t="s">
        <v>121</v>
      </c>
      <c r="O223" s="1" t="s">
        <v>121</v>
      </c>
      <c r="P223" s="1" t="s">
        <v>121</v>
      </c>
      <c r="Q223" s="1" t="s">
        <v>121</v>
      </c>
      <c r="R223" s="1" t="s">
        <v>121</v>
      </c>
      <c r="S223" s="1" t="s">
        <v>121</v>
      </c>
      <c r="T223" s="1" t="s">
        <v>121</v>
      </c>
      <c r="U223" s="1" t="s">
        <v>121</v>
      </c>
      <c r="V223" s="1" t="s">
        <v>121</v>
      </c>
      <c r="W223" s="1" t="s">
        <v>121</v>
      </c>
      <c r="X223" s="1" t="s">
        <v>121</v>
      </c>
      <c r="Y223" s="1" t="s">
        <v>121</v>
      </c>
      <c r="Z223" s="1" t="s">
        <v>121</v>
      </c>
      <c r="AA223" s="1" t="s">
        <v>121</v>
      </c>
      <c r="AB223" s="1" t="s">
        <v>121</v>
      </c>
      <c r="AC223" s="1" t="s">
        <v>121</v>
      </c>
      <c r="AD223" s="1" t="s">
        <v>121</v>
      </c>
      <c r="AE223" s="1" t="s">
        <v>121</v>
      </c>
      <c r="AF223" s="1" t="s">
        <v>121</v>
      </c>
      <c r="AG223" s="1" t="s">
        <v>121</v>
      </c>
      <c r="AH223" s="1" t="s">
        <v>121</v>
      </c>
      <c r="AI223" s="1" t="s">
        <v>121</v>
      </c>
      <c r="AJ223" s="1" t="s">
        <v>121</v>
      </c>
      <c r="AK223" s="1" t="s">
        <v>121</v>
      </c>
      <c r="AL223" s="1" t="s">
        <v>121</v>
      </c>
      <c r="AM223" s="1" t="s">
        <v>121</v>
      </c>
      <c r="AN223" s="1" t="s">
        <v>121</v>
      </c>
      <c r="AO223" s="1" t="s">
        <v>121</v>
      </c>
      <c r="AP223" s="1" t="s">
        <v>121</v>
      </c>
      <c r="AQ223" s="1" t="s">
        <v>121</v>
      </c>
      <c r="AR223" s="1" t="s">
        <v>121</v>
      </c>
      <c r="AS223" s="1" t="s">
        <v>121</v>
      </c>
      <c r="AT223" s="1" t="s">
        <v>121</v>
      </c>
      <c r="AU223" s="1" t="s">
        <v>121</v>
      </c>
      <c r="AV223" s="1" t="s">
        <v>121</v>
      </c>
      <c r="AW223" s="1" t="s">
        <v>121</v>
      </c>
      <c r="AX223" s="1" t="s">
        <v>121</v>
      </c>
      <c r="AY223" s="1" t="s">
        <v>121</v>
      </c>
      <c r="AZ223" s="1" t="s">
        <v>121</v>
      </c>
      <c r="BA223" s="1" t="s">
        <v>121</v>
      </c>
      <c r="BB223" s="1" t="s">
        <v>121</v>
      </c>
      <c r="BC223" s="1" t="s">
        <v>121</v>
      </c>
      <c r="BD223" s="1" t="s">
        <v>121</v>
      </c>
      <c r="BE223" s="1" t="s">
        <v>121</v>
      </c>
      <c r="BF223" s="1" t="s">
        <v>121</v>
      </c>
      <c r="BG223" s="1" t="s">
        <v>121</v>
      </c>
      <c r="BH223" s="1" t="s">
        <v>121</v>
      </c>
      <c r="BI223" s="1" t="s">
        <v>121</v>
      </c>
      <c r="BJ223" s="1" t="s">
        <v>121</v>
      </c>
      <c r="BK223" s="1" t="s">
        <v>121</v>
      </c>
      <c r="BL223" s="1" t="s">
        <v>121</v>
      </c>
      <c r="BM223" s="1" t="s">
        <v>121</v>
      </c>
      <c r="BN223" s="1" t="s">
        <v>121</v>
      </c>
      <c r="BO223" s="1" t="s">
        <v>121</v>
      </c>
      <c r="BP223" s="1" t="s">
        <v>121</v>
      </c>
      <c r="BQ223" s="1" t="s">
        <v>121</v>
      </c>
    </row>
    <row r="224" spans="1:69" ht="14.45" customHeight="1" x14ac:dyDescent="0.25">
      <c r="A224" s="72">
        <v>224</v>
      </c>
      <c r="B224" s="5" t="s">
        <v>121</v>
      </c>
      <c r="C224" s="13" t="s">
        <v>121</v>
      </c>
      <c r="D224" s="13" t="s">
        <v>121</v>
      </c>
      <c r="E224" s="13" t="s">
        <v>121</v>
      </c>
      <c r="F224" s="13" t="s">
        <v>121</v>
      </c>
      <c r="G224" s="13" t="s">
        <v>121</v>
      </c>
      <c r="H224" s="13" t="s">
        <v>121</v>
      </c>
      <c r="I224" s="13" t="s">
        <v>121</v>
      </c>
      <c r="J224" s="13" t="s">
        <v>121</v>
      </c>
      <c r="K224" s="301" t="s">
        <v>121</v>
      </c>
      <c r="L224" s="301" t="s">
        <v>121</v>
      </c>
      <c r="M224" s="301" t="s">
        <v>121</v>
      </c>
      <c r="N224" s="301" t="s">
        <v>121</v>
      </c>
      <c r="O224" s="1" t="s">
        <v>121</v>
      </c>
      <c r="P224" s="1" t="s">
        <v>121</v>
      </c>
      <c r="Q224" s="1" t="s">
        <v>121</v>
      </c>
      <c r="R224" s="1" t="s">
        <v>121</v>
      </c>
      <c r="S224" s="1" t="s">
        <v>121</v>
      </c>
      <c r="T224" s="1" t="s">
        <v>121</v>
      </c>
      <c r="U224" s="1" t="s">
        <v>121</v>
      </c>
      <c r="V224" s="1" t="s">
        <v>121</v>
      </c>
      <c r="W224" s="1" t="s">
        <v>121</v>
      </c>
      <c r="X224" s="1" t="s">
        <v>121</v>
      </c>
      <c r="Y224" s="1" t="s">
        <v>121</v>
      </c>
      <c r="Z224" s="1" t="s">
        <v>121</v>
      </c>
      <c r="AA224" s="1" t="s">
        <v>121</v>
      </c>
      <c r="AB224" s="1" t="s">
        <v>121</v>
      </c>
      <c r="AC224" s="1" t="s">
        <v>121</v>
      </c>
      <c r="AD224" s="1" t="s">
        <v>121</v>
      </c>
      <c r="AE224" s="1" t="s">
        <v>121</v>
      </c>
      <c r="AF224" s="1" t="s">
        <v>121</v>
      </c>
      <c r="AG224" s="1" t="s">
        <v>121</v>
      </c>
      <c r="AH224" s="1" t="s">
        <v>121</v>
      </c>
      <c r="AI224" s="1" t="s">
        <v>121</v>
      </c>
      <c r="AJ224" s="1" t="s">
        <v>121</v>
      </c>
      <c r="AK224" s="1" t="s">
        <v>121</v>
      </c>
      <c r="AL224" s="1" t="s">
        <v>121</v>
      </c>
      <c r="AM224" s="1" t="s">
        <v>121</v>
      </c>
      <c r="AN224" s="1" t="s">
        <v>121</v>
      </c>
      <c r="AO224" s="1" t="s">
        <v>121</v>
      </c>
      <c r="AP224" s="1" t="s">
        <v>121</v>
      </c>
      <c r="AQ224" s="1" t="s">
        <v>121</v>
      </c>
      <c r="AR224" s="1" t="s">
        <v>121</v>
      </c>
      <c r="AS224" s="1" t="s">
        <v>121</v>
      </c>
      <c r="AT224" s="1" t="s">
        <v>121</v>
      </c>
      <c r="AU224" s="1" t="s">
        <v>121</v>
      </c>
      <c r="AV224" s="1" t="s">
        <v>121</v>
      </c>
      <c r="AW224" s="1" t="s">
        <v>121</v>
      </c>
      <c r="AX224" s="1" t="s">
        <v>121</v>
      </c>
      <c r="AY224" s="1" t="s">
        <v>121</v>
      </c>
      <c r="AZ224" s="1" t="s">
        <v>121</v>
      </c>
      <c r="BA224" s="1" t="s">
        <v>121</v>
      </c>
      <c r="BB224" s="1" t="s">
        <v>121</v>
      </c>
      <c r="BC224" s="1" t="s">
        <v>121</v>
      </c>
      <c r="BD224" s="1" t="s">
        <v>121</v>
      </c>
      <c r="BE224" s="1" t="s">
        <v>121</v>
      </c>
      <c r="BF224" s="1" t="s">
        <v>121</v>
      </c>
      <c r="BG224" s="1" t="s">
        <v>121</v>
      </c>
      <c r="BH224" s="1" t="s">
        <v>121</v>
      </c>
      <c r="BI224" s="1" t="s">
        <v>121</v>
      </c>
      <c r="BJ224" s="1" t="s">
        <v>121</v>
      </c>
      <c r="BK224" s="1" t="s">
        <v>121</v>
      </c>
      <c r="BL224" s="1" t="s">
        <v>121</v>
      </c>
      <c r="BM224" s="1" t="s">
        <v>121</v>
      </c>
      <c r="BN224" s="1" t="s">
        <v>121</v>
      </c>
      <c r="BO224" s="1" t="s">
        <v>121</v>
      </c>
      <c r="BP224" s="1" t="s">
        <v>121</v>
      </c>
      <c r="BQ224" s="1" t="s">
        <v>121</v>
      </c>
    </row>
    <row r="225" spans="1:69" x14ac:dyDescent="0.25">
      <c r="A225" s="72">
        <v>225</v>
      </c>
      <c r="B225" s="426" t="s">
        <v>369</v>
      </c>
      <c r="C225" s="436" t="s">
        <v>64</v>
      </c>
      <c r="D225" s="438" t="s">
        <v>265</v>
      </c>
      <c r="E225" s="434" t="s">
        <v>79</v>
      </c>
      <c r="F225" s="416">
        <v>45930</v>
      </c>
      <c r="G225" s="416">
        <v>45838</v>
      </c>
      <c r="H225" s="416">
        <v>45747</v>
      </c>
      <c r="I225" s="416">
        <v>45657</v>
      </c>
      <c r="J225" s="416">
        <v>45565</v>
      </c>
      <c r="K225" s="416">
        <v>45473</v>
      </c>
      <c r="L225" s="416">
        <v>45382</v>
      </c>
      <c r="M225" s="416">
        <v>45291</v>
      </c>
      <c r="N225" s="416">
        <v>45199</v>
      </c>
      <c r="O225" s="416">
        <v>45107</v>
      </c>
      <c r="P225" s="416">
        <v>45016</v>
      </c>
      <c r="Q225" s="416">
        <v>44926</v>
      </c>
      <c r="R225" s="416">
        <v>44834</v>
      </c>
      <c r="S225" s="416">
        <v>44742</v>
      </c>
      <c r="T225" s="449">
        <v>44651</v>
      </c>
      <c r="U225" s="449">
        <v>44561</v>
      </c>
      <c r="V225" s="449">
        <v>44469</v>
      </c>
      <c r="W225" s="449">
        <v>44377</v>
      </c>
      <c r="X225" s="416">
        <v>44286</v>
      </c>
      <c r="Y225" s="429">
        <v>44196</v>
      </c>
      <c r="Z225" s="429">
        <v>44104</v>
      </c>
      <c r="AA225" s="429">
        <v>44012</v>
      </c>
      <c r="AB225" s="416">
        <v>43921</v>
      </c>
      <c r="AC225" s="416">
        <v>43830</v>
      </c>
      <c r="AD225" s="416">
        <v>43738</v>
      </c>
      <c r="AE225" s="416">
        <v>43646</v>
      </c>
      <c r="AF225" s="416">
        <v>43555</v>
      </c>
      <c r="AG225" s="1">
        <v>43465</v>
      </c>
      <c r="AH225" s="1">
        <v>43373</v>
      </c>
      <c r="AI225" s="1">
        <v>43281</v>
      </c>
      <c r="AJ225" s="1">
        <v>43190</v>
      </c>
      <c r="AK225" s="1" t="s">
        <v>121</v>
      </c>
      <c r="AL225" s="1" t="s">
        <v>121</v>
      </c>
      <c r="AM225" s="1" t="s">
        <v>121</v>
      </c>
      <c r="AN225" s="1" t="s">
        <v>121</v>
      </c>
      <c r="AO225" s="1" t="s">
        <v>121</v>
      </c>
      <c r="AP225" s="1" t="s">
        <v>121</v>
      </c>
      <c r="AQ225" s="1" t="s">
        <v>121</v>
      </c>
      <c r="AR225" s="1" t="s">
        <v>121</v>
      </c>
      <c r="AS225" s="1" t="s">
        <v>121</v>
      </c>
      <c r="AT225" s="1" t="s">
        <v>121</v>
      </c>
      <c r="AU225" s="1" t="s">
        <v>121</v>
      </c>
      <c r="AV225" s="1" t="s">
        <v>121</v>
      </c>
      <c r="AW225" s="1" t="s">
        <v>121</v>
      </c>
      <c r="AX225" s="1" t="s">
        <v>121</v>
      </c>
      <c r="AY225" s="1" t="s">
        <v>121</v>
      </c>
      <c r="AZ225" s="1" t="s">
        <v>121</v>
      </c>
      <c r="BA225" s="1" t="s">
        <v>121</v>
      </c>
      <c r="BB225" s="1" t="s">
        <v>121</v>
      </c>
      <c r="BC225" s="1" t="s">
        <v>121</v>
      </c>
      <c r="BD225" s="1" t="s">
        <v>121</v>
      </c>
      <c r="BE225" s="1" t="s">
        <v>121</v>
      </c>
      <c r="BF225" s="1" t="s">
        <v>121</v>
      </c>
      <c r="BG225" s="1" t="s">
        <v>121</v>
      </c>
      <c r="BH225" s="1" t="s">
        <v>121</v>
      </c>
      <c r="BI225" s="1" t="s">
        <v>121</v>
      </c>
      <c r="BJ225" s="1" t="s">
        <v>121</v>
      </c>
      <c r="BK225" s="1" t="s">
        <v>121</v>
      </c>
      <c r="BL225" s="1" t="s">
        <v>121</v>
      </c>
      <c r="BM225" s="1" t="s">
        <v>121</v>
      </c>
      <c r="BN225" s="1" t="s">
        <v>121</v>
      </c>
      <c r="BO225" s="1" t="s">
        <v>121</v>
      </c>
      <c r="BP225" s="1" t="s">
        <v>121</v>
      </c>
      <c r="BQ225" s="1" t="s">
        <v>121</v>
      </c>
    </row>
    <row r="226" spans="1:69" x14ac:dyDescent="0.25">
      <c r="A226" s="72">
        <v>226</v>
      </c>
      <c r="B226" s="427"/>
      <c r="C226" s="437"/>
      <c r="D226" s="451"/>
      <c r="E226" s="444"/>
      <c r="F226" s="417"/>
      <c r="G226" s="417"/>
      <c r="H226" s="417"/>
      <c r="I226" s="417"/>
      <c r="J226" s="417"/>
      <c r="K226" s="417"/>
      <c r="L226" s="417"/>
      <c r="M226" s="417"/>
      <c r="N226" s="417"/>
      <c r="O226" s="417"/>
      <c r="P226" s="417"/>
      <c r="Q226" s="417"/>
      <c r="R226" s="417"/>
      <c r="S226" s="417"/>
      <c r="T226" s="450"/>
      <c r="U226" s="450"/>
      <c r="V226" s="450"/>
      <c r="W226" s="450"/>
      <c r="X226" s="417"/>
      <c r="Y226" s="430"/>
      <c r="Z226" s="430"/>
      <c r="AA226" s="430"/>
      <c r="AB226" s="417"/>
      <c r="AC226" s="417"/>
      <c r="AD226" s="417"/>
      <c r="AE226" s="417"/>
      <c r="AF226" s="417"/>
    </row>
    <row r="227" spans="1:69" x14ac:dyDescent="0.25">
      <c r="A227" s="72">
        <v>227</v>
      </c>
      <c r="B227" s="8" t="s">
        <v>121</v>
      </c>
      <c r="C227" s="87" t="s">
        <v>121</v>
      </c>
      <c r="D227" s="56" t="s">
        <v>121</v>
      </c>
      <c r="E227" s="88" t="s">
        <v>121</v>
      </c>
      <c r="F227" s="56"/>
      <c r="G227" s="56"/>
      <c r="H227" s="56"/>
      <c r="I227" s="56"/>
      <c r="J227" s="56"/>
      <c r="K227" s="286"/>
      <c r="L227" s="286"/>
      <c r="M227" s="286"/>
      <c r="N227" s="286"/>
      <c r="O227" s="286"/>
      <c r="P227" s="286" t="s">
        <v>121</v>
      </c>
      <c r="Q227" s="286" t="s">
        <v>121</v>
      </c>
      <c r="R227" s="286" t="s">
        <v>121</v>
      </c>
      <c r="S227" s="286" t="s">
        <v>121</v>
      </c>
      <c r="T227" s="286" t="s">
        <v>121</v>
      </c>
      <c r="U227" s="286" t="s">
        <v>121</v>
      </c>
      <c r="V227" s="286" t="s">
        <v>121</v>
      </c>
      <c r="W227" s="286" t="s">
        <v>121</v>
      </c>
      <c r="X227" s="286" t="s">
        <v>121</v>
      </c>
      <c r="Y227" s="286" t="s">
        <v>121</v>
      </c>
      <c r="Z227" s="286" t="s">
        <v>121</v>
      </c>
      <c r="AA227" s="56" t="s">
        <v>121</v>
      </c>
      <c r="AB227" s="56" t="s">
        <v>121</v>
      </c>
      <c r="AC227" s="56" t="s">
        <v>121</v>
      </c>
      <c r="AD227" s="56" t="s">
        <v>121</v>
      </c>
      <c r="AE227" s="56" t="s">
        <v>121</v>
      </c>
      <c r="AF227" s="56" t="s">
        <v>121</v>
      </c>
      <c r="AG227" s="56" t="s">
        <v>121</v>
      </c>
      <c r="AH227" s="56" t="s">
        <v>121</v>
      </c>
      <c r="AI227" s="1" t="s">
        <v>121</v>
      </c>
      <c r="AJ227" s="1" t="s">
        <v>121</v>
      </c>
      <c r="AK227" s="1" t="s">
        <v>121</v>
      </c>
      <c r="AL227" s="1" t="s">
        <v>121</v>
      </c>
      <c r="AM227" s="1" t="s">
        <v>121</v>
      </c>
      <c r="AN227" s="1" t="s">
        <v>121</v>
      </c>
      <c r="AO227" s="1" t="s">
        <v>121</v>
      </c>
      <c r="AP227" s="1" t="s">
        <v>121</v>
      </c>
      <c r="AQ227" s="1" t="s">
        <v>121</v>
      </c>
      <c r="AR227" s="1" t="s">
        <v>121</v>
      </c>
      <c r="AS227" s="1" t="s">
        <v>121</v>
      </c>
      <c r="AT227" s="1" t="s">
        <v>121</v>
      </c>
      <c r="AU227" s="1" t="s">
        <v>121</v>
      </c>
      <c r="AV227" s="1" t="s">
        <v>121</v>
      </c>
      <c r="AW227" s="1" t="s">
        <v>121</v>
      </c>
      <c r="AX227" s="1" t="s">
        <v>121</v>
      </c>
      <c r="AY227" s="1" t="s">
        <v>121</v>
      </c>
      <c r="AZ227" s="1" t="s">
        <v>121</v>
      </c>
      <c r="BA227" s="1" t="s">
        <v>121</v>
      </c>
      <c r="BB227" s="1" t="s">
        <v>121</v>
      </c>
      <c r="BC227" s="1" t="s">
        <v>121</v>
      </c>
      <c r="BD227" s="1" t="s">
        <v>121</v>
      </c>
      <c r="BE227" s="1" t="s">
        <v>121</v>
      </c>
      <c r="BF227" s="1" t="s">
        <v>121</v>
      </c>
      <c r="BG227" s="1" t="s">
        <v>121</v>
      </c>
      <c r="BH227" s="1" t="s">
        <v>121</v>
      </c>
      <c r="BI227" s="1" t="s">
        <v>121</v>
      </c>
      <c r="BJ227" s="1" t="s">
        <v>121</v>
      </c>
      <c r="BK227" s="1" t="s">
        <v>121</v>
      </c>
      <c r="BL227" s="1" t="s">
        <v>121</v>
      </c>
      <c r="BM227" s="1" t="s">
        <v>121</v>
      </c>
      <c r="BN227" s="1" t="s">
        <v>121</v>
      </c>
      <c r="BO227" s="1" t="s">
        <v>121</v>
      </c>
      <c r="BP227" s="1" t="s">
        <v>121</v>
      </c>
      <c r="BQ227" s="1" t="s">
        <v>121</v>
      </c>
    </row>
    <row r="228" spans="1:69" x14ac:dyDescent="0.25">
      <c r="A228" s="72">
        <v>228</v>
      </c>
      <c r="B228" s="184" t="s">
        <v>6</v>
      </c>
      <c r="C228" s="150" t="s">
        <v>121</v>
      </c>
      <c r="D228" s="164" t="s">
        <v>121</v>
      </c>
      <c r="E228" s="151" t="s">
        <v>121</v>
      </c>
      <c r="F228" s="335"/>
      <c r="G228" s="335"/>
      <c r="H228" s="335"/>
      <c r="I228" s="335"/>
      <c r="J228" s="335"/>
      <c r="K228" s="335"/>
      <c r="L228" s="335"/>
      <c r="M228" s="335"/>
      <c r="N228" s="335"/>
      <c r="O228" s="335"/>
      <c r="P228" s="335"/>
      <c r="Q228" s="335"/>
      <c r="R228" s="335"/>
      <c r="S228" s="335"/>
      <c r="T228" s="335"/>
      <c r="U228" s="290">
        <v>0.26321330027981338</v>
      </c>
      <c r="V228" s="290">
        <v>0.25238330954435384</v>
      </c>
      <c r="W228" s="290">
        <v>0.2517877417943537</v>
      </c>
      <c r="X228" s="290">
        <v>0.24644431772915248</v>
      </c>
      <c r="Y228" s="290">
        <v>0.2510132278068653</v>
      </c>
      <c r="Z228" s="290">
        <v>0.23796155123534982</v>
      </c>
      <c r="AA228" s="127">
        <v>0.25244684337337014</v>
      </c>
      <c r="AB228" s="127">
        <v>0.24137801018121582</v>
      </c>
      <c r="AC228" s="127">
        <v>0.25646136891570182</v>
      </c>
      <c r="AD228" s="127">
        <v>0.26159531560925803</v>
      </c>
      <c r="AE228" s="127">
        <v>0.25343353728698786</v>
      </c>
      <c r="AF228" s="127">
        <v>0.25043543349386971</v>
      </c>
      <c r="AG228" s="127">
        <v>0.23911585370419308</v>
      </c>
      <c r="AH228" s="127">
        <v>0.22778172202014318</v>
      </c>
      <c r="AI228" s="1">
        <v>0.23086668836623564</v>
      </c>
      <c r="AJ228" s="1">
        <v>0.22467335832714347</v>
      </c>
      <c r="AK228" s="1" t="s">
        <v>121</v>
      </c>
      <c r="AL228" s="1" t="s">
        <v>121</v>
      </c>
      <c r="AM228" s="1" t="s">
        <v>121</v>
      </c>
      <c r="AN228" s="1" t="s">
        <v>121</v>
      </c>
      <c r="AO228" s="1" t="s">
        <v>121</v>
      </c>
      <c r="AP228" s="1" t="s">
        <v>121</v>
      </c>
      <c r="AQ228" s="1" t="s">
        <v>121</v>
      </c>
      <c r="AR228" s="1" t="s">
        <v>121</v>
      </c>
      <c r="AS228" s="1" t="s">
        <v>121</v>
      </c>
      <c r="AT228" s="1" t="s">
        <v>121</v>
      </c>
      <c r="AU228" s="1" t="s">
        <v>121</v>
      </c>
      <c r="AV228" s="1" t="s">
        <v>121</v>
      </c>
      <c r="AW228" s="1" t="s">
        <v>121</v>
      </c>
      <c r="AX228" s="1" t="s">
        <v>121</v>
      </c>
      <c r="AY228" s="1" t="s">
        <v>121</v>
      </c>
      <c r="AZ228" s="1" t="s">
        <v>121</v>
      </c>
      <c r="BA228" s="1" t="s">
        <v>121</v>
      </c>
      <c r="BB228" s="1" t="s">
        <v>121</v>
      </c>
      <c r="BC228" s="1" t="s">
        <v>121</v>
      </c>
      <c r="BD228" s="1" t="s">
        <v>121</v>
      </c>
      <c r="BE228" s="1" t="s">
        <v>121</v>
      </c>
      <c r="BF228" s="1" t="s">
        <v>121</v>
      </c>
      <c r="BG228" s="1" t="s">
        <v>121</v>
      </c>
      <c r="BH228" s="1" t="s">
        <v>121</v>
      </c>
      <c r="BI228" s="1" t="s">
        <v>121</v>
      </c>
      <c r="BJ228" s="1" t="s">
        <v>121</v>
      </c>
      <c r="BK228" s="1" t="s">
        <v>121</v>
      </c>
      <c r="BL228" s="1" t="s">
        <v>121</v>
      </c>
      <c r="BM228" s="1" t="s">
        <v>121</v>
      </c>
      <c r="BN228" s="1" t="s">
        <v>121</v>
      </c>
      <c r="BO228" s="1" t="s">
        <v>121</v>
      </c>
      <c r="BP228" s="1" t="s">
        <v>121</v>
      </c>
      <c r="BQ228" s="1" t="s">
        <v>121</v>
      </c>
    </row>
    <row r="229" spans="1:69" x14ac:dyDescent="0.25">
      <c r="A229" s="72">
        <v>229</v>
      </c>
      <c r="B229" s="183" t="s">
        <v>17</v>
      </c>
      <c r="C229" s="150" t="s">
        <v>121</v>
      </c>
      <c r="D229" s="164" t="s">
        <v>121</v>
      </c>
      <c r="E229" s="151" t="s">
        <v>121</v>
      </c>
      <c r="F229" s="335"/>
      <c r="G229" s="335"/>
      <c r="H229" s="335"/>
      <c r="I229" s="335"/>
      <c r="J229" s="335"/>
      <c r="K229" s="335"/>
      <c r="L229" s="335"/>
      <c r="M229" s="335"/>
      <c r="N229" s="335"/>
      <c r="O229" s="335"/>
      <c r="P229" s="335"/>
      <c r="Q229" s="335"/>
      <c r="R229" s="335"/>
      <c r="S229" s="335"/>
      <c r="T229" s="335"/>
      <c r="U229" s="290">
        <v>0.14371859883171115</v>
      </c>
      <c r="V229" s="290">
        <v>0.14013242044612331</v>
      </c>
      <c r="W229" s="290">
        <v>9.8089622565592477E-2</v>
      </c>
      <c r="X229" s="290">
        <v>0.14577602822364874</v>
      </c>
      <c r="Y229" s="290">
        <v>0.10273536229239864</v>
      </c>
      <c r="Z229" s="290">
        <v>0.11843393102572458</v>
      </c>
      <c r="AA229" s="127">
        <v>0.12210412992739769</v>
      </c>
      <c r="AB229" s="127">
        <v>0.14225649090392431</v>
      </c>
      <c r="AC229" s="127">
        <v>0.13414632338852225</v>
      </c>
      <c r="AD229" s="127">
        <v>0.14724299693511134</v>
      </c>
      <c r="AE229" s="127">
        <v>0.11316924055439642</v>
      </c>
      <c r="AF229" s="127">
        <v>9.5498960703036068E-2</v>
      </c>
      <c r="AG229" s="127">
        <v>0.10146305090557771</v>
      </c>
      <c r="AH229" s="127">
        <v>0.12169080343209199</v>
      </c>
      <c r="AI229" s="1">
        <v>0.10517895591053233</v>
      </c>
      <c r="AJ229" s="1">
        <v>0.11817907889209024</v>
      </c>
      <c r="AK229" s="1" t="s">
        <v>121</v>
      </c>
      <c r="AL229" s="1" t="s">
        <v>121</v>
      </c>
      <c r="AM229" s="1" t="s">
        <v>121</v>
      </c>
      <c r="AN229" s="1" t="s">
        <v>121</v>
      </c>
      <c r="AO229" s="1" t="s">
        <v>121</v>
      </c>
      <c r="AP229" s="1" t="s">
        <v>121</v>
      </c>
      <c r="AQ229" s="1" t="s">
        <v>121</v>
      </c>
      <c r="AR229" s="1" t="s">
        <v>121</v>
      </c>
      <c r="AS229" s="1" t="s">
        <v>121</v>
      </c>
      <c r="AT229" s="1" t="s">
        <v>121</v>
      </c>
      <c r="AU229" s="1" t="s">
        <v>121</v>
      </c>
      <c r="AV229" s="1" t="s">
        <v>121</v>
      </c>
      <c r="AW229" s="1" t="s">
        <v>121</v>
      </c>
      <c r="AX229" s="1" t="s">
        <v>121</v>
      </c>
      <c r="AY229" s="1" t="s">
        <v>121</v>
      </c>
      <c r="AZ229" s="1" t="s">
        <v>121</v>
      </c>
      <c r="BA229" s="1" t="s">
        <v>121</v>
      </c>
      <c r="BB229" s="1" t="s">
        <v>121</v>
      </c>
      <c r="BC229" s="1" t="s">
        <v>121</v>
      </c>
      <c r="BD229" s="1" t="s">
        <v>121</v>
      </c>
      <c r="BE229" s="1" t="s">
        <v>121</v>
      </c>
      <c r="BF229" s="1" t="s">
        <v>121</v>
      </c>
      <c r="BG229" s="1" t="s">
        <v>121</v>
      </c>
      <c r="BH229" s="1" t="s">
        <v>121</v>
      </c>
      <c r="BI229" s="1" t="s">
        <v>121</v>
      </c>
      <c r="BJ229" s="1" t="s">
        <v>121</v>
      </c>
      <c r="BK229" s="1" t="s">
        <v>121</v>
      </c>
      <c r="BL229" s="1" t="s">
        <v>121</v>
      </c>
      <c r="BM229" s="1" t="s">
        <v>121</v>
      </c>
      <c r="BN229" s="1" t="s">
        <v>121</v>
      </c>
      <c r="BO229" s="1" t="s">
        <v>121</v>
      </c>
      <c r="BP229" s="1" t="s">
        <v>121</v>
      </c>
      <c r="BQ229" s="1" t="s">
        <v>121</v>
      </c>
    </row>
    <row r="230" spans="1:69" x14ac:dyDescent="0.25">
      <c r="A230" s="72">
        <v>230</v>
      </c>
      <c r="B230" s="184" t="s">
        <v>18</v>
      </c>
      <c r="C230" s="150" t="s">
        <v>121</v>
      </c>
      <c r="D230" s="164" t="s">
        <v>121</v>
      </c>
      <c r="E230" s="151" t="s">
        <v>121</v>
      </c>
      <c r="F230" s="335"/>
      <c r="G230" s="335"/>
      <c r="H230" s="335"/>
      <c r="I230" s="335"/>
      <c r="J230" s="335"/>
      <c r="K230" s="335"/>
      <c r="L230" s="335"/>
      <c r="M230" s="335"/>
      <c r="N230" s="335"/>
      <c r="O230" s="335"/>
      <c r="P230" s="335"/>
      <c r="Q230" s="335"/>
      <c r="R230" s="335"/>
      <c r="S230" s="335"/>
      <c r="T230" s="335"/>
      <c r="U230" s="290">
        <v>7.290130255256716E-2</v>
      </c>
      <c r="V230" s="290">
        <v>7.2139196035991171E-2</v>
      </c>
      <c r="W230" s="290">
        <v>4.877160573175459E-2</v>
      </c>
      <c r="X230" s="290">
        <v>7.4898685895077949E-2</v>
      </c>
      <c r="Y230" s="290">
        <v>5.6990824366238403E-2</v>
      </c>
      <c r="Z230" s="290">
        <v>6.0224721396004724E-2</v>
      </c>
      <c r="AA230" s="127">
        <v>6.3860680988944485E-2</v>
      </c>
      <c r="AB230" s="127">
        <v>7.5703170696670818E-2</v>
      </c>
      <c r="AC230" s="127">
        <v>7.1240657457000117E-2</v>
      </c>
      <c r="AD230" s="127">
        <v>6.129525506937223E-2</v>
      </c>
      <c r="AE230" s="127">
        <v>6.522256046795101E-2</v>
      </c>
      <c r="AF230" s="127">
        <v>6.6067020978242172E-2</v>
      </c>
      <c r="AG230" s="127">
        <v>8.3311511185508849E-2</v>
      </c>
      <c r="AH230" s="127">
        <v>9.3883493856681016E-2</v>
      </c>
      <c r="AI230" s="1">
        <v>6.8695793778552325E-2</v>
      </c>
      <c r="AJ230" s="1">
        <v>5.3208058481227359E-2</v>
      </c>
      <c r="AK230" s="1" t="s">
        <v>121</v>
      </c>
      <c r="AL230" s="1" t="s">
        <v>121</v>
      </c>
      <c r="AM230" s="1" t="s">
        <v>121</v>
      </c>
      <c r="AN230" s="1" t="s">
        <v>121</v>
      </c>
      <c r="AO230" s="1" t="s">
        <v>121</v>
      </c>
      <c r="AP230" s="1" t="s">
        <v>121</v>
      </c>
      <c r="AQ230" s="1" t="s">
        <v>121</v>
      </c>
      <c r="AR230" s="1" t="s">
        <v>121</v>
      </c>
      <c r="AS230" s="1" t="s">
        <v>121</v>
      </c>
      <c r="AT230" s="1" t="s">
        <v>121</v>
      </c>
      <c r="AU230" s="1" t="s">
        <v>121</v>
      </c>
      <c r="AV230" s="1" t="s">
        <v>121</v>
      </c>
      <c r="AW230" s="1" t="s">
        <v>121</v>
      </c>
      <c r="AX230" s="1" t="s">
        <v>121</v>
      </c>
      <c r="AY230" s="1" t="s">
        <v>121</v>
      </c>
      <c r="AZ230" s="1" t="s">
        <v>121</v>
      </c>
      <c r="BA230" s="1" t="s">
        <v>121</v>
      </c>
      <c r="BB230" s="1" t="s">
        <v>121</v>
      </c>
      <c r="BC230" s="1" t="s">
        <v>121</v>
      </c>
      <c r="BD230" s="1" t="s">
        <v>121</v>
      </c>
      <c r="BE230" s="1" t="s">
        <v>121</v>
      </c>
      <c r="BF230" s="1" t="s">
        <v>121</v>
      </c>
      <c r="BG230" s="1" t="s">
        <v>121</v>
      </c>
      <c r="BH230" s="1" t="s">
        <v>121</v>
      </c>
      <c r="BI230" s="1" t="s">
        <v>121</v>
      </c>
      <c r="BJ230" s="1" t="s">
        <v>121</v>
      </c>
      <c r="BK230" s="1" t="s">
        <v>121</v>
      </c>
      <c r="BL230" s="1" t="s">
        <v>121</v>
      </c>
      <c r="BM230" s="1" t="s">
        <v>121</v>
      </c>
      <c r="BN230" s="1" t="s">
        <v>121</v>
      </c>
      <c r="BO230" s="1" t="s">
        <v>121</v>
      </c>
      <c r="BP230" s="1" t="s">
        <v>121</v>
      </c>
      <c r="BQ230" s="1" t="s">
        <v>121</v>
      </c>
    </row>
    <row r="231" spans="1:69" x14ac:dyDescent="0.25">
      <c r="A231" s="72">
        <v>231</v>
      </c>
      <c r="B231" s="184" t="s">
        <v>24</v>
      </c>
      <c r="C231" s="150" t="s">
        <v>121</v>
      </c>
      <c r="D231" s="164" t="s">
        <v>121</v>
      </c>
      <c r="E231" s="151" t="s">
        <v>121</v>
      </c>
      <c r="F231" s="335"/>
      <c r="G231" s="335"/>
      <c r="H231" s="335"/>
      <c r="I231" s="335"/>
      <c r="J231" s="335"/>
      <c r="K231" s="335"/>
      <c r="L231" s="335"/>
      <c r="M231" s="335"/>
      <c r="N231" s="335"/>
      <c r="O231" s="335"/>
      <c r="P231" s="335"/>
      <c r="Q231" s="335"/>
      <c r="R231" s="335"/>
      <c r="S231" s="335"/>
      <c r="T231" s="335"/>
      <c r="U231" s="290">
        <v>4.9029604175017609E-2</v>
      </c>
      <c r="V231" s="290">
        <v>3.9959723943305124E-2</v>
      </c>
      <c r="W231" s="290">
        <v>4.3951950538813032E-2</v>
      </c>
      <c r="X231" s="290">
        <v>4.1795801626550923E-2</v>
      </c>
      <c r="Y231" s="290">
        <v>2.6263287857804862E-2</v>
      </c>
      <c r="Z231" s="290">
        <v>2.6363279603188339E-2</v>
      </c>
      <c r="AA231" s="127">
        <v>3.2521389721532006E-2</v>
      </c>
      <c r="AB231" s="127">
        <v>2.9647928947233108E-2</v>
      </c>
      <c r="AC231" s="127">
        <v>2.1350071734013681E-2</v>
      </c>
      <c r="AD231" s="127">
        <v>2.3922168060618781E-2</v>
      </c>
      <c r="AE231" s="127">
        <v>3.0595051914822754E-2</v>
      </c>
      <c r="AF231" s="127">
        <v>3.2298339926559401E-2</v>
      </c>
      <c r="AG231" s="127">
        <v>3.2358931731959938E-2</v>
      </c>
      <c r="AH231" s="127">
        <v>3.326181779526359E-2</v>
      </c>
      <c r="AI231" s="1">
        <v>3.2484307141059147E-2</v>
      </c>
      <c r="AJ231" s="1">
        <v>3.505310853269842E-2</v>
      </c>
      <c r="AK231" s="1" t="s">
        <v>121</v>
      </c>
      <c r="AL231" s="1" t="s">
        <v>121</v>
      </c>
      <c r="AM231" s="1" t="s">
        <v>121</v>
      </c>
      <c r="AN231" s="1" t="s">
        <v>121</v>
      </c>
      <c r="AO231" s="1" t="s">
        <v>121</v>
      </c>
      <c r="AP231" s="1" t="s">
        <v>121</v>
      </c>
      <c r="AQ231" s="1" t="s">
        <v>121</v>
      </c>
      <c r="AR231" s="1" t="s">
        <v>121</v>
      </c>
      <c r="AS231" s="1" t="s">
        <v>121</v>
      </c>
      <c r="AT231" s="1" t="s">
        <v>121</v>
      </c>
      <c r="AU231" s="1" t="s">
        <v>121</v>
      </c>
      <c r="AV231" s="1" t="s">
        <v>121</v>
      </c>
      <c r="AW231" s="1" t="s">
        <v>121</v>
      </c>
      <c r="AX231" s="1" t="s">
        <v>121</v>
      </c>
      <c r="AY231" s="1" t="s">
        <v>121</v>
      </c>
      <c r="AZ231" s="1" t="s">
        <v>121</v>
      </c>
      <c r="BA231" s="1" t="s">
        <v>121</v>
      </c>
      <c r="BB231" s="1" t="s">
        <v>121</v>
      </c>
      <c r="BC231" s="1" t="s">
        <v>121</v>
      </c>
      <c r="BD231" s="1" t="s">
        <v>121</v>
      </c>
      <c r="BE231" s="1" t="s">
        <v>121</v>
      </c>
      <c r="BF231" s="1" t="s">
        <v>121</v>
      </c>
      <c r="BG231" s="1" t="s">
        <v>121</v>
      </c>
      <c r="BH231" s="1" t="s">
        <v>121</v>
      </c>
      <c r="BI231" s="1" t="s">
        <v>121</v>
      </c>
      <c r="BJ231" s="1" t="s">
        <v>121</v>
      </c>
      <c r="BK231" s="1" t="s">
        <v>121</v>
      </c>
      <c r="BL231" s="1" t="s">
        <v>121</v>
      </c>
      <c r="BM231" s="1" t="s">
        <v>121</v>
      </c>
      <c r="BN231" s="1" t="s">
        <v>121</v>
      </c>
      <c r="BO231" s="1" t="s">
        <v>121</v>
      </c>
      <c r="BP231" s="1" t="s">
        <v>121</v>
      </c>
      <c r="BQ231" s="1" t="s">
        <v>121</v>
      </c>
    </row>
    <row r="232" spans="1:69" x14ac:dyDescent="0.25">
      <c r="A232" s="72">
        <v>232</v>
      </c>
      <c r="B232" s="184" t="s">
        <v>23</v>
      </c>
      <c r="C232" s="150" t="s">
        <v>121</v>
      </c>
      <c r="D232" s="164" t="s">
        <v>121</v>
      </c>
      <c r="E232" s="151" t="s">
        <v>121</v>
      </c>
      <c r="F232" s="335"/>
      <c r="G232" s="335"/>
      <c r="H232" s="335"/>
      <c r="I232" s="335"/>
      <c r="J232" s="335"/>
      <c r="K232" s="335"/>
      <c r="L232" s="335"/>
      <c r="M232" s="335"/>
      <c r="N232" s="335"/>
      <c r="O232" s="335"/>
      <c r="P232" s="335"/>
      <c r="Q232" s="335"/>
      <c r="R232" s="335"/>
      <c r="S232" s="335"/>
      <c r="T232" s="335"/>
      <c r="U232" s="290">
        <v>7.1813571920593719E-2</v>
      </c>
      <c r="V232" s="290">
        <v>8.2356313684164115E-2</v>
      </c>
      <c r="W232" s="290">
        <v>7.4250940413806726E-2</v>
      </c>
      <c r="X232" s="290">
        <v>5.6190343618960692E-2</v>
      </c>
      <c r="Y232" s="290">
        <v>6.971601468192154E-2</v>
      </c>
      <c r="Z232" s="290">
        <v>8.0330474300503024E-2</v>
      </c>
      <c r="AA232" s="127">
        <v>6.3972231276666736E-2</v>
      </c>
      <c r="AB232" s="127">
        <v>5.6819268346162521E-2</v>
      </c>
      <c r="AC232" s="127">
        <v>6.9834817906962623E-2</v>
      </c>
      <c r="AD232" s="127">
        <v>7.1654379539154336E-2</v>
      </c>
      <c r="AE232" s="127">
        <v>7.9745026592029436E-2</v>
      </c>
      <c r="AF232" s="127">
        <v>0.10099892827182694</v>
      </c>
      <c r="AG232" s="127">
        <v>7.0049203767262411E-2</v>
      </c>
      <c r="AH232" s="127">
        <v>5.7843737222585033E-2</v>
      </c>
      <c r="AI232" s="1">
        <v>5.8348198349155424E-2</v>
      </c>
      <c r="AJ232" s="1">
        <v>6.3664416990854011E-2</v>
      </c>
      <c r="AK232" s="1" t="s">
        <v>121</v>
      </c>
      <c r="AL232" s="1" t="s">
        <v>121</v>
      </c>
      <c r="AM232" s="1" t="s">
        <v>121</v>
      </c>
      <c r="AN232" s="1" t="s">
        <v>121</v>
      </c>
      <c r="AO232" s="1" t="s">
        <v>121</v>
      </c>
      <c r="AP232" s="1" t="s">
        <v>121</v>
      </c>
      <c r="AQ232" s="1" t="s">
        <v>121</v>
      </c>
      <c r="AR232" s="1" t="s">
        <v>121</v>
      </c>
      <c r="AS232" s="1" t="s">
        <v>121</v>
      </c>
      <c r="AT232" s="1" t="s">
        <v>121</v>
      </c>
      <c r="AU232" s="1" t="s">
        <v>121</v>
      </c>
      <c r="AV232" s="1" t="s">
        <v>121</v>
      </c>
      <c r="AW232" s="1" t="s">
        <v>121</v>
      </c>
      <c r="AX232" s="1" t="s">
        <v>121</v>
      </c>
      <c r="AY232" s="1" t="s">
        <v>121</v>
      </c>
      <c r="AZ232" s="1" t="s">
        <v>121</v>
      </c>
      <c r="BA232" s="1" t="s">
        <v>121</v>
      </c>
      <c r="BB232" s="1" t="s">
        <v>121</v>
      </c>
      <c r="BC232" s="1" t="s">
        <v>121</v>
      </c>
      <c r="BD232" s="1" t="s">
        <v>121</v>
      </c>
      <c r="BE232" s="1" t="s">
        <v>121</v>
      </c>
      <c r="BF232" s="1" t="s">
        <v>121</v>
      </c>
      <c r="BG232" s="1" t="s">
        <v>121</v>
      </c>
      <c r="BH232" s="1" t="s">
        <v>121</v>
      </c>
      <c r="BI232" s="1" t="s">
        <v>121</v>
      </c>
      <c r="BJ232" s="1" t="s">
        <v>121</v>
      </c>
      <c r="BK232" s="1" t="s">
        <v>121</v>
      </c>
      <c r="BL232" s="1" t="s">
        <v>121</v>
      </c>
      <c r="BM232" s="1" t="s">
        <v>121</v>
      </c>
      <c r="BN232" s="1" t="s">
        <v>121</v>
      </c>
      <c r="BO232" s="1" t="s">
        <v>121</v>
      </c>
      <c r="BP232" s="1" t="s">
        <v>121</v>
      </c>
      <c r="BQ232" s="1" t="s">
        <v>121</v>
      </c>
    </row>
    <row r="233" spans="1:69" x14ac:dyDescent="0.25">
      <c r="A233" s="72">
        <v>233</v>
      </c>
      <c r="B233" s="184" t="s">
        <v>16</v>
      </c>
      <c r="C233" s="223" t="s">
        <v>121</v>
      </c>
      <c r="D233" s="216" t="s">
        <v>121</v>
      </c>
      <c r="E233" s="224" t="s">
        <v>121</v>
      </c>
      <c r="F233" s="335"/>
      <c r="G233" s="335"/>
      <c r="H233" s="335"/>
      <c r="I233" s="335"/>
      <c r="J233" s="335"/>
      <c r="K233" s="335"/>
      <c r="L233" s="335"/>
      <c r="M233" s="335"/>
      <c r="N233" s="335"/>
      <c r="O233" s="335"/>
      <c r="P233" s="335"/>
      <c r="Q233" s="335"/>
      <c r="R233" s="335"/>
      <c r="S233" s="335"/>
      <c r="T233" s="335"/>
      <c r="U233" s="290">
        <v>6.2489054588900091E-2</v>
      </c>
      <c r="V233" s="290">
        <v>6.4623362418297498E-2</v>
      </c>
      <c r="W233" s="290">
        <v>6.0798441200032201E-2</v>
      </c>
      <c r="X233" s="290">
        <v>5.4342946202716666E-2</v>
      </c>
      <c r="Y233" s="290">
        <v>6.347969203064617E-2</v>
      </c>
      <c r="Z233" s="290">
        <v>6.9597854621044841E-2</v>
      </c>
      <c r="AA233" s="127">
        <v>7.0566008307451286E-2</v>
      </c>
      <c r="AB233" s="127">
        <v>6.7902262302642416E-2</v>
      </c>
      <c r="AC233" s="127">
        <v>7.2311961552590356E-2</v>
      </c>
      <c r="AD233" s="127">
        <v>8.6345921896105571E-2</v>
      </c>
      <c r="AE233" s="127">
        <v>8.9682049060431063E-2</v>
      </c>
      <c r="AF233" s="127">
        <v>9.8822832436589472E-2</v>
      </c>
      <c r="AG233" s="127">
        <v>0.10751443015671769</v>
      </c>
      <c r="AH233" s="127">
        <v>0.10836845021743374</v>
      </c>
      <c r="AI233" s="1">
        <v>0.11940674473363443</v>
      </c>
      <c r="AJ233" s="1">
        <v>0.1373587158070308</v>
      </c>
      <c r="AK233" s="1" t="s">
        <v>121</v>
      </c>
      <c r="AL233" s="1" t="s">
        <v>121</v>
      </c>
      <c r="AM233" s="1" t="s">
        <v>121</v>
      </c>
      <c r="AN233" s="1" t="s">
        <v>121</v>
      </c>
      <c r="AO233" s="1" t="s">
        <v>121</v>
      </c>
      <c r="AP233" s="1" t="s">
        <v>121</v>
      </c>
      <c r="AQ233" s="1" t="s">
        <v>121</v>
      </c>
      <c r="AR233" s="1" t="s">
        <v>121</v>
      </c>
      <c r="AS233" s="1" t="s">
        <v>121</v>
      </c>
      <c r="AT233" s="1" t="s">
        <v>121</v>
      </c>
      <c r="AU233" s="1" t="s">
        <v>121</v>
      </c>
      <c r="AV233" s="1" t="s">
        <v>121</v>
      </c>
      <c r="AW233" s="1" t="s">
        <v>121</v>
      </c>
      <c r="AX233" s="1" t="s">
        <v>121</v>
      </c>
      <c r="AY233" s="1" t="s">
        <v>121</v>
      </c>
      <c r="AZ233" s="1" t="s">
        <v>121</v>
      </c>
      <c r="BA233" s="1" t="s">
        <v>121</v>
      </c>
      <c r="BB233" s="1" t="s">
        <v>121</v>
      </c>
      <c r="BC233" s="1" t="s">
        <v>121</v>
      </c>
      <c r="BD233" s="1" t="s">
        <v>121</v>
      </c>
      <c r="BE233" s="1" t="s">
        <v>121</v>
      </c>
      <c r="BF233" s="1" t="s">
        <v>121</v>
      </c>
      <c r="BG233" s="1" t="s">
        <v>121</v>
      </c>
      <c r="BH233" s="1" t="s">
        <v>121</v>
      </c>
      <c r="BI233" s="1" t="s">
        <v>121</v>
      </c>
      <c r="BJ233" s="1" t="s">
        <v>121</v>
      </c>
      <c r="BK233" s="1" t="s">
        <v>121</v>
      </c>
      <c r="BL233" s="1" t="s">
        <v>121</v>
      </c>
      <c r="BM233" s="1" t="s">
        <v>121</v>
      </c>
      <c r="BN233" s="1" t="s">
        <v>121</v>
      </c>
      <c r="BO233" s="1" t="s">
        <v>121</v>
      </c>
      <c r="BP233" s="1" t="s">
        <v>121</v>
      </c>
      <c r="BQ233" s="1" t="s">
        <v>121</v>
      </c>
    </row>
    <row r="234" spans="1:69" x14ac:dyDescent="0.25">
      <c r="A234" s="72">
        <v>234</v>
      </c>
      <c r="B234" s="184" t="s">
        <v>19</v>
      </c>
      <c r="C234" s="150" t="s">
        <v>121</v>
      </c>
      <c r="D234" s="164" t="s">
        <v>121</v>
      </c>
      <c r="E234" s="151" t="s">
        <v>121</v>
      </c>
      <c r="F234" s="335"/>
      <c r="G234" s="335"/>
      <c r="H234" s="335"/>
      <c r="I234" s="335"/>
      <c r="J234" s="335"/>
      <c r="K234" s="335"/>
      <c r="L234" s="335"/>
      <c r="M234" s="335"/>
      <c r="N234" s="335"/>
      <c r="O234" s="335"/>
      <c r="P234" s="335"/>
      <c r="Q234" s="335"/>
      <c r="R234" s="335"/>
      <c r="S234" s="335"/>
      <c r="T234" s="335"/>
      <c r="U234" s="290">
        <v>0.12646668508738818</v>
      </c>
      <c r="V234" s="290">
        <v>0.11496581155712816</v>
      </c>
      <c r="W234" s="290">
        <v>0.12727927204578285</v>
      </c>
      <c r="X234" s="290">
        <v>0.11615347563854109</v>
      </c>
      <c r="Y234" s="290">
        <v>0.12053687350432096</v>
      </c>
      <c r="Z234" s="290">
        <v>0.11054994702885106</v>
      </c>
      <c r="AA234" s="127">
        <v>7.9288868821240616E-2</v>
      </c>
      <c r="AB234" s="127">
        <v>0.10755428892703164</v>
      </c>
      <c r="AC234" s="127">
        <v>0.11304456136653455</v>
      </c>
      <c r="AD234" s="127">
        <v>8.5796939787232032E-2</v>
      </c>
      <c r="AE234" s="127">
        <v>7.2990322329264196E-2</v>
      </c>
      <c r="AF234" s="127">
        <v>7.302648567557099E-2</v>
      </c>
      <c r="AG234" s="127">
        <v>7.0848955707570979E-2</v>
      </c>
      <c r="AH234" s="127">
        <v>6.6987762533081321E-2</v>
      </c>
      <c r="AI234" s="1">
        <v>6.1798866894536363E-2</v>
      </c>
      <c r="AJ234" s="1">
        <v>6.358635573875876E-2</v>
      </c>
      <c r="AK234" s="1" t="s">
        <v>121</v>
      </c>
      <c r="AL234" s="1" t="s">
        <v>121</v>
      </c>
      <c r="AM234" s="1" t="s">
        <v>121</v>
      </c>
      <c r="AN234" s="1" t="s">
        <v>121</v>
      </c>
      <c r="AO234" s="1" t="s">
        <v>121</v>
      </c>
      <c r="AP234" s="1" t="s">
        <v>121</v>
      </c>
      <c r="AQ234" s="1" t="s">
        <v>121</v>
      </c>
      <c r="AR234" s="1" t="s">
        <v>121</v>
      </c>
      <c r="AS234" s="1" t="s">
        <v>121</v>
      </c>
      <c r="AT234" s="1" t="s">
        <v>121</v>
      </c>
      <c r="AU234" s="1" t="s">
        <v>121</v>
      </c>
      <c r="AV234" s="1" t="s">
        <v>121</v>
      </c>
      <c r="AW234" s="1" t="s">
        <v>121</v>
      </c>
      <c r="AX234" s="1" t="s">
        <v>121</v>
      </c>
      <c r="AY234" s="1" t="s">
        <v>121</v>
      </c>
      <c r="AZ234" s="1" t="s">
        <v>121</v>
      </c>
      <c r="BA234" s="1" t="s">
        <v>121</v>
      </c>
      <c r="BB234" s="1" t="s">
        <v>121</v>
      </c>
      <c r="BC234" s="1" t="s">
        <v>121</v>
      </c>
      <c r="BD234" s="1" t="s">
        <v>121</v>
      </c>
      <c r="BE234" s="1" t="s">
        <v>121</v>
      </c>
      <c r="BF234" s="1" t="s">
        <v>121</v>
      </c>
      <c r="BG234" s="1" t="s">
        <v>121</v>
      </c>
      <c r="BH234" s="1" t="s">
        <v>121</v>
      </c>
      <c r="BI234" s="1" t="s">
        <v>121</v>
      </c>
      <c r="BJ234" s="1" t="s">
        <v>121</v>
      </c>
      <c r="BK234" s="1" t="s">
        <v>121</v>
      </c>
      <c r="BL234" s="1" t="s">
        <v>121</v>
      </c>
      <c r="BM234" s="1" t="s">
        <v>121</v>
      </c>
      <c r="BN234" s="1" t="s">
        <v>121</v>
      </c>
      <c r="BO234" s="1" t="s">
        <v>121</v>
      </c>
      <c r="BP234" s="1" t="s">
        <v>121</v>
      </c>
      <c r="BQ234" s="1" t="s">
        <v>121</v>
      </c>
    </row>
    <row r="235" spans="1:69" x14ac:dyDescent="0.25">
      <c r="A235" s="72">
        <v>235</v>
      </c>
      <c r="B235" s="184" t="s">
        <v>20</v>
      </c>
      <c r="C235" s="150" t="s">
        <v>121</v>
      </c>
      <c r="D235" s="164" t="s">
        <v>121</v>
      </c>
      <c r="E235" s="151" t="s">
        <v>121</v>
      </c>
      <c r="F235" s="335"/>
      <c r="G235" s="335"/>
      <c r="H235" s="335"/>
      <c r="I235" s="335"/>
      <c r="J235" s="335"/>
      <c r="K235" s="335"/>
      <c r="L235" s="335"/>
      <c r="M235" s="335"/>
      <c r="N235" s="335"/>
      <c r="O235" s="335"/>
      <c r="P235" s="335"/>
      <c r="Q235" s="335"/>
      <c r="R235" s="335"/>
      <c r="S235" s="335"/>
      <c r="T235" s="335"/>
      <c r="U235" s="290">
        <v>7.6090552115723645E-2</v>
      </c>
      <c r="V235" s="290">
        <v>8.538383326931992E-2</v>
      </c>
      <c r="W235" s="290">
        <v>0.11476991618104351</v>
      </c>
      <c r="X235" s="290">
        <v>0.10590613965173593</v>
      </c>
      <c r="Y235" s="290">
        <v>0.11791270857512828</v>
      </c>
      <c r="Z235" s="290">
        <v>0.11538267685498663</v>
      </c>
      <c r="AA235" s="127">
        <v>0.10622607381329108</v>
      </c>
      <c r="AB235" s="127">
        <v>0.10752315954719109</v>
      </c>
      <c r="AC235" s="127">
        <v>9.1827012981431866E-2</v>
      </c>
      <c r="AD235" s="127">
        <v>0.10716523783644288</v>
      </c>
      <c r="AE235" s="127">
        <v>8.4018092502976094E-2</v>
      </c>
      <c r="AF235" s="127">
        <v>0.10680349523912941</v>
      </c>
      <c r="AG235" s="127">
        <v>0.10534952760266013</v>
      </c>
      <c r="AH235" s="127">
        <v>9.8229053857019619E-2</v>
      </c>
      <c r="AI235" s="1">
        <v>0.10631813540604265</v>
      </c>
      <c r="AJ235" s="1">
        <v>9.1061637568958034E-2</v>
      </c>
      <c r="AK235" s="1" t="s">
        <v>121</v>
      </c>
      <c r="AL235" s="1" t="s">
        <v>121</v>
      </c>
      <c r="AM235" s="1" t="s">
        <v>121</v>
      </c>
      <c r="AN235" s="1" t="s">
        <v>121</v>
      </c>
      <c r="AO235" s="1" t="s">
        <v>121</v>
      </c>
      <c r="AP235" s="1" t="s">
        <v>121</v>
      </c>
      <c r="AQ235" s="1" t="s">
        <v>121</v>
      </c>
      <c r="AR235" s="1" t="s">
        <v>121</v>
      </c>
      <c r="AS235" s="1" t="s">
        <v>121</v>
      </c>
      <c r="AT235" s="1" t="s">
        <v>121</v>
      </c>
      <c r="AU235" s="1" t="s">
        <v>121</v>
      </c>
      <c r="AV235" s="1" t="s">
        <v>121</v>
      </c>
      <c r="AW235" s="1" t="s">
        <v>121</v>
      </c>
      <c r="AX235" s="1" t="s">
        <v>121</v>
      </c>
      <c r="AY235" s="1" t="s">
        <v>121</v>
      </c>
      <c r="AZ235" s="1" t="s">
        <v>121</v>
      </c>
      <c r="BA235" s="1" t="s">
        <v>121</v>
      </c>
      <c r="BB235" s="1" t="s">
        <v>121</v>
      </c>
      <c r="BC235" s="1" t="s">
        <v>121</v>
      </c>
      <c r="BD235" s="1" t="s">
        <v>121</v>
      </c>
      <c r="BE235" s="1" t="s">
        <v>121</v>
      </c>
      <c r="BF235" s="1" t="s">
        <v>121</v>
      </c>
      <c r="BG235" s="1" t="s">
        <v>121</v>
      </c>
      <c r="BH235" s="1" t="s">
        <v>121</v>
      </c>
      <c r="BI235" s="1" t="s">
        <v>121</v>
      </c>
      <c r="BJ235" s="1" t="s">
        <v>121</v>
      </c>
      <c r="BK235" s="1" t="s">
        <v>121</v>
      </c>
      <c r="BL235" s="1" t="s">
        <v>121</v>
      </c>
      <c r="BM235" s="1" t="s">
        <v>121</v>
      </c>
      <c r="BN235" s="1" t="s">
        <v>121</v>
      </c>
      <c r="BO235" s="1" t="s">
        <v>121</v>
      </c>
      <c r="BP235" s="1" t="s">
        <v>121</v>
      </c>
      <c r="BQ235" s="1" t="s">
        <v>121</v>
      </c>
    </row>
    <row r="236" spans="1:69" x14ac:dyDescent="0.25">
      <c r="A236" s="72">
        <v>236</v>
      </c>
      <c r="B236" s="184" t="s">
        <v>22</v>
      </c>
      <c r="C236" s="150" t="s">
        <v>121</v>
      </c>
      <c r="D236" s="164" t="s">
        <v>121</v>
      </c>
      <c r="E236" s="151" t="s">
        <v>121</v>
      </c>
      <c r="F236" s="335"/>
      <c r="G236" s="335"/>
      <c r="H236" s="335"/>
      <c r="I236" s="335"/>
      <c r="J236" s="335"/>
      <c r="K236" s="335"/>
      <c r="L236" s="335"/>
      <c r="M236" s="335"/>
      <c r="N236" s="335"/>
      <c r="O236" s="335"/>
      <c r="P236" s="335"/>
      <c r="Q236" s="335"/>
      <c r="R236" s="335"/>
      <c r="S236" s="335"/>
      <c r="T236" s="335"/>
      <c r="U236" s="290">
        <v>4.930202329572652E-2</v>
      </c>
      <c r="V236" s="290">
        <v>5.0236805654956605E-2</v>
      </c>
      <c r="W236" s="290">
        <v>4.7493744311856087E-2</v>
      </c>
      <c r="X236" s="290">
        <v>5.0793166744151637E-2</v>
      </c>
      <c r="Y236" s="290">
        <v>5.3387924762702085E-2</v>
      </c>
      <c r="Z236" s="290">
        <v>5.6506083858128796E-2</v>
      </c>
      <c r="AA236" s="127">
        <v>6.5399231759081411E-2</v>
      </c>
      <c r="AB236" s="127">
        <v>7.0070534924675396E-2</v>
      </c>
      <c r="AC236" s="127">
        <v>7.325672566582446E-2</v>
      </c>
      <c r="AD236" s="127">
        <v>6.6249744005737007E-2</v>
      </c>
      <c r="AE236" s="127">
        <v>5.8905878037725651E-2</v>
      </c>
      <c r="AF236" s="127">
        <v>5.085307383026904E-2</v>
      </c>
      <c r="AG236" s="127">
        <v>5.4878311768404138E-2</v>
      </c>
      <c r="AH236" s="127">
        <v>5.3272458146359829E-2</v>
      </c>
      <c r="AI236" s="1">
        <v>5.8437461384288882E-2</v>
      </c>
      <c r="AJ236" s="1">
        <v>5.340385942268621E-2</v>
      </c>
      <c r="AK236" s="1" t="s">
        <v>121</v>
      </c>
      <c r="AL236" s="1" t="s">
        <v>121</v>
      </c>
      <c r="AM236" s="1" t="s">
        <v>121</v>
      </c>
      <c r="AN236" s="1" t="s">
        <v>121</v>
      </c>
      <c r="AO236" s="1" t="s">
        <v>121</v>
      </c>
      <c r="AP236" s="1" t="s">
        <v>121</v>
      </c>
      <c r="AQ236" s="1" t="s">
        <v>121</v>
      </c>
      <c r="AR236" s="1" t="s">
        <v>121</v>
      </c>
      <c r="AS236" s="1" t="s">
        <v>121</v>
      </c>
      <c r="AT236" s="1" t="s">
        <v>121</v>
      </c>
      <c r="AU236" s="1" t="s">
        <v>121</v>
      </c>
      <c r="AV236" s="1" t="s">
        <v>121</v>
      </c>
      <c r="AW236" s="1" t="s">
        <v>121</v>
      </c>
      <c r="AX236" s="1" t="s">
        <v>121</v>
      </c>
      <c r="AY236" s="1" t="s">
        <v>121</v>
      </c>
      <c r="AZ236" s="1" t="s">
        <v>121</v>
      </c>
      <c r="BA236" s="1" t="s">
        <v>121</v>
      </c>
      <c r="BB236" s="1" t="s">
        <v>121</v>
      </c>
      <c r="BC236" s="1" t="s">
        <v>121</v>
      </c>
      <c r="BD236" s="1" t="s">
        <v>121</v>
      </c>
      <c r="BE236" s="1" t="s">
        <v>121</v>
      </c>
      <c r="BF236" s="1" t="s">
        <v>121</v>
      </c>
      <c r="BG236" s="1" t="s">
        <v>121</v>
      </c>
      <c r="BH236" s="1" t="s">
        <v>121</v>
      </c>
      <c r="BI236" s="1" t="s">
        <v>121</v>
      </c>
      <c r="BJ236" s="1" t="s">
        <v>121</v>
      </c>
      <c r="BK236" s="1" t="s">
        <v>121</v>
      </c>
      <c r="BL236" s="1" t="s">
        <v>121</v>
      </c>
      <c r="BM236" s="1" t="s">
        <v>121</v>
      </c>
      <c r="BN236" s="1" t="s">
        <v>121</v>
      </c>
      <c r="BO236" s="1" t="s">
        <v>121</v>
      </c>
      <c r="BP236" s="1" t="s">
        <v>121</v>
      </c>
      <c r="BQ236" s="1" t="s">
        <v>121</v>
      </c>
    </row>
    <row r="237" spans="1:69" x14ac:dyDescent="0.25">
      <c r="A237" s="72">
        <v>237</v>
      </c>
      <c r="B237" s="183" t="s">
        <v>21</v>
      </c>
      <c r="C237" s="150" t="s">
        <v>121</v>
      </c>
      <c r="D237" s="164" t="s">
        <v>121</v>
      </c>
      <c r="E237" s="151" t="s">
        <v>121</v>
      </c>
      <c r="F237" s="335"/>
      <c r="G237" s="335"/>
      <c r="H237" s="335"/>
      <c r="I237" s="335"/>
      <c r="J237" s="335"/>
      <c r="K237" s="335"/>
      <c r="L237" s="335"/>
      <c r="M237" s="335"/>
      <c r="N237" s="335"/>
      <c r="O237" s="335"/>
      <c r="P237" s="335"/>
      <c r="Q237" s="335"/>
      <c r="R237" s="335"/>
      <c r="S237" s="335"/>
      <c r="T237" s="335"/>
      <c r="U237" s="290">
        <v>4.9109384060368078E-2</v>
      </c>
      <c r="V237" s="290">
        <v>5.3670353751491533E-2</v>
      </c>
      <c r="W237" s="290">
        <v>8.5301848458267479E-2</v>
      </c>
      <c r="X237" s="290">
        <v>6.2476156590160571E-2</v>
      </c>
      <c r="Y237" s="290">
        <v>9.498427688632255E-2</v>
      </c>
      <c r="Z237" s="290">
        <v>6.852913694209227E-2</v>
      </c>
      <c r="AA237" s="127">
        <v>7.9633713349641963E-2</v>
      </c>
      <c r="AB237" s="127">
        <v>3.9877612751518583E-2</v>
      </c>
      <c r="AC237" s="127">
        <v>2.646801979380357E-2</v>
      </c>
      <c r="AD237" s="127">
        <v>2.5921474681725953E-2</v>
      </c>
      <c r="AE237" s="127">
        <v>2.1676263996976065E-2</v>
      </c>
      <c r="AF237" s="127">
        <v>6.1826405567057909E-2</v>
      </c>
      <c r="AG237" s="127">
        <v>6.5857614033426104E-2</v>
      </c>
      <c r="AH237" s="127">
        <v>6.1465812885227823E-2</v>
      </c>
      <c r="AI237" s="1">
        <v>6.750398468938433E-2</v>
      </c>
      <c r="AJ237" s="1">
        <v>6.7000873246633494E-2</v>
      </c>
      <c r="AK237" s="1" t="s">
        <v>121</v>
      </c>
      <c r="AL237" s="1" t="s">
        <v>121</v>
      </c>
      <c r="AM237" s="1" t="s">
        <v>121</v>
      </c>
      <c r="AN237" s="1" t="s">
        <v>121</v>
      </c>
      <c r="AO237" s="1" t="s">
        <v>121</v>
      </c>
      <c r="AP237" s="1" t="s">
        <v>121</v>
      </c>
      <c r="AQ237" s="1" t="s">
        <v>121</v>
      </c>
      <c r="AR237" s="1" t="s">
        <v>121</v>
      </c>
      <c r="AS237" s="1" t="s">
        <v>121</v>
      </c>
      <c r="AT237" s="1" t="s">
        <v>121</v>
      </c>
      <c r="AU237" s="1" t="s">
        <v>121</v>
      </c>
      <c r="AV237" s="1" t="s">
        <v>121</v>
      </c>
      <c r="AW237" s="1" t="s">
        <v>121</v>
      </c>
      <c r="AX237" s="1" t="s">
        <v>121</v>
      </c>
      <c r="AY237" s="1" t="s">
        <v>121</v>
      </c>
      <c r="AZ237" s="1" t="s">
        <v>121</v>
      </c>
      <c r="BA237" s="1" t="s">
        <v>121</v>
      </c>
      <c r="BB237" s="1" t="s">
        <v>121</v>
      </c>
      <c r="BC237" s="1" t="s">
        <v>121</v>
      </c>
      <c r="BD237" s="1" t="s">
        <v>121</v>
      </c>
      <c r="BE237" s="1" t="s">
        <v>121</v>
      </c>
      <c r="BF237" s="1" t="s">
        <v>121</v>
      </c>
      <c r="BG237" s="1" t="s">
        <v>121</v>
      </c>
      <c r="BH237" s="1" t="s">
        <v>121</v>
      </c>
      <c r="BI237" s="1" t="s">
        <v>121</v>
      </c>
      <c r="BJ237" s="1" t="s">
        <v>121</v>
      </c>
      <c r="BK237" s="1" t="s">
        <v>121</v>
      </c>
      <c r="BL237" s="1" t="s">
        <v>121</v>
      </c>
      <c r="BM237" s="1" t="s">
        <v>121</v>
      </c>
      <c r="BN237" s="1" t="s">
        <v>121</v>
      </c>
      <c r="BO237" s="1" t="s">
        <v>121</v>
      </c>
      <c r="BP237" s="1" t="s">
        <v>121</v>
      </c>
      <c r="BQ237" s="1" t="s">
        <v>121</v>
      </c>
    </row>
    <row r="238" spans="1:69" x14ac:dyDescent="0.25">
      <c r="A238" s="72">
        <v>238</v>
      </c>
      <c r="B238" s="184" t="s">
        <v>25</v>
      </c>
      <c r="C238" s="150" t="s">
        <v>121</v>
      </c>
      <c r="D238" s="164" t="s">
        <v>121</v>
      </c>
      <c r="E238" s="151" t="s">
        <v>121</v>
      </c>
      <c r="F238" s="335"/>
      <c r="G238" s="335"/>
      <c r="H238" s="335"/>
      <c r="I238" s="335"/>
      <c r="J238" s="335"/>
      <c r="K238" s="335"/>
      <c r="L238" s="335"/>
      <c r="M238" s="335"/>
      <c r="N238" s="335"/>
      <c r="O238" s="335"/>
      <c r="P238" s="335"/>
      <c r="Q238" s="335"/>
      <c r="R238" s="335"/>
      <c r="S238" s="335"/>
      <c r="T238" s="335"/>
      <c r="U238" s="290">
        <v>1.334075351128788E-2</v>
      </c>
      <c r="V238" s="290">
        <v>1.3093657812529592E-2</v>
      </c>
      <c r="W238" s="290">
        <v>1.4084323947918838E-2</v>
      </c>
      <c r="X238" s="290">
        <v>1.4626658160153252E-2</v>
      </c>
      <c r="Y238" s="290">
        <v>1.542464604478533E-2</v>
      </c>
      <c r="Z238" s="290">
        <v>1.4754028446472407E-2</v>
      </c>
      <c r="AA238" s="127">
        <v>1.6168866786630102E-2</v>
      </c>
      <c r="AB238" s="127">
        <v>1.5235115870707312E-2</v>
      </c>
      <c r="AC238" s="127">
        <v>1.8067148961383096E-2</v>
      </c>
      <c r="AD238" s="127">
        <v>1.8107173992336103E-2</v>
      </c>
      <c r="AE238" s="127">
        <v>1.9546335941715311E-2</v>
      </c>
      <c r="AF238" s="127">
        <v>1.878570162478678E-2</v>
      </c>
      <c r="AG238" s="127">
        <v>1.8094231101317849E-2</v>
      </c>
      <c r="AH238" s="127">
        <v>1.9003800484207339E-2</v>
      </c>
      <c r="AI238" s="1">
        <v>1.9724246951143255E-2</v>
      </c>
      <c r="AJ238" s="1">
        <v>1.8105007752232522E-2</v>
      </c>
      <c r="AK238" s="1" t="s">
        <v>121</v>
      </c>
      <c r="AL238" s="1" t="s">
        <v>121</v>
      </c>
      <c r="AM238" s="1" t="s">
        <v>121</v>
      </c>
      <c r="AN238" s="1" t="s">
        <v>121</v>
      </c>
      <c r="AO238" s="1" t="s">
        <v>121</v>
      </c>
      <c r="AP238" s="1" t="s">
        <v>121</v>
      </c>
      <c r="AQ238" s="1" t="s">
        <v>121</v>
      </c>
      <c r="AR238" s="1" t="s">
        <v>121</v>
      </c>
      <c r="AS238" s="1" t="s">
        <v>121</v>
      </c>
      <c r="AT238" s="1" t="s">
        <v>121</v>
      </c>
      <c r="AU238" s="1" t="s">
        <v>121</v>
      </c>
      <c r="AV238" s="1" t="s">
        <v>121</v>
      </c>
      <c r="AW238" s="1" t="s">
        <v>121</v>
      </c>
      <c r="AX238" s="1" t="s">
        <v>121</v>
      </c>
      <c r="AY238" s="1" t="s">
        <v>121</v>
      </c>
      <c r="AZ238" s="1" t="s">
        <v>121</v>
      </c>
      <c r="BA238" s="1" t="s">
        <v>121</v>
      </c>
      <c r="BB238" s="1" t="s">
        <v>121</v>
      </c>
      <c r="BC238" s="1" t="s">
        <v>121</v>
      </c>
      <c r="BD238" s="1" t="s">
        <v>121</v>
      </c>
      <c r="BE238" s="1" t="s">
        <v>121</v>
      </c>
      <c r="BF238" s="1" t="s">
        <v>121</v>
      </c>
      <c r="BG238" s="1" t="s">
        <v>121</v>
      </c>
      <c r="BH238" s="1" t="s">
        <v>121</v>
      </c>
      <c r="BI238" s="1" t="s">
        <v>121</v>
      </c>
      <c r="BJ238" s="1" t="s">
        <v>121</v>
      </c>
      <c r="BK238" s="1" t="s">
        <v>121</v>
      </c>
      <c r="BL238" s="1" t="s">
        <v>121</v>
      </c>
      <c r="BM238" s="1" t="s">
        <v>121</v>
      </c>
      <c r="BN238" s="1" t="s">
        <v>121</v>
      </c>
      <c r="BO238" s="1" t="s">
        <v>121</v>
      </c>
      <c r="BP238" s="1" t="s">
        <v>121</v>
      </c>
      <c r="BQ238" s="1" t="s">
        <v>121</v>
      </c>
    </row>
    <row r="239" spans="1:69" x14ac:dyDescent="0.25">
      <c r="A239" s="72">
        <v>239</v>
      </c>
      <c r="B239" s="183" t="s">
        <v>28</v>
      </c>
      <c r="C239" s="150" t="s">
        <v>121</v>
      </c>
      <c r="D239" s="164" t="s">
        <v>121</v>
      </c>
      <c r="E239" s="151" t="s">
        <v>121</v>
      </c>
      <c r="F239" s="335"/>
      <c r="G239" s="335"/>
      <c r="H239" s="335"/>
      <c r="I239" s="335"/>
      <c r="J239" s="335"/>
      <c r="K239" s="335"/>
      <c r="L239" s="335"/>
      <c r="M239" s="335"/>
      <c r="N239" s="335"/>
      <c r="O239" s="335"/>
      <c r="P239" s="335"/>
      <c r="Q239" s="335"/>
      <c r="R239" s="335"/>
      <c r="S239" s="335"/>
      <c r="T239" s="335"/>
      <c r="U239" s="290">
        <v>1.7298614165015937E-3</v>
      </c>
      <c r="V239" s="290">
        <v>9.65236872411066E-3</v>
      </c>
      <c r="W239" s="290">
        <v>1.1719843515492634E-2</v>
      </c>
      <c r="X239" s="290">
        <v>6.5093419118095758E-3</v>
      </c>
      <c r="Y239" s="290">
        <v>6.4630551067014382E-3</v>
      </c>
      <c r="Z239" s="290">
        <v>5.6796869703750622E-3</v>
      </c>
      <c r="AA239" s="127">
        <v>8.5729180018189015E-3</v>
      </c>
      <c r="AB239" s="127">
        <v>4.8429519448711465E-3</v>
      </c>
      <c r="AC239" s="127">
        <v>1.2532143812163103E-2</v>
      </c>
      <c r="AD239" s="127">
        <v>5.0978595424901038E-3</v>
      </c>
      <c r="AE239" s="127">
        <v>8.3639967723661904E-3</v>
      </c>
      <c r="AF239" s="127">
        <v>7.4891784774966993E-3</v>
      </c>
      <c r="AG239" s="127">
        <v>9.7831517222752122E-3</v>
      </c>
      <c r="AH239" s="127">
        <v>1.5460289540185093E-2</v>
      </c>
      <c r="AI239" s="1">
        <v>2.3619284661424288E-2</v>
      </c>
      <c r="AJ239" s="1">
        <v>2.2374792240217586E-2</v>
      </c>
      <c r="AK239" s="1" t="s">
        <v>121</v>
      </c>
      <c r="AL239" s="1" t="s">
        <v>121</v>
      </c>
      <c r="AM239" s="1" t="s">
        <v>121</v>
      </c>
      <c r="AN239" s="1" t="s">
        <v>121</v>
      </c>
      <c r="AO239" s="1" t="s">
        <v>121</v>
      </c>
      <c r="AP239" s="1" t="s">
        <v>121</v>
      </c>
      <c r="AQ239" s="1" t="s">
        <v>121</v>
      </c>
      <c r="AR239" s="1" t="s">
        <v>121</v>
      </c>
      <c r="AS239" s="1" t="s">
        <v>121</v>
      </c>
      <c r="AT239" s="1" t="s">
        <v>121</v>
      </c>
      <c r="AU239" s="1" t="s">
        <v>121</v>
      </c>
      <c r="AV239" s="1" t="s">
        <v>121</v>
      </c>
      <c r="AW239" s="1" t="s">
        <v>121</v>
      </c>
      <c r="AX239" s="1" t="s">
        <v>121</v>
      </c>
      <c r="AY239" s="1" t="s">
        <v>121</v>
      </c>
      <c r="AZ239" s="1" t="s">
        <v>121</v>
      </c>
      <c r="BA239" s="1" t="s">
        <v>121</v>
      </c>
      <c r="BB239" s="1" t="s">
        <v>121</v>
      </c>
      <c r="BC239" s="1" t="s">
        <v>121</v>
      </c>
      <c r="BD239" s="1" t="s">
        <v>121</v>
      </c>
      <c r="BE239" s="1" t="s">
        <v>121</v>
      </c>
      <c r="BF239" s="1" t="s">
        <v>121</v>
      </c>
      <c r="BG239" s="1" t="s">
        <v>121</v>
      </c>
      <c r="BH239" s="1" t="s">
        <v>121</v>
      </c>
      <c r="BI239" s="1" t="s">
        <v>121</v>
      </c>
      <c r="BJ239" s="1" t="s">
        <v>121</v>
      </c>
      <c r="BK239" s="1" t="s">
        <v>121</v>
      </c>
      <c r="BL239" s="1" t="s">
        <v>121</v>
      </c>
      <c r="BM239" s="1" t="s">
        <v>121</v>
      </c>
      <c r="BN239" s="1" t="s">
        <v>121</v>
      </c>
      <c r="BO239" s="1" t="s">
        <v>121</v>
      </c>
      <c r="BP239" s="1" t="s">
        <v>121</v>
      </c>
      <c r="BQ239" s="1" t="s">
        <v>121</v>
      </c>
    </row>
    <row r="240" spans="1:69" x14ac:dyDescent="0.25">
      <c r="A240" s="72">
        <v>240</v>
      </c>
      <c r="B240" s="5" t="s">
        <v>27</v>
      </c>
      <c r="C240" s="91" t="s">
        <v>121</v>
      </c>
      <c r="D240" s="86" t="s">
        <v>121</v>
      </c>
      <c r="E240" s="92" t="s">
        <v>121</v>
      </c>
      <c r="F240" s="335"/>
      <c r="G240" s="335"/>
      <c r="H240" s="335"/>
      <c r="I240" s="335"/>
      <c r="J240" s="335"/>
      <c r="K240" s="335"/>
      <c r="L240" s="335"/>
      <c r="M240" s="335"/>
      <c r="N240" s="335"/>
      <c r="O240" s="335"/>
      <c r="P240" s="335"/>
      <c r="Q240" s="335"/>
      <c r="R240" s="335"/>
      <c r="S240" s="335"/>
      <c r="T240" s="335"/>
      <c r="U240" s="290">
        <v>3.9714816097635016E-3</v>
      </c>
      <c r="V240" s="290">
        <v>4.7763123086777661E-3</v>
      </c>
      <c r="W240" s="290">
        <v>5.2228606783243873E-3</v>
      </c>
      <c r="X240" s="290">
        <v>5.0351252912382944E-3</v>
      </c>
      <c r="Y240" s="290">
        <v>3.2699513581456322E-3</v>
      </c>
      <c r="Z240" s="290">
        <v>3.0967952140692877E-3</v>
      </c>
      <c r="AA240" s="127">
        <v>5.7946780443725769E-3</v>
      </c>
      <c r="AB240" s="127">
        <v>3.7002497611837142E-3</v>
      </c>
      <c r="AC240" s="127">
        <v>4.28697004183417E-3</v>
      </c>
      <c r="AD240" s="127">
        <v>4.4706576041328152E-3</v>
      </c>
      <c r="AE240" s="127">
        <v>5.0550492458391353E-3</v>
      </c>
      <c r="AF240" s="127">
        <v>5.2263414195103282E-3</v>
      </c>
      <c r="AG240" s="127">
        <v>4.6280326903262083E-3</v>
      </c>
      <c r="AH240" s="127">
        <v>4.8793158184874058E-3</v>
      </c>
      <c r="AI240" s="1">
        <v>5.4030073678558574E-3</v>
      </c>
      <c r="AJ240" s="1">
        <v>6.2318861029185737E-3</v>
      </c>
      <c r="AK240" s="1" t="s">
        <v>121</v>
      </c>
      <c r="AL240" s="1" t="s">
        <v>121</v>
      </c>
      <c r="AM240" s="1" t="s">
        <v>121</v>
      </c>
      <c r="AN240" s="1" t="s">
        <v>121</v>
      </c>
      <c r="AO240" s="1" t="s">
        <v>121</v>
      </c>
      <c r="AP240" s="1" t="s">
        <v>121</v>
      </c>
      <c r="AQ240" s="1" t="s">
        <v>121</v>
      </c>
      <c r="AR240" s="1" t="s">
        <v>121</v>
      </c>
      <c r="AS240" s="1" t="s">
        <v>121</v>
      </c>
      <c r="AT240" s="1" t="s">
        <v>121</v>
      </c>
      <c r="AU240" s="1" t="s">
        <v>121</v>
      </c>
      <c r="AV240" s="1" t="s">
        <v>121</v>
      </c>
      <c r="AW240" s="1" t="s">
        <v>121</v>
      </c>
      <c r="AX240" s="1" t="s">
        <v>121</v>
      </c>
      <c r="AY240" s="1" t="s">
        <v>121</v>
      </c>
      <c r="AZ240" s="1" t="s">
        <v>121</v>
      </c>
      <c r="BA240" s="1" t="s">
        <v>121</v>
      </c>
      <c r="BB240" s="1" t="s">
        <v>121</v>
      </c>
      <c r="BC240" s="1" t="s">
        <v>121</v>
      </c>
      <c r="BD240" s="1" t="s">
        <v>121</v>
      </c>
      <c r="BE240" s="1" t="s">
        <v>121</v>
      </c>
      <c r="BF240" s="1" t="s">
        <v>121</v>
      </c>
      <c r="BG240" s="1" t="s">
        <v>121</v>
      </c>
      <c r="BH240" s="1" t="s">
        <v>121</v>
      </c>
      <c r="BI240" s="1" t="s">
        <v>121</v>
      </c>
      <c r="BJ240" s="1" t="s">
        <v>121</v>
      </c>
      <c r="BK240" s="1" t="s">
        <v>121</v>
      </c>
      <c r="BL240" s="1" t="s">
        <v>121</v>
      </c>
      <c r="BM240" s="1" t="s">
        <v>121</v>
      </c>
      <c r="BN240" s="1" t="s">
        <v>121</v>
      </c>
      <c r="BO240" s="1" t="s">
        <v>121</v>
      </c>
      <c r="BP240" s="1" t="s">
        <v>121</v>
      </c>
      <c r="BQ240" s="1" t="s">
        <v>121</v>
      </c>
    </row>
    <row r="241" spans="1:69" x14ac:dyDescent="0.25">
      <c r="A241" s="72">
        <v>241</v>
      </c>
      <c r="B241" s="5" t="s">
        <v>26</v>
      </c>
      <c r="C241" s="91" t="s">
        <v>121</v>
      </c>
      <c r="D241" s="86" t="s">
        <v>121</v>
      </c>
      <c r="E241" s="92" t="s">
        <v>121</v>
      </c>
      <c r="F241" s="335"/>
      <c r="G241" s="335"/>
      <c r="H241" s="335"/>
      <c r="I241" s="335"/>
      <c r="J241" s="335"/>
      <c r="K241" s="335"/>
      <c r="L241" s="335"/>
      <c r="M241" s="335"/>
      <c r="N241" s="335"/>
      <c r="O241" s="335"/>
      <c r="P241" s="335"/>
      <c r="Q241" s="335"/>
      <c r="R241" s="335"/>
      <c r="S241" s="335"/>
      <c r="T241" s="335"/>
      <c r="U241" s="290">
        <v>1.3445829457847034E-3</v>
      </c>
      <c r="V241" s="290">
        <v>1.1450749205369427E-3</v>
      </c>
      <c r="W241" s="290">
        <v>1.1101426506015528E-3</v>
      </c>
      <c r="X241" s="290">
        <v>4.1056247665690751E-3</v>
      </c>
      <c r="Y241" s="290">
        <v>1.2392858262095989E-3</v>
      </c>
      <c r="Z241" s="290">
        <v>8.2579420454664335E-3</v>
      </c>
      <c r="AA241" s="127">
        <v>7.2894173856773914E-3</v>
      </c>
      <c r="AB241" s="127">
        <v>9.0990479677428068E-3</v>
      </c>
      <c r="AC241" s="127">
        <v>5.0563856447039725E-3</v>
      </c>
      <c r="AD241" s="127">
        <v>2.8818477064270331E-3</v>
      </c>
      <c r="AE241" s="127">
        <v>3.8287334685950017E-3</v>
      </c>
      <c r="AF241" s="127">
        <v>2.0532805192626938E-3</v>
      </c>
      <c r="AG241" s="127">
        <v>4.419939545176184E-3</v>
      </c>
      <c r="AH241" s="127">
        <v>2.5633696325155818E-3</v>
      </c>
      <c r="AI241" s="1">
        <v>2.826539804112585E-3</v>
      </c>
      <c r="AJ241" s="1">
        <v>4.3346523704871588E-3</v>
      </c>
      <c r="AK241" s="1" t="s">
        <v>121</v>
      </c>
      <c r="AL241" s="1" t="s">
        <v>121</v>
      </c>
      <c r="AM241" s="1" t="s">
        <v>121</v>
      </c>
      <c r="AN241" s="1" t="s">
        <v>121</v>
      </c>
      <c r="AO241" s="1" t="s">
        <v>121</v>
      </c>
      <c r="AP241" s="1" t="s">
        <v>121</v>
      </c>
      <c r="AQ241" s="1" t="s">
        <v>121</v>
      </c>
      <c r="AR241" s="1" t="s">
        <v>121</v>
      </c>
      <c r="AS241" s="1" t="s">
        <v>121</v>
      </c>
      <c r="AT241" s="1" t="s">
        <v>121</v>
      </c>
      <c r="AU241" s="1" t="s">
        <v>121</v>
      </c>
      <c r="AV241" s="1" t="s">
        <v>121</v>
      </c>
      <c r="AW241" s="1" t="s">
        <v>121</v>
      </c>
      <c r="AX241" s="1" t="s">
        <v>121</v>
      </c>
      <c r="AY241" s="1" t="s">
        <v>121</v>
      </c>
      <c r="AZ241" s="1" t="s">
        <v>121</v>
      </c>
      <c r="BA241" s="1" t="s">
        <v>121</v>
      </c>
      <c r="BB241" s="1" t="s">
        <v>121</v>
      </c>
      <c r="BC241" s="1" t="s">
        <v>121</v>
      </c>
      <c r="BD241" s="1" t="s">
        <v>121</v>
      </c>
      <c r="BE241" s="1" t="s">
        <v>121</v>
      </c>
      <c r="BF241" s="1" t="s">
        <v>121</v>
      </c>
      <c r="BG241" s="1" t="s">
        <v>121</v>
      </c>
      <c r="BH241" s="1" t="s">
        <v>121</v>
      </c>
      <c r="BI241" s="1" t="s">
        <v>121</v>
      </c>
      <c r="BJ241" s="1" t="s">
        <v>121</v>
      </c>
      <c r="BK241" s="1" t="s">
        <v>121</v>
      </c>
      <c r="BL241" s="1" t="s">
        <v>121</v>
      </c>
      <c r="BM241" s="1" t="s">
        <v>121</v>
      </c>
      <c r="BN241" s="1" t="s">
        <v>121</v>
      </c>
      <c r="BO241" s="1" t="s">
        <v>121</v>
      </c>
      <c r="BP241" s="1" t="s">
        <v>121</v>
      </c>
      <c r="BQ241" s="1" t="s">
        <v>121</v>
      </c>
    </row>
    <row r="242" spans="1:69" x14ac:dyDescent="0.25">
      <c r="A242" s="72">
        <v>242</v>
      </c>
      <c r="B242" s="5" t="s">
        <v>7</v>
      </c>
      <c r="C242" s="91" t="s">
        <v>121</v>
      </c>
      <c r="D242" s="86" t="s">
        <v>121</v>
      </c>
      <c r="E242" s="92" t="s">
        <v>121</v>
      </c>
      <c r="F242" s="335" t="s">
        <v>121</v>
      </c>
      <c r="G242" s="335" t="s">
        <v>121</v>
      </c>
      <c r="H242" s="335" t="s">
        <v>121</v>
      </c>
      <c r="I242" s="335" t="s">
        <v>121</v>
      </c>
      <c r="J242" s="335" t="s">
        <v>121</v>
      </c>
      <c r="K242" s="335" t="s">
        <v>121</v>
      </c>
      <c r="L242" s="335" t="s">
        <v>121</v>
      </c>
      <c r="M242" s="335" t="s">
        <v>121</v>
      </c>
      <c r="N242" s="335" t="s">
        <v>121</v>
      </c>
      <c r="O242" s="335" t="s">
        <v>121</v>
      </c>
      <c r="P242" s="335" t="s">
        <v>121</v>
      </c>
      <c r="Q242" s="335" t="s">
        <v>121</v>
      </c>
      <c r="R242" s="335" t="s">
        <v>121</v>
      </c>
      <c r="S242" s="335" t="s">
        <v>121</v>
      </c>
      <c r="T242" s="335" t="s">
        <v>121</v>
      </c>
      <c r="U242" s="290">
        <v>1.5479243608852843E-2</v>
      </c>
      <c r="V242" s="290">
        <v>1.5481455929013727E-2</v>
      </c>
      <c r="W242" s="290">
        <v>1.5367745966359852E-2</v>
      </c>
      <c r="X242" s="290">
        <v>1.4946187949533184E-2</v>
      </c>
      <c r="Y242" s="290">
        <v>1.6582868899809197E-2</v>
      </c>
      <c r="Z242" s="290">
        <v>2.4331890457742707E-2</v>
      </c>
      <c r="AA242" s="127">
        <v>2.6154948442883599E-2</v>
      </c>
      <c r="AB242" s="127">
        <v>2.8389906927229345E-2</v>
      </c>
      <c r="AC242" s="127">
        <v>3.0115830777530338E-2</v>
      </c>
      <c r="AD242" s="127">
        <v>3.2253027733855716E-2</v>
      </c>
      <c r="AE242" s="127">
        <v>2.9564416222683104E-2</v>
      </c>
      <c r="AF242" s="127">
        <v>2.9814521836792427E-2</v>
      </c>
      <c r="AG242" s="127">
        <v>3.2327254377623578E-2</v>
      </c>
      <c r="AH242" s="127">
        <v>3.5308112558717381E-2</v>
      </c>
      <c r="AI242" s="1">
        <v>3.938778456204256E-2</v>
      </c>
      <c r="AJ242" s="1">
        <v>4.1764198526063473E-2</v>
      </c>
      <c r="AK242" s="1" t="s">
        <v>121</v>
      </c>
      <c r="AL242" s="1" t="s">
        <v>121</v>
      </c>
      <c r="AM242" s="1" t="s">
        <v>121</v>
      </c>
      <c r="AN242" s="1" t="s">
        <v>121</v>
      </c>
      <c r="AO242" s="1" t="s">
        <v>121</v>
      </c>
      <c r="AP242" s="1" t="s">
        <v>121</v>
      </c>
      <c r="AQ242" s="1" t="s">
        <v>121</v>
      </c>
      <c r="AR242" s="1" t="s">
        <v>121</v>
      </c>
      <c r="AS242" s="1" t="s">
        <v>121</v>
      </c>
      <c r="AT242" s="1" t="s">
        <v>121</v>
      </c>
      <c r="AU242" s="1" t="s">
        <v>121</v>
      </c>
      <c r="AV242" s="1" t="s">
        <v>121</v>
      </c>
      <c r="AW242" s="1" t="s">
        <v>121</v>
      </c>
      <c r="AX242" s="1" t="s">
        <v>121</v>
      </c>
      <c r="AY242" s="1" t="s">
        <v>121</v>
      </c>
      <c r="AZ242" s="1" t="s">
        <v>121</v>
      </c>
      <c r="BA242" s="1" t="s">
        <v>121</v>
      </c>
      <c r="BB242" s="1" t="s">
        <v>121</v>
      </c>
      <c r="BC242" s="1" t="s">
        <v>121</v>
      </c>
      <c r="BD242" s="1" t="s">
        <v>121</v>
      </c>
      <c r="BE242" s="1" t="s">
        <v>121</v>
      </c>
      <c r="BF242" s="1" t="s">
        <v>121</v>
      </c>
      <c r="BG242" s="1" t="s">
        <v>121</v>
      </c>
      <c r="BH242" s="1" t="s">
        <v>121</v>
      </c>
      <c r="BI242" s="1" t="s">
        <v>121</v>
      </c>
      <c r="BJ242" s="1" t="s">
        <v>121</v>
      </c>
      <c r="BK242" s="1" t="s">
        <v>121</v>
      </c>
      <c r="BL242" s="1" t="s">
        <v>121</v>
      </c>
      <c r="BM242" s="1" t="s">
        <v>121</v>
      </c>
      <c r="BN242" s="1" t="s">
        <v>121</v>
      </c>
      <c r="BO242" s="1" t="s">
        <v>121</v>
      </c>
      <c r="BP242" s="1" t="s">
        <v>121</v>
      </c>
      <c r="BQ242" s="1" t="s">
        <v>121</v>
      </c>
    </row>
    <row r="243" spans="1:69" x14ac:dyDescent="0.25">
      <c r="A243" s="72">
        <v>243</v>
      </c>
      <c r="B243" s="19" t="s">
        <v>57</v>
      </c>
      <c r="C243" s="91" t="s">
        <v>121</v>
      </c>
      <c r="D243" s="86" t="s">
        <v>121</v>
      </c>
      <c r="E243" s="92" t="s">
        <v>121</v>
      </c>
      <c r="F243" s="336" t="s">
        <v>121</v>
      </c>
      <c r="G243" s="336" t="s">
        <v>121</v>
      </c>
      <c r="H243" s="336" t="s">
        <v>121</v>
      </c>
      <c r="I243" s="336" t="s">
        <v>121</v>
      </c>
      <c r="J243" s="336" t="s">
        <v>121</v>
      </c>
      <c r="K243" s="336" t="s">
        <v>121</v>
      </c>
      <c r="L243" s="336" t="s">
        <v>121</v>
      </c>
      <c r="M243" s="336" t="s">
        <v>121</v>
      </c>
      <c r="N243" s="336" t="s">
        <v>121</v>
      </c>
      <c r="O243" s="336" t="s">
        <v>121</v>
      </c>
      <c r="P243" s="336" t="s">
        <v>121</v>
      </c>
      <c r="Q243" s="336" t="s">
        <v>121</v>
      </c>
      <c r="R243" s="336" t="s">
        <v>121</v>
      </c>
      <c r="S243" s="336" t="s">
        <v>121</v>
      </c>
      <c r="T243" s="336" t="s">
        <v>121</v>
      </c>
      <c r="U243" s="20">
        <v>513914</v>
      </c>
      <c r="V243" s="20">
        <v>515308.64</v>
      </c>
      <c r="W243" s="20">
        <v>507319.48700000002</v>
      </c>
      <c r="X243" s="20">
        <v>482693.64899999998</v>
      </c>
      <c r="Y243" s="20">
        <v>459272.58100000001</v>
      </c>
      <c r="Z243" s="20">
        <v>468654.17300000001</v>
      </c>
      <c r="AA243" s="20">
        <v>417219.90100000001</v>
      </c>
      <c r="AB243" s="20">
        <v>434348.51799999998</v>
      </c>
      <c r="AC243" s="20">
        <v>401446.239</v>
      </c>
      <c r="AD243" s="20">
        <v>390770.47600000002</v>
      </c>
      <c r="AE243" s="20">
        <v>365681.66499999998</v>
      </c>
      <c r="AF243" s="20">
        <v>372095.28499999997</v>
      </c>
      <c r="AG243" s="20">
        <v>375283.86599999998</v>
      </c>
      <c r="AH243" s="20">
        <v>376237.58500000002</v>
      </c>
      <c r="AI243" s="1">
        <v>355085.39399999997</v>
      </c>
      <c r="AJ243" s="1">
        <v>345779.74699999997</v>
      </c>
      <c r="AK243" s="1" t="s">
        <v>121</v>
      </c>
      <c r="AL243" s="1" t="s">
        <v>121</v>
      </c>
      <c r="AM243" s="1" t="s">
        <v>121</v>
      </c>
      <c r="AN243" s="1" t="s">
        <v>121</v>
      </c>
      <c r="AO243" s="1" t="s">
        <v>121</v>
      </c>
      <c r="AP243" s="1" t="s">
        <v>121</v>
      </c>
      <c r="AQ243" s="1" t="s">
        <v>121</v>
      </c>
      <c r="AR243" s="1" t="s">
        <v>121</v>
      </c>
      <c r="AS243" s="1" t="s">
        <v>121</v>
      </c>
      <c r="AT243" s="1" t="s">
        <v>121</v>
      </c>
      <c r="AU243" s="1" t="s">
        <v>121</v>
      </c>
      <c r="AV243" s="1" t="s">
        <v>121</v>
      </c>
      <c r="AW243" s="1" t="s">
        <v>121</v>
      </c>
      <c r="AX243" s="1" t="s">
        <v>121</v>
      </c>
    </row>
  </sheetData>
  <sortState ref="B38:L47">
    <sortCondition descending="1" ref="H38:H47"/>
  </sortState>
  <customSheetViews>
    <customSheetView guid="{0284F5E2-DB98-486F-B3F7-128FA2A0A465}" showGridLines="0" fitToPage="1">
      <pane ySplit="5" topLeftCell="A30" activePane="bottomLeft" state="frozen"/>
      <selection pane="bottomLeft" activeCell="C198" sqref="C198:E198"/>
      <pageMargins left="0.23622047244094491" right="0.23622047244094491" top="0.74803149606299213" bottom="0.74803149606299213" header="0.31496062992125984" footer="0.31496062992125984"/>
      <pageSetup paperSize="9" scale="21" orientation="portrait" r:id="rId1"/>
    </customSheetView>
    <customSheetView guid="{E4AC4991-F371-4BAF-8335-AD017EF379C0}" showGridLines="0" fitToPage="1" topLeftCell="D1">
      <pane ySplit="5" topLeftCell="A195" activePane="bottomLeft" state="frozen"/>
      <selection pane="bottomLeft" activeCell="C198" sqref="C198:E198"/>
      <pageMargins left="0.23622047244094491" right="0.23622047244094491" top="0.74803149606299213" bottom="0.74803149606299213" header="0.31496062992125984" footer="0.31496062992125984"/>
      <pageSetup paperSize="9" scale="21" orientation="portrait" r:id="rId2"/>
    </customSheetView>
  </customSheetViews>
  <mergeCells count="218">
    <mergeCell ref="AF225:AF226"/>
    <mergeCell ref="W225:W226"/>
    <mergeCell ref="X225:X226"/>
    <mergeCell ref="Y225:Y226"/>
    <mergeCell ref="Z225:Z226"/>
    <mergeCell ref="AA225:AA226"/>
    <mergeCell ref="AB225:AB226"/>
    <mergeCell ref="AC225:AC226"/>
    <mergeCell ref="AD225:AD226"/>
    <mergeCell ref="AE225:AE226"/>
    <mergeCell ref="W105:W106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O225:O226"/>
    <mergeCell ref="P225:P226"/>
    <mergeCell ref="Q225:Q226"/>
    <mergeCell ref="R225:R226"/>
    <mergeCell ref="S225:S226"/>
    <mergeCell ref="T225:T226"/>
    <mergeCell ref="U225:U226"/>
    <mergeCell ref="V225:V226"/>
    <mergeCell ref="W210:W211"/>
    <mergeCell ref="K210:K211"/>
    <mergeCell ref="L210:L211"/>
    <mergeCell ref="M210:M211"/>
    <mergeCell ref="N210:N211"/>
    <mergeCell ref="O210:O211"/>
    <mergeCell ref="P210:P211"/>
    <mergeCell ref="Q210:Q211"/>
    <mergeCell ref="AF210:AF211"/>
    <mergeCell ref="R210:R211"/>
    <mergeCell ref="S210:S211"/>
    <mergeCell ref="T210:T211"/>
    <mergeCell ref="U210:U211"/>
    <mergeCell ref="V210:V211"/>
    <mergeCell ref="X210:X211"/>
    <mergeCell ref="AA210:AA211"/>
    <mergeCell ref="AB210:AB211"/>
    <mergeCell ref="AC210:AC211"/>
    <mergeCell ref="AD210:AD211"/>
    <mergeCell ref="AE210:AE211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X105:X106"/>
    <mergeCell ref="Y105:Y106"/>
    <mergeCell ref="Z105:Z106"/>
    <mergeCell ref="T105:T106"/>
    <mergeCell ref="U105:U106"/>
    <mergeCell ref="V105:V106"/>
    <mergeCell ref="Y210:Y211"/>
    <mergeCell ref="Z210:Z211"/>
    <mergeCell ref="AF59:AF60"/>
    <mergeCell ref="Y59:Y60"/>
    <mergeCell ref="Z59:Z60"/>
    <mergeCell ref="AA59:AA60"/>
    <mergeCell ref="AB59:AB60"/>
    <mergeCell ref="AC59:AC60"/>
    <mergeCell ref="AD59:AD60"/>
    <mergeCell ref="AE59:AE60"/>
    <mergeCell ref="AA105:AA106"/>
    <mergeCell ref="AB105:AB106"/>
    <mergeCell ref="AC105:AC106"/>
    <mergeCell ref="AD105:AD106"/>
    <mergeCell ref="AE105:AE106"/>
    <mergeCell ref="U59:U60"/>
    <mergeCell ref="V59:V60"/>
    <mergeCell ref="AF105:AF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S105:S106"/>
    <mergeCell ref="C5:E5"/>
    <mergeCell ref="B7:B8"/>
    <mergeCell ref="C7:C8"/>
    <mergeCell ref="D7:D8"/>
    <mergeCell ref="Y7:Y8"/>
    <mergeCell ref="Y28:Y29"/>
    <mergeCell ref="X7:X8"/>
    <mergeCell ref="X28:X29"/>
    <mergeCell ref="W7:W8"/>
    <mergeCell ref="W28:W29"/>
    <mergeCell ref="K7:K8"/>
    <mergeCell ref="S7:S8"/>
    <mergeCell ref="S28:S29"/>
    <mergeCell ref="U7:U8"/>
    <mergeCell ref="U28:U29"/>
    <mergeCell ref="E7:E8"/>
    <mergeCell ref="Q7:Q8"/>
    <mergeCell ref="T28:T29"/>
    <mergeCell ref="O7:O8"/>
    <mergeCell ref="O28:O29"/>
    <mergeCell ref="K28:K29"/>
    <mergeCell ref="B28:B29"/>
    <mergeCell ref="C28:C29"/>
    <mergeCell ref="E28:E29"/>
    <mergeCell ref="S35:S36"/>
    <mergeCell ref="U35:U36"/>
    <mergeCell ref="T35:T36"/>
    <mergeCell ref="O35:O36"/>
    <mergeCell ref="J35:J36"/>
    <mergeCell ref="K35:K36"/>
    <mergeCell ref="V7:V8"/>
    <mergeCell ref="V28:V29"/>
    <mergeCell ref="F7:F8"/>
    <mergeCell ref="G7:G8"/>
    <mergeCell ref="J7:J8"/>
    <mergeCell ref="Z7:Z8"/>
    <mergeCell ref="Z28:Z29"/>
    <mergeCell ref="R7:R8"/>
    <mergeCell ref="P28:P29"/>
    <mergeCell ref="P35:P36"/>
    <mergeCell ref="T7:T8"/>
    <mergeCell ref="W59:W60"/>
    <mergeCell ref="X59:X60"/>
    <mergeCell ref="H7:H8"/>
    <mergeCell ref="H28:H29"/>
    <mergeCell ref="H35:H36"/>
    <mergeCell ref="Z35:Z36"/>
    <mergeCell ref="R35:R36"/>
    <mergeCell ref="L7:L8"/>
    <mergeCell ref="L28:L29"/>
    <mergeCell ref="L35:L36"/>
    <mergeCell ref="N7:N8"/>
    <mergeCell ref="N28:N29"/>
    <mergeCell ref="N35:N36"/>
    <mergeCell ref="M7:M8"/>
    <mergeCell ref="M28:M29"/>
    <mergeCell ref="M35:M36"/>
    <mergeCell ref="W35:W36"/>
    <mergeCell ref="V35:V36"/>
    <mergeCell ref="AE7:AE8"/>
    <mergeCell ref="AD7:AD8"/>
    <mergeCell ref="AD28:AD29"/>
    <mergeCell ref="AC7:AC8"/>
    <mergeCell ref="AC28:AC29"/>
    <mergeCell ref="AB7:AB8"/>
    <mergeCell ref="AB28:AB29"/>
    <mergeCell ref="AA7:AA8"/>
    <mergeCell ref="AA28:AA29"/>
    <mergeCell ref="AE28:AE29"/>
    <mergeCell ref="F59:F60"/>
    <mergeCell ref="F28:F29"/>
    <mergeCell ref="F35:F36"/>
    <mergeCell ref="G28:G29"/>
    <mergeCell ref="G35:G36"/>
    <mergeCell ref="J28:J29"/>
    <mergeCell ref="I35:I36"/>
    <mergeCell ref="G59:G60"/>
    <mergeCell ref="L59:L60"/>
    <mergeCell ref="H59:H60"/>
    <mergeCell ref="I59:I60"/>
    <mergeCell ref="J59:J60"/>
    <mergeCell ref="K59:K60"/>
    <mergeCell ref="B35:B36"/>
    <mergeCell ref="C35:C36"/>
    <mergeCell ref="E35:E36"/>
    <mergeCell ref="D35:D36"/>
    <mergeCell ref="B59:B60"/>
    <mergeCell ref="C59:C60"/>
    <mergeCell ref="D59:D60"/>
    <mergeCell ref="E59:E60"/>
    <mergeCell ref="D28:D29"/>
    <mergeCell ref="M59:M60"/>
    <mergeCell ref="N59:N60"/>
    <mergeCell ref="AF7:AF8"/>
    <mergeCell ref="AF28:AF29"/>
    <mergeCell ref="AF35:AF36"/>
    <mergeCell ref="P7:P8"/>
    <mergeCell ref="I7:I8"/>
    <mergeCell ref="I28:I29"/>
    <mergeCell ref="AE35:AE36"/>
    <mergeCell ref="AD35:AD36"/>
    <mergeCell ref="AC35:AC36"/>
    <mergeCell ref="AB35:AB36"/>
    <mergeCell ref="AA35:AA36"/>
    <mergeCell ref="Y35:Y36"/>
    <mergeCell ref="X35:X36"/>
    <mergeCell ref="R28:R29"/>
    <mergeCell ref="Q28:Q29"/>
    <mergeCell ref="Q35:Q36"/>
    <mergeCell ref="O59:O60"/>
    <mergeCell ref="P59:P60"/>
    <mergeCell ref="Q59:Q60"/>
    <mergeCell ref="R59:R60"/>
    <mergeCell ref="S59:S60"/>
    <mergeCell ref="T59:T60"/>
  </mergeCells>
  <hyperlinks>
    <hyperlink ref="C5" location="Contents!A1" display="Contents!A1"/>
    <hyperlink ref="F5" location="'Key Financials'!A1" display="Key financial and operational results"/>
    <hyperlink ref="G5" location="'Assets and Liabili-s structure'!A1" display="Assets and Liabilities structure"/>
    <hyperlink ref="I5" location="'Customer Deposits'!A1" display="Customer deposits"/>
    <hyperlink ref="J5" location="Capital!A1" display="Capital"/>
    <hyperlink ref="K5" location="'Income and Expenses structure'!A1" display="Income and Expenses structure"/>
  </hyperlinks>
  <pageMargins left="0.23622047244094491" right="0.23622047244094491" top="0.74803149606299213" bottom="0.74803149606299213" header="0.31496062992125984" footer="0.31496062992125984"/>
  <pageSetup paperSize="9" scale="21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4:AK112"/>
  <sheetViews>
    <sheetView showGridLines="0" zoomScaleNormal="100" workbookViewId="0">
      <pane ySplit="5" topLeftCell="A6" activePane="bottomLeft" state="frozen"/>
      <selection activeCell="A5" sqref="A5:XFD5"/>
      <selection pane="bottomLeft" activeCell="A5" sqref="A5:XFD5"/>
    </sheetView>
  </sheetViews>
  <sheetFormatPr defaultColWidth="9.140625" defaultRowHeight="15" x14ac:dyDescent="0.25"/>
  <cols>
    <col min="1" max="1" width="5.7109375" style="1" customWidth="1"/>
    <col min="2" max="2" width="54.42578125" style="1" customWidth="1"/>
    <col min="3" max="4" width="8.7109375" style="1" customWidth="1"/>
    <col min="5" max="36" width="16.7109375" style="1" customWidth="1"/>
    <col min="37" max="16384" width="9.140625" style="1"/>
  </cols>
  <sheetData>
    <row r="4" spans="1:37" x14ac:dyDescent="0.25">
      <c r="C4" s="6"/>
    </row>
    <row r="5" spans="1:37" ht="51" customHeight="1" thickBot="1" x14ac:dyDescent="0.3">
      <c r="A5" s="120"/>
      <c r="B5" s="121" t="s">
        <v>56</v>
      </c>
      <c r="C5" s="454" t="s">
        <v>3</v>
      </c>
      <c r="D5" s="454"/>
      <c r="E5" s="7" t="s">
        <v>0</v>
      </c>
      <c r="F5" s="47" t="s">
        <v>53</v>
      </c>
      <c r="G5" s="118" t="s">
        <v>56</v>
      </c>
      <c r="H5" s="119" t="s">
        <v>1</v>
      </c>
      <c r="I5" s="119" t="s">
        <v>2</v>
      </c>
      <c r="J5" s="59" t="s">
        <v>63</v>
      </c>
    </row>
    <row r="6" spans="1:37" ht="15.75" thickTop="1" x14ac:dyDescent="0.25">
      <c r="A6" s="60"/>
      <c r="B6" s="60"/>
    </row>
    <row r="7" spans="1:37" ht="15.75" customHeight="1" x14ac:dyDescent="0.25">
      <c r="B7" s="426" t="s">
        <v>54</v>
      </c>
      <c r="C7" s="436" t="s">
        <v>64</v>
      </c>
      <c r="D7" s="434" t="s">
        <v>79</v>
      </c>
      <c r="E7" s="416">
        <v>43100</v>
      </c>
      <c r="F7" s="416">
        <v>43008</v>
      </c>
      <c r="G7" s="416">
        <v>42916</v>
      </c>
      <c r="H7" s="416">
        <v>42825</v>
      </c>
      <c r="I7" s="416">
        <v>42735</v>
      </c>
      <c r="J7" s="416">
        <v>42643</v>
      </c>
      <c r="K7" s="416">
        <v>42551</v>
      </c>
      <c r="L7" s="416">
        <v>42460</v>
      </c>
      <c r="M7" s="416">
        <v>42369</v>
      </c>
      <c r="N7" s="416">
        <v>42277</v>
      </c>
      <c r="O7" s="416">
        <v>42185</v>
      </c>
      <c r="P7" s="416">
        <v>42094</v>
      </c>
      <c r="Q7" s="416">
        <v>42004</v>
      </c>
      <c r="R7" s="416">
        <v>41912</v>
      </c>
      <c r="S7" s="416">
        <v>41820</v>
      </c>
      <c r="T7" s="416">
        <v>41729</v>
      </c>
      <c r="U7" s="416">
        <v>41639</v>
      </c>
      <c r="V7" s="416">
        <v>41547</v>
      </c>
      <c r="W7" s="416">
        <v>41455</v>
      </c>
      <c r="X7" s="416">
        <v>41364</v>
      </c>
      <c r="Y7" s="416">
        <v>41274</v>
      </c>
      <c r="Z7" s="416">
        <v>41182</v>
      </c>
      <c r="AA7" s="416">
        <v>41090</v>
      </c>
      <c r="AB7" s="416">
        <v>40999</v>
      </c>
      <c r="AC7" s="416">
        <v>40908</v>
      </c>
      <c r="AD7" s="416">
        <v>40816</v>
      </c>
      <c r="AE7" s="416">
        <v>40724</v>
      </c>
      <c r="AF7" s="416">
        <v>40633</v>
      </c>
      <c r="AG7" s="416">
        <v>40543</v>
      </c>
      <c r="AH7" s="416">
        <v>40451</v>
      </c>
      <c r="AI7" s="416">
        <v>40359</v>
      </c>
      <c r="AJ7" s="416">
        <v>40268</v>
      </c>
      <c r="AK7" s="416">
        <v>40178</v>
      </c>
    </row>
    <row r="8" spans="1:37" x14ac:dyDescent="0.25">
      <c r="B8" s="427"/>
      <c r="C8" s="437"/>
      <c r="D8" s="444"/>
      <c r="E8" s="417"/>
      <c r="F8" s="417"/>
      <c r="G8" s="417"/>
      <c r="H8" s="418"/>
      <c r="I8" s="417"/>
      <c r="J8" s="417"/>
      <c r="K8" s="417"/>
      <c r="L8" s="418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</row>
    <row r="9" spans="1:37" ht="9.75" customHeight="1" x14ac:dyDescent="0.25">
      <c r="B9" s="8" t="s">
        <v>4</v>
      </c>
      <c r="C9" s="87"/>
      <c r="D9" s="88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8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7" ht="15" customHeight="1" x14ac:dyDescent="0.25">
      <c r="B10" s="17" t="s">
        <v>5</v>
      </c>
      <c r="C10" s="89"/>
      <c r="D10" s="90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7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7" ht="15" customHeight="1" x14ac:dyDescent="0.25">
      <c r="B11" s="14" t="s">
        <v>8</v>
      </c>
      <c r="C11" s="91">
        <f>(E11-F11)/F11</f>
        <v>-5.9996306059230883E-2</v>
      </c>
      <c r="D11" s="92">
        <f>(E11-I11)/I11</f>
        <v>-0.13590988870678133</v>
      </c>
      <c r="E11" s="22">
        <v>167065.815</v>
      </c>
      <c r="F11" s="22">
        <v>177728.89199999999</v>
      </c>
      <c r="G11" s="22">
        <v>187406.595</v>
      </c>
      <c r="H11" s="11">
        <v>187696.155</v>
      </c>
      <c r="I11" s="22">
        <v>193343.04699999999</v>
      </c>
      <c r="J11" s="11">
        <v>192953.16699999999</v>
      </c>
      <c r="K11" s="11">
        <v>203751.78599999999</v>
      </c>
      <c r="L11" s="11">
        <v>205590.93299999999</v>
      </c>
      <c r="M11" s="11">
        <v>210408.652</v>
      </c>
      <c r="N11" s="11">
        <v>197624.84299999999</v>
      </c>
      <c r="O11" s="11">
        <v>185469.473</v>
      </c>
      <c r="P11" s="11">
        <v>185899.579</v>
      </c>
      <c r="Q11" s="11">
        <v>192004.978</v>
      </c>
      <c r="R11" s="11">
        <v>163577.70699999999</v>
      </c>
      <c r="S11" s="11">
        <v>154061.08900000001</v>
      </c>
      <c r="T11" s="11">
        <v>164348.16399999999</v>
      </c>
      <c r="U11" s="11">
        <v>154322.226</v>
      </c>
      <c r="V11" s="11">
        <v>164029.03</v>
      </c>
      <c r="W11" s="11">
        <v>159666.27900000001</v>
      </c>
      <c r="X11" s="11">
        <v>156186.68799999999</v>
      </c>
      <c r="Y11" s="11">
        <v>148714.049</v>
      </c>
      <c r="Z11" s="11">
        <v>154078.06</v>
      </c>
      <c r="AA11" s="11">
        <v>154518.606</v>
      </c>
      <c r="AB11" s="11">
        <v>146506.56299999999</v>
      </c>
      <c r="AC11" s="11">
        <v>149259.26800000001</v>
      </c>
      <c r="AD11" s="11">
        <v>139506.861</v>
      </c>
      <c r="AE11" s="11">
        <v>135291.52499999999</v>
      </c>
      <c r="AF11" s="11">
        <v>131909.26300000001</v>
      </c>
      <c r="AG11" s="11">
        <v>122694.81</v>
      </c>
      <c r="AH11" s="11">
        <v>121567.216</v>
      </c>
      <c r="AI11" s="11">
        <v>107123.52800000001</v>
      </c>
      <c r="AJ11" s="11">
        <v>107773.09299999999</v>
      </c>
      <c r="AK11" s="11">
        <v>108831.34699999999</v>
      </c>
    </row>
    <row r="12" spans="1:37" ht="15" customHeight="1" x14ac:dyDescent="0.25">
      <c r="B12" s="14" t="s">
        <v>9</v>
      </c>
      <c r="C12" s="91">
        <f>(E12-F12)/F12</f>
        <v>0.13195181574927803</v>
      </c>
      <c r="D12" s="92">
        <f>(E12-I12)/I12</f>
        <v>0.108885643658006</v>
      </c>
      <c r="E12" s="22">
        <v>102786.253</v>
      </c>
      <c r="F12" s="22">
        <v>90804.441999999995</v>
      </c>
      <c r="G12" s="22">
        <v>91856.607000000004</v>
      </c>
      <c r="H12" s="11">
        <v>89292.462</v>
      </c>
      <c r="I12" s="22">
        <v>92693.285000000003</v>
      </c>
      <c r="J12" s="11">
        <v>93818.104000000007</v>
      </c>
      <c r="K12" s="11">
        <v>90487.763000000006</v>
      </c>
      <c r="L12" s="11">
        <v>87621.014999999999</v>
      </c>
      <c r="M12" s="11">
        <v>90573.576000000001</v>
      </c>
      <c r="N12" s="11">
        <v>87712.974000000002</v>
      </c>
      <c r="O12" s="11">
        <v>79645.337</v>
      </c>
      <c r="P12" s="11">
        <v>84816.880999999994</v>
      </c>
      <c r="Q12" s="11">
        <v>82454.014999999999</v>
      </c>
      <c r="R12" s="11">
        <v>75438.391000000003</v>
      </c>
      <c r="S12" s="11">
        <v>71524.760999999999</v>
      </c>
      <c r="T12" s="11">
        <v>69196.792000000001</v>
      </c>
      <c r="U12" s="11">
        <v>67330.521999999997</v>
      </c>
      <c r="V12" s="11">
        <v>65875.126000000004</v>
      </c>
      <c r="W12" s="11">
        <v>61913.517999999996</v>
      </c>
      <c r="X12" s="11">
        <v>58796.855000000003</v>
      </c>
      <c r="Y12" s="11">
        <v>58806.464999999997</v>
      </c>
      <c r="Z12" s="11">
        <v>57668.375</v>
      </c>
      <c r="AA12" s="11">
        <v>55826.112000000001</v>
      </c>
      <c r="AB12" s="11">
        <v>53688.697</v>
      </c>
      <c r="AC12" s="11">
        <v>56124.976000000002</v>
      </c>
      <c r="AD12" s="11">
        <v>57450.156000000003</v>
      </c>
      <c r="AE12" s="11">
        <v>58448.932999999997</v>
      </c>
      <c r="AF12" s="11">
        <v>55229.464999999997</v>
      </c>
      <c r="AG12" s="11">
        <v>55872.254000000001</v>
      </c>
      <c r="AH12" s="11">
        <v>52123.349000000002</v>
      </c>
      <c r="AI12" s="11">
        <v>51633.66</v>
      </c>
      <c r="AJ12" s="11">
        <v>50238.35</v>
      </c>
      <c r="AK12" s="11">
        <v>47609.61</v>
      </c>
    </row>
    <row r="13" spans="1:37" ht="15" customHeight="1" x14ac:dyDescent="0.25">
      <c r="B13" s="14" t="s">
        <v>10</v>
      </c>
      <c r="C13" s="91">
        <f>(E13-F13)/F13</f>
        <v>0.13451343027659157</v>
      </c>
      <c r="D13" s="92">
        <f>(E13-I13)/I13</f>
        <v>0.47865880439641967</v>
      </c>
      <c r="E13" s="22">
        <v>12052.541999999999</v>
      </c>
      <c r="F13" s="22">
        <v>10623.534</v>
      </c>
      <c r="G13" s="22">
        <v>9673.8230000000003</v>
      </c>
      <c r="H13" s="11">
        <v>9413.5020000000004</v>
      </c>
      <c r="I13" s="22">
        <v>8150.9960000000001</v>
      </c>
      <c r="J13" s="11">
        <v>11223.635</v>
      </c>
      <c r="K13" s="11">
        <v>17153.517</v>
      </c>
      <c r="L13" s="11">
        <v>17602.824000000001</v>
      </c>
      <c r="M13" s="11">
        <v>15782.647999999999</v>
      </c>
      <c r="N13" s="11">
        <v>14399.433999999999</v>
      </c>
      <c r="O13" s="11">
        <v>19678.137999999999</v>
      </c>
      <c r="P13" s="11">
        <v>17058.366000000002</v>
      </c>
      <c r="Q13" s="11">
        <v>17506.708999999999</v>
      </c>
      <c r="R13" s="11">
        <v>14906.778</v>
      </c>
      <c r="S13" s="11">
        <v>15847.941999999999</v>
      </c>
      <c r="T13" s="11">
        <v>16157.950999999999</v>
      </c>
      <c r="U13" s="11">
        <v>17407.830999999998</v>
      </c>
      <c r="V13" s="11">
        <v>19178.503000000001</v>
      </c>
      <c r="W13" s="11">
        <v>16748.037</v>
      </c>
      <c r="X13" s="11">
        <v>14620.145</v>
      </c>
      <c r="Y13" s="11">
        <v>16238.473</v>
      </c>
      <c r="Z13" s="11">
        <v>15883.272000000001</v>
      </c>
      <c r="AA13" s="11">
        <v>16221.066000000001</v>
      </c>
      <c r="AB13" s="11">
        <v>15504.683000000001</v>
      </c>
      <c r="AC13" s="11">
        <v>9838.2189999999991</v>
      </c>
      <c r="AD13" s="11">
        <v>10984.45</v>
      </c>
      <c r="AE13" s="11">
        <v>9970.893</v>
      </c>
      <c r="AF13" s="11">
        <v>11243.566000000001</v>
      </c>
      <c r="AG13" s="11">
        <v>9626.8009999999995</v>
      </c>
      <c r="AH13" s="11">
        <v>8596.3189999999995</v>
      </c>
      <c r="AI13" s="11">
        <v>4006.8910000000001</v>
      </c>
      <c r="AJ13" s="11">
        <v>5828.5439999999999</v>
      </c>
      <c r="AK13" s="11">
        <v>3021.1979999999999</v>
      </c>
    </row>
    <row r="14" spans="1:37" ht="15" customHeight="1" x14ac:dyDescent="0.25">
      <c r="B14" s="17" t="s">
        <v>11</v>
      </c>
      <c r="C14" s="91"/>
      <c r="D14" s="92"/>
      <c r="E14" s="22"/>
      <c r="F14" s="22"/>
      <c r="G14" s="22"/>
      <c r="H14" s="11"/>
      <c r="I14" s="2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" customHeight="1" x14ac:dyDescent="0.25">
      <c r="B15" s="14" t="s">
        <v>12</v>
      </c>
      <c r="C15" s="91">
        <f>(E15-F15)/F15</f>
        <v>7.2618880311732803E-2</v>
      </c>
      <c r="D15" s="92">
        <f>(E15-I15)/I15</f>
        <v>0.27372923004536914</v>
      </c>
      <c r="E15" s="22">
        <v>54066.688999999998</v>
      </c>
      <c r="F15" s="22">
        <v>50406.243999999999</v>
      </c>
      <c r="G15" s="22">
        <v>47095.038</v>
      </c>
      <c r="H15" s="11">
        <v>43893.972999999998</v>
      </c>
      <c r="I15" s="22">
        <v>42447.553</v>
      </c>
      <c r="J15" s="11">
        <v>40614.525999999998</v>
      </c>
      <c r="K15" s="11">
        <v>39570.656999999999</v>
      </c>
      <c r="L15" s="11">
        <v>37894.819000000003</v>
      </c>
      <c r="M15" s="11">
        <v>35379.300000000003</v>
      </c>
      <c r="N15" s="11">
        <v>32857.410000000003</v>
      </c>
      <c r="O15" s="11">
        <v>30213.544000000002</v>
      </c>
      <c r="P15" s="11">
        <v>28731.420999999998</v>
      </c>
      <c r="Q15" s="11">
        <v>29387.894</v>
      </c>
      <c r="R15" s="11">
        <v>27919.422999999999</v>
      </c>
      <c r="S15" s="11">
        <v>25262.518</v>
      </c>
      <c r="T15" s="11">
        <v>22379.146000000001</v>
      </c>
      <c r="U15" s="11">
        <v>20302.458999999999</v>
      </c>
      <c r="V15" s="11">
        <v>18389.496999999999</v>
      </c>
      <c r="W15" s="11">
        <v>15978.41</v>
      </c>
      <c r="X15" s="11">
        <v>13522.079</v>
      </c>
      <c r="Y15" s="11">
        <v>11605.606</v>
      </c>
      <c r="Z15" s="11">
        <v>9969.8459999999995</v>
      </c>
      <c r="AA15" s="11">
        <v>8809.9009999999998</v>
      </c>
      <c r="AB15" s="11">
        <v>7921.8029999999999</v>
      </c>
      <c r="AC15" s="11">
        <v>7836.4650000000001</v>
      </c>
      <c r="AD15" s="11">
        <v>7893.3609999999999</v>
      </c>
      <c r="AE15" s="11">
        <v>7833.4480000000003</v>
      </c>
      <c r="AF15" s="11">
        <v>7645.9520000000002</v>
      </c>
      <c r="AG15" s="11">
        <v>7700.09</v>
      </c>
      <c r="AH15" s="11">
        <v>7685.3940000000002</v>
      </c>
      <c r="AI15" s="11">
        <v>8056.8639999999996</v>
      </c>
      <c r="AJ15" s="11">
        <v>8251.3420000000006</v>
      </c>
      <c r="AK15" s="11">
        <v>8611.732</v>
      </c>
    </row>
    <row r="16" spans="1:37" ht="15" hidden="1" customHeight="1" x14ac:dyDescent="0.25">
      <c r="B16" s="14" t="s">
        <v>13</v>
      </c>
      <c r="C16" s="91"/>
      <c r="D16" s="92"/>
      <c r="E16" s="22"/>
      <c r="F16" s="22"/>
      <c r="G16" s="22"/>
      <c r="H16" s="11"/>
      <c r="I16" s="2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2:37" ht="15" customHeight="1" x14ac:dyDescent="0.25">
      <c r="B17" s="14" t="s">
        <v>84</v>
      </c>
      <c r="C17" s="91">
        <f>(E17-F17)/F17</f>
        <v>-2.9148626065073752E-2</v>
      </c>
      <c r="D17" s="92">
        <f>(E17-I17)/I17</f>
        <v>-0.187614244094368</v>
      </c>
      <c r="E17" s="22">
        <v>4634.1270000000004</v>
      </c>
      <c r="F17" s="22">
        <v>4773.2610000000004</v>
      </c>
      <c r="G17" s="22">
        <v>4746</v>
      </c>
      <c r="H17" s="11">
        <v>4755.0330000000004</v>
      </c>
      <c r="I17" s="22">
        <v>5704.3429999999998</v>
      </c>
      <c r="J17" s="11">
        <v>5764.5140000000001</v>
      </c>
      <c r="K17" s="11">
        <v>5179.6689999999999</v>
      </c>
      <c r="L17" s="11">
        <v>5241.0870000000004</v>
      </c>
      <c r="M17" s="11">
        <v>4761.6469999999999</v>
      </c>
      <c r="N17" s="11">
        <v>6149.5159999999996</v>
      </c>
      <c r="O17" s="11">
        <v>5534.1850000000004</v>
      </c>
      <c r="P17" s="11">
        <v>7323.9709999999995</v>
      </c>
      <c r="Q17" s="11">
        <v>7505.3069999999998</v>
      </c>
      <c r="R17" s="11">
        <v>6407.62</v>
      </c>
      <c r="S17" s="11">
        <v>5421.732</v>
      </c>
      <c r="T17" s="11">
        <v>5794.393</v>
      </c>
      <c r="U17" s="11">
        <v>5653.6040000000003</v>
      </c>
      <c r="V17" s="11">
        <v>5453.0519999999997</v>
      </c>
      <c r="W17" s="11">
        <v>5222.8620000000001</v>
      </c>
      <c r="X17" s="11">
        <v>4874.482</v>
      </c>
      <c r="Y17" s="11">
        <v>4461.5110000000004</v>
      </c>
      <c r="Z17" s="11">
        <v>3674.0149999999999</v>
      </c>
      <c r="AA17" s="11">
        <v>3720.431</v>
      </c>
      <c r="AB17" s="11">
        <v>4517.4880000000003</v>
      </c>
      <c r="AC17" s="11">
        <v>4713.4459999999999</v>
      </c>
      <c r="AD17" s="11">
        <v>5125.7910000000002</v>
      </c>
      <c r="AE17" s="11">
        <v>4104.393</v>
      </c>
      <c r="AF17" s="11">
        <v>4596.6719999999996</v>
      </c>
      <c r="AG17" s="11">
        <v>4135.3599999999997</v>
      </c>
      <c r="AH17" s="11">
        <v>4255.8549999999996</v>
      </c>
      <c r="AI17" s="11">
        <v>4240.1130000000003</v>
      </c>
      <c r="AJ17" s="11">
        <v>3823.3069999999998</v>
      </c>
      <c r="AK17" s="11">
        <v>3737.107</v>
      </c>
    </row>
    <row r="18" spans="2:37" ht="15" customHeight="1" x14ac:dyDescent="0.25">
      <c r="B18" s="14" t="s">
        <v>65</v>
      </c>
      <c r="C18" s="91">
        <f>(E18-F18)/F18</f>
        <v>7.4769991268640895E-2</v>
      </c>
      <c r="D18" s="92">
        <f>(E18-I18)/I18</f>
        <v>0.42843592800689667</v>
      </c>
      <c r="E18" s="22">
        <v>17105.016</v>
      </c>
      <c r="F18" s="22">
        <v>15915.047999999999</v>
      </c>
      <c r="G18" s="22">
        <v>14345.611000000001</v>
      </c>
      <c r="H18" s="11">
        <v>12462.101999999999</v>
      </c>
      <c r="I18" s="22">
        <v>11974.646999999999</v>
      </c>
      <c r="J18" s="11">
        <v>12418.382000000001</v>
      </c>
      <c r="K18" s="11">
        <v>12541.839</v>
      </c>
      <c r="L18" s="11">
        <v>13126.212</v>
      </c>
      <c r="M18" s="11">
        <v>13360.876</v>
      </c>
      <c r="N18" s="11">
        <v>13923.241</v>
      </c>
      <c r="O18" s="11">
        <v>13845.151999999998</v>
      </c>
      <c r="P18" s="11">
        <v>13905.918000000001</v>
      </c>
      <c r="Q18" s="11">
        <v>14885.21</v>
      </c>
      <c r="R18" s="11">
        <v>14408.641</v>
      </c>
      <c r="S18" s="11">
        <v>13970.351000000001</v>
      </c>
      <c r="T18" s="11">
        <v>13110.540999999999</v>
      </c>
      <c r="U18" s="11">
        <v>11815.749</v>
      </c>
      <c r="V18" s="11">
        <v>11054.169</v>
      </c>
      <c r="W18" s="11">
        <v>9647.9110000000001</v>
      </c>
      <c r="X18" s="11">
        <v>8085.6470000000008</v>
      </c>
      <c r="Y18" s="11">
        <v>6677.3270000000002</v>
      </c>
      <c r="Z18" s="11">
        <v>5615.1909999999998</v>
      </c>
      <c r="AA18" s="11">
        <v>4961.2139999999999</v>
      </c>
      <c r="AB18" s="11">
        <v>3966.5820000000003</v>
      </c>
      <c r="AC18" s="11">
        <v>3484.9679999999998</v>
      </c>
      <c r="AD18" s="11">
        <v>2740.201</v>
      </c>
      <c r="AE18" s="11">
        <v>2311.328</v>
      </c>
      <c r="AF18" s="11">
        <v>2127.25</v>
      </c>
      <c r="AG18" s="11">
        <v>2224.9659999999999</v>
      </c>
      <c r="AH18" s="11">
        <v>2259.7110000000002</v>
      </c>
      <c r="AI18" s="11">
        <v>2146.203</v>
      </c>
      <c r="AJ18" s="11">
        <v>2152.1909999999998</v>
      </c>
      <c r="AK18" s="11">
        <v>2299.2429999999999</v>
      </c>
    </row>
    <row r="19" spans="2:37" ht="15" customHeight="1" x14ac:dyDescent="0.25">
      <c r="B19" s="14"/>
      <c r="C19" s="91"/>
      <c r="D19" s="92"/>
      <c r="E19" s="22"/>
      <c r="F19" s="22"/>
      <c r="G19" s="22"/>
      <c r="H19" s="11"/>
      <c r="I19" s="2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2:37" ht="15" customHeight="1" x14ac:dyDescent="0.25">
      <c r="B20" s="17" t="s">
        <v>14</v>
      </c>
      <c r="C20" s="91">
        <f>(E20-F20)/F20</f>
        <v>-0.11753934297316376</v>
      </c>
      <c r="D20" s="92">
        <f>(E20-I20)/I20</f>
        <v>-2.7339981919462381E-3</v>
      </c>
      <c r="E20" s="22">
        <v>-39494.531999999999</v>
      </c>
      <c r="F20" s="22">
        <v>-44755.006000000001</v>
      </c>
      <c r="G20" s="22">
        <v>-44032.396000000001</v>
      </c>
      <c r="H20" s="22">
        <v>-42021.593999999997</v>
      </c>
      <c r="I20" s="22">
        <v>-39602.805999999997</v>
      </c>
      <c r="J20" s="22">
        <v>-42309.360999999997</v>
      </c>
      <c r="K20" s="22">
        <v>-40737.06</v>
      </c>
      <c r="L20" s="22">
        <v>-37706.627999999997</v>
      </c>
      <c r="M20" s="22">
        <v>-34964.599000000002</v>
      </c>
      <c r="N20" s="22">
        <v>-31648.95</v>
      </c>
      <c r="O20" s="22">
        <v>-28474.420999999998</v>
      </c>
      <c r="P20" s="22">
        <v>-28037.044000000002</v>
      </c>
      <c r="Q20" s="22">
        <v>-28405.117999999999</v>
      </c>
      <c r="R20" s="22">
        <v>-25647.248</v>
      </c>
      <c r="S20" s="22">
        <v>-24506.027999999998</v>
      </c>
      <c r="T20" s="22">
        <v>-26362.205000000002</v>
      </c>
      <c r="U20" s="22">
        <v>-25948.288</v>
      </c>
      <c r="V20" s="22">
        <v>-26496.215</v>
      </c>
      <c r="W20" s="22">
        <v>-25450.292000000001</v>
      </c>
      <c r="X20" s="22">
        <v>-25116.644</v>
      </c>
      <c r="Y20" s="22">
        <v>-24124.510999999999</v>
      </c>
      <c r="Z20" s="22">
        <v>-23876.834999999999</v>
      </c>
      <c r="AA20" s="22">
        <v>-22321.555</v>
      </c>
      <c r="AB20" s="22">
        <v>-23113.437999999998</v>
      </c>
      <c r="AC20" s="22">
        <v>-21350.274000000001</v>
      </c>
      <c r="AD20" s="22">
        <v>-20334.870999999999</v>
      </c>
      <c r="AE20" s="22">
        <v>-19613.791000000001</v>
      </c>
      <c r="AF20" s="22">
        <v>-20177.002</v>
      </c>
      <c r="AG20" s="22">
        <v>-19435.941999999999</v>
      </c>
      <c r="AH20" s="22">
        <v>-20238.473999999998</v>
      </c>
      <c r="AI20" s="22">
        <v>-19582.668000000001</v>
      </c>
      <c r="AJ20" s="22">
        <v>-18460.383000000002</v>
      </c>
      <c r="AK20" s="11">
        <v>-15909.748</v>
      </c>
    </row>
    <row r="21" spans="2:37" s="19" customFormat="1" ht="26.1" customHeight="1" x14ac:dyDescent="0.25">
      <c r="B21" s="19" t="s">
        <v>62</v>
      </c>
      <c r="C21" s="93">
        <f>(E21-F21)/F21</f>
        <v>4.1635496770068468E-2</v>
      </c>
      <c r="D21" s="94">
        <f>(E21-I21)/I21</f>
        <v>1.1136707252412533E-2</v>
      </c>
      <c r="E21" s="65">
        <f t="shared" ref="E21:S21" si="0">SUM(E11:E20)</f>
        <v>318215.90999999997</v>
      </c>
      <c r="F21" s="65">
        <f t="shared" si="0"/>
        <v>305496.41499999998</v>
      </c>
      <c r="G21" s="65">
        <f t="shared" si="0"/>
        <v>311091.27799999993</v>
      </c>
      <c r="H21" s="20">
        <f t="shared" si="0"/>
        <v>305491.63299999997</v>
      </c>
      <c r="I21" s="65">
        <f t="shared" si="0"/>
        <v>314711.065</v>
      </c>
      <c r="J21" s="20">
        <f t="shared" si="0"/>
        <v>314482.96700000006</v>
      </c>
      <c r="K21" s="20">
        <f t="shared" si="0"/>
        <v>327948.17099999997</v>
      </c>
      <c r="L21" s="20">
        <f t="shared" si="0"/>
        <v>329370.26199999999</v>
      </c>
      <c r="M21" s="20">
        <f t="shared" si="0"/>
        <v>335302.09999999998</v>
      </c>
      <c r="N21" s="20">
        <f t="shared" si="0"/>
        <v>321018.46799999994</v>
      </c>
      <c r="O21" s="20">
        <f t="shared" si="0"/>
        <v>305911.408</v>
      </c>
      <c r="P21" s="20">
        <f t="shared" si="0"/>
        <v>309699.09199999995</v>
      </c>
      <c r="Q21" s="20">
        <f t="shared" si="0"/>
        <v>315338.995</v>
      </c>
      <c r="R21" s="20">
        <f t="shared" si="0"/>
        <v>277011.31199999998</v>
      </c>
      <c r="S21" s="20">
        <f t="shared" si="0"/>
        <v>261582.36500000005</v>
      </c>
      <c r="T21" s="20">
        <f t="shared" ref="T21:Y21" si="1">SUM(T11:T20)</f>
        <v>264624.78200000001</v>
      </c>
      <c r="U21" s="20">
        <f t="shared" si="1"/>
        <v>250884.103</v>
      </c>
      <c r="V21" s="20">
        <f t="shared" si="1"/>
        <v>257483.16200000004</v>
      </c>
      <c r="W21" s="20">
        <f t="shared" si="1"/>
        <v>243726.72500000003</v>
      </c>
      <c r="X21" s="20">
        <f t="shared" si="1"/>
        <v>230969.25199999998</v>
      </c>
      <c r="Y21" s="20">
        <f t="shared" si="1"/>
        <v>222378.91999999998</v>
      </c>
      <c r="Z21" s="20">
        <f t="shared" ref="Z21:AK21" si="2">SUM(Z11:Z20)</f>
        <v>223011.924</v>
      </c>
      <c r="AA21" s="20">
        <f t="shared" si="2"/>
        <v>221735.77500000002</v>
      </c>
      <c r="AB21" s="20">
        <f t="shared" si="2"/>
        <v>208992.378</v>
      </c>
      <c r="AC21" s="20">
        <f t="shared" si="2"/>
        <v>209907.068</v>
      </c>
      <c r="AD21" s="20">
        <f t="shared" si="2"/>
        <v>203365.94900000002</v>
      </c>
      <c r="AE21" s="20">
        <f t="shared" si="2"/>
        <v>198346.72900000002</v>
      </c>
      <c r="AF21" s="20">
        <f t="shared" si="2"/>
        <v>192575.16599999997</v>
      </c>
      <c r="AG21" s="20">
        <f t="shared" si="2"/>
        <v>182818.33899999998</v>
      </c>
      <c r="AH21" s="20">
        <f t="shared" si="2"/>
        <v>176249.37000000002</v>
      </c>
      <c r="AI21" s="20">
        <f t="shared" si="2"/>
        <v>157624.59100000004</v>
      </c>
      <c r="AJ21" s="20">
        <f t="shared" si="2"/>
        <v>159606.44399999999</v>
      </c>
      <c r="AK21" s="20">
        <f t="shared" si="2"/>
        <v>158200.48899999997</v>
      </c>
    </row>
    <row r="22" spans="2:37" x14ac:dyDescent="0.25">
      <c r="X22" s="126"/>
    </row>
    <row r="23" spans="2:37" x14ac:dyDescent="0.25">
      <c r="X23" s="126"/>
    </row>
    <row r="24" spans="2:37" x14ac:dyDescent="0.25">
      <c r="X24" s="126"/>
    </row>
    <row r="25" spans="2:37" x14ac:dyDescent="0.25">
      <c r="B25" s="426" t="s">
        <v>66</v>
      </c>
      <c r="C25" s="436" t="s">
        <v>64</v>
      </c>
      <c r="D25" s="434" t="s">
        <v>79</v>
      </c>
      <c r="E25" s="416">
        <v>43100</v>
      </c>
      <c r="F25" s="416">
        <v>43008</v>
      </c>
      <c r="G25" s="416">
        <v>42916</v>
      </c>
      <c r="H25" s="416">
        <v>42825</v>
      </c>
      <c r="I25" s="416">
        <v>42735</v>
      </c>
      <c r="J25" s="416">
        <v>42643</v>
      </c>
      <c r="K25" s="416">
        <v>42551</v>
      </c>
      <c r="L25" s="416">
        <v>42460</v>
      </c>
      <c r="M25" s="416">
        <v>42369</v>
      </c>
      <c r="N25" s="416">
        <v>42277</v>
      </c>
      <c r="O25" s="416">
        <v>42185</v>
      </c>
      <c r="P25" s="416">
        <v>42094</v>
      </c>
      <c r="Q25" s="416">
        <v>42004</v>
      </c>
      <c r="R25" s="416">
        <v>41912</v>
      </c>
      <c r="S25" s="416">
        <v>41820</v>
      </c>
      <c r="T25" s="416">
        <v>41729</v>
      </c>
      <c r="U25" s="416">
        <v>41639</v>
      </c>
      <c r="V25" s="416">
        <v>41547</v>
      </c>
      <c r="W25" s="416">
        <v>41455</v>
      </c>
      <c r="X25" s="416">
        <v>41364</v>
      </c>
      <c r="Y25" s="416">
        <v>41274</v>
      </c>
      <c r="Z25" s="416">
        <v>41182</v>
      </c>
      <c r="AA25" s="416">
        <v>41090</v>
      </c>
      <c r="AB25" s="416">
        <v>40999</v>
      </c>
      <c r="AC25" s="416">
        <v>40908</v>
      </c>
      <c r="AD25" s="416">
        <v>40816</v>
      </c>
      <c r="AE25" s="416">
        <v>40724</v>
      </c>
      <c r="AF25" s="416">
        <v>40633</v>
      </c>
      <c r="AG25" s="416">
        <v>40543</v>
      </c>
      <c r="AH25" s="416">
        <v>40451</v>
      </c>
      <c r="AI25" s="416">
        <v>40359</v>
      </c>
      <c r="AJ25" s="416">
        <v>40268</v>
      </c>
      <c r="AK25" s="416">
        <v>40178</v>
      </c>
    </row>
    <row r="26" spans="2:37" x14ac:dyDescent="0.25">
      <c r="B26" s="427"/>
      <c r="C26" s="437"/>
      <c r="D26" s="444"/>
      <c r="E26" s="417"/>
      <c r="F26" s="417"/>
      <c r="G26" s="417"/>
      <c r="H26" s="418"/>
      <c r="I26" s="417"/>
      <c r="J26" s="417"/>
      <c r="K26" s="417"/>
      <c r="L26" s="418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</row>
    <row r="27" spans="2:37" ht="9.75" customHeight="1" x14ac:dyDescent="0.25">
      <c r="B27" s="8" t="s">
        <v>4</v>
      </c>
      <c r="C27" s="133"/>
      <c r="D27" s="134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X27" s="126"/>
    </row>
    <row r="28" spans="2:37" s="61" customFormat="1" ht="12.75" x14ac:dyDescent="0.2">
      <c r="B28" s="135" t="s">
        <v>70</v>
      </c>
      <c r="C28" s="155">
        <f>(E28-F28)/F28</f>
        <v>7.3135080058452429E-2</v>
      </c>
      <c r="D28" s="156">
        <f>(E28-I28)/I28</f>
        <v>0.30776971530000635</v>
      </c>
      <c r="E28" s="70">
        <f>E15+E18</f>
        <v>71171.705000000002</v>
      </c>
      <c r="F28" s="70">
        <f t="shared" ref="F28:AK28" si="3">F15+F18</f>
        <v>66321.292000000001</v>
      </c>
      <c r="G28" s="70">
        <f t="shared" si="3"/>
        <v>61440.649000000005</v>
      </c>
      <c r="H28" s="55">
        <f t="shared" si="3"/>
        <v>56356.074999999997</v>
      </c>
      <c r="I28" s="70">
        <f t="shared" si="3"/>
        <v>54422.2</v>
      </c>
      <c r="J28" s="55">
        <f t="shared" si="3"/>
        <v>53032.907999999996</v>
      </c>
      <c r="K28" s="55">
        <f t="shared" si="3"/>
        <v>52112.495999999999</v>
      </c>
      <c r="L28" s="55">
        <f t="shared" si="3"/>
        <v>51021.031000000003</v>
      </c>
      <c r="M28" s="55">
        <f t="shared" si="3"/>
        <v>48740.176000000007</v>
      </c>
      <c r="N28" s="55">
        <f t="shared" si="3"/>
        <v>46780.651000000005</v>
      </c>
      <c r="O28" s="55">
        <f t="shared" si="3"/>
        <v>44058.695999999996</v>
      </c>
      <c r="P28" s="55">
        <f t="shared" si="3"/>
        <v>42637.339</v>
      </c>
      <c r="Q28" s="55">
        <f t="shared" si="3"/>
        <v>44273.103999999999</v>
      </c>
      <c r="R28" s="55">
        <f t="shared" si="3"/>
        <v>42328.063999999998</v>
      </c>
      <c r="S28" s="55">
        <f t="shared" si="3"/>
        <v>39232.868999999999</v>
      </c>
      <c r="T28" s="55">
        <f t="shared" si="3"/>
        <v>35489.686999999998</v>
      </c>
      <c r="U28" s="55">
        <f t="shared" si="3"/>
        <v>32118.207999999999</v>
      </c>
      <c r="V28" s="55">
        <f t="shared" si="3"/>
        <v>29443.665999999997</v>
      </c>
      <c r="W28" s="55">
        <f t="shared" si="3"/>
        <v>25626.321</v>
      </c>
      <c r="X28" s="55">
        <f t="shared" si="3"/>
        <v>21607.726000000002</v>
      </c>
      <c r="Y28" s="55">
        <f t="shared" si="3"/>
        <v>18282.933000000001</v>
      </c>
      <c r="Z28" s="55">
        <f t="shared" si="3"/>
        <v>15585.037</v>
      </c>
      <c r="AA28" s="55">
        <f t="shared" si="3"/>
        <v>13771.115</v>
      </c>
      <c r="AB28" s="55">
        <f t="shared" si="3"/>
        <v>11888.385</v>
      </c>
      <c r="AC28" s="55">
        <f t="shared" si="3"/>
        <v>11321.433000000001</v>
      </c>
      <c r="AD28" s="55">
        <f t="shared" si="3"/>
        <v>10633.562</v>
      </c>
      <c r="AE28" s="55">
        <f t="shared" si="3"/>
        <v>10144.776</v>
      </c>
      <c r="AF28" s="55">
        <f t="shared" si="3"/>
        <v>9773.2020000000011</v>
      </c>
      <c r="AG28" s="55">
        <f t="shared" si="3"/>
        <v>9925.0560000000005</v>
      </c>
      <c r="AH28" s="55">
        <f t="shared" si="3"/>
        <v>9945.1049999999996</v>
      </c>
      <c r="AI28" s="55">
        <f t="shared" si="3"/>
        <v>10203.066999999999</v>
      </c>
      <c r="AJ28" s="55">
        <f t="shared" si="3"/>
        <v>10403.532999999999</v>
      </c>
      <c r="AK28" s="55">
        <f t="shared" si="3"/>
        <v>10910.975</v>
      </c>
    </row>
    <row r="29" spans="2:37" x14ac:dyDescent="0.25">
      <c r="X29" s="126"/>
    </row>
    <row r="30" spans="2:37" x14ac:dyDescent="0.25">
      <c r="X30" s="27"/>
      <c r="Y30" s="27"/>
    </row>
    <row r="32" spans="2:37" ht="15.75" customHeight="1" x14ac:dyDescent="0.25">
      <c r="B32" s="426" t="s">
        <v>15</v>
      </c>
      <c r="C32" s="436" t="s">
        <v>64</v>
      </c>
      <c r="D32" s="434" t="s">
        <v>79</v>
      </c>
      <c r="E32" s="416">
        <v>43100</v>
      </c>
      <c r="F32" s="416">
        <v>43008</v>
      </c>
      <c r="G32" s="416">
        <v>42916</v>
      </c>
      <c r="H32" s="416">
        <v>42825</v>
      </c>
      <c r="I32" s="416">
        <v>42735</v>
      </c>
      <c r="J32" s="416">
        <v>42643</v>
      </c>
      <c r="K32" s="416">
        <v>42551</v>
      </c>
      <c r="L32" s="416">
        <v>42460</v>
      </c>
      <c r="M32" s="416">
        <v>42369</v>
      </c>
      <c r="N32" s="416">
        <v>42277</v>
      </c>
      <c r="O32" s="416">
        <v>42185</v>
      </c>
      <c r="P32" s="416">
        <v>42094</v>
      </c>
      <c r="Q32" s="416">
        <v>42004</v>
      </c>
      <c r="R32" s="416">
        <v>41912</v>
      </c>
      <c r="S32" s="416">
        <v>41820</v>
      </c>
      <c r="T32" s="416">
        <v>41729</v>
      </c>
      <c r="U32" s="416">
        <v>41639</v>
      </c>
      <c r="V32" s="416">
        <v>41547</v>
      </c>
      <c r="W32" s="416">
        <v>41455</v>
      </c>
      <c r="X32" s="416">
        <v>41364</v>
      </c>
      <c r="Y32" s="416">
        <v>41274</v>
      </c>
      <c r="Z32" s="416">
        <v>41182</v>
      </c>
      <c r="AA32" s="416">
        <v>41090</v>
      </c>
      <c r="AB32" s="416">
        <v>40999</v>
      </c>
      <c r="AC32" s="416">
        <v>40908</v>
      </c>
      <c r="AD32" s="416">
        <v>40816</v>
      </c>
      <c r="AE32" s="416">
        <v>40724</v>
      </c>
      <c r="AF32" s="416">
        <v>40633</v>
      </c>
      <c r="AG32" s="416">
        <v>40543</v>
      </c>
      <c r="AH32" s="416">
        <v>40451</v>
      </c>
      <c r="AI32" s="416">
        <v>40359</v>
      </c>
      <c r="AJ32" s="416">
        <v>40268</v>
      </c>
      <c r="AK32" s="416">
        <v>40178</v>
      </c>
    </row>
    <row r="33" spans="2:37" x14ac:dyDescent="0.25">
      <c r="B33" s="427"/>
      <c r="C33" s="437"/>
      <c r="D33" s="444"/>
      <c r="E33" s="417"/>
      <c r="F33" s="417"/>
      <c r="G33" s="417"/>
      <c r="H33" s="418"/>
      <c r="I33" s="417"/>
      <c r="J33" s="417"/>
      <c r="K33" s="417"/>
      <c r="L33" s="418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</row>
    <row r="34" spans="2:37" ht="9.75" customHeight="1" x14ac:dyDescent="0.25">
      <c r="B34" s="8"/>
      <c r="C34" s="87"/>
      <c r="D34" s="88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8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 spans="2:37" ht="15" customHeight="1" x14ac:dyDescent="0.25">
      <c r="B35" s="184" t="s">
        <v>6</v>
      </c>
      <c r="C35" s="150"/>
      <c r="D35" s="151"/>
      <c r="E35" s="127">
        <f>75805.832/$E$50</f>
        <v>0.21191953910028716</v>
      </c>
      <c r="F35" s="127">
        <f>71094.553/$F$50</f>
        <v>0.20298148340702951</v>
      </c>
      <c r="G35" s="127">
        <f>66186.649/$G$50</f>
        <v>0.18637633547348356</v>
      </c>
      <c r="H35" s="127">
        <f>61111.108/$H$50</f>
        <v>0.17585261006482497</v>
      </c>
      <c r="I35" s="127">
        <f>60126.543/$I$50</f>
        <v>0.16969852981002825</v>
      </c>
      <c r="J35" s="127">
        <f>58797.422/$J$50</f>
        <v>0.16479452439347292</v>
      </c>
      <c r="K35" s="127">
        <f>57292.165/$K$50</f>
        <v>0.15539587752024708</v>
      </c>
      <c r="L35" s="127">
        <f>56262.118/$L$50</f>
        <v>0.15327066217652655</v>
      </c>
      <c r="M35" s="127">
        <f>53501.823/$M$50</f>
        <v>0.14449536818864719</v>
      </c>
      <c r="N35" s="127">
        <f>52930.167/$N$50</f>
        <v>0.15008521995076962</v>
      </c>
      <c r="O35" s="127">
        <f>49592.881/$O$50</f>
        <v>0.1483103549821784</v>
      </c>
      <c r="P35" s="127">
        <f>49961.31/$P$50</f>
        <v>0.14793001007153112</v>
      </c>
      <c r="Q35" s="127">
        <f>51778.411/$Q$50</f>
        <v>0.15063068440098637</v>
      </c>
      <c r="R35" s="127">
        <f>48735.684/$R$50</f>
        <v>0.16102529530306364</v>
      </c>
      <c r="S35" s="127">
        <f>44654.602/$S$50</f>
        <v>0.15608673085873845</v>
      </c>
      <c r="T35" s="127">
        <f>41284.08/$T$50</f>
        <v>0.14187603516441785</v>
      </c>
      <c r="U35" s="127">
        <f>37771.812/$U$50</f>
        <v>0.13644289190133099</v>
      </c>
      <c r="V35" s="127">
        <f>34896.718/$V$50</f>
        <v>0.12288469102458802</v>
      </c>
      <c r="W35" s="127">
        <f>30849.183/$W$50</f>
        <v>0.11460556084548629</v>
      </c>
      <c r="X35" s="127">
        <f>26482.208/$X$50</f>
        <v>0.10341142723455571</v>
      </c>
      <c r="Y35" s="13">
        <f>22744.444/$Y$50</f>
        <v>9.2268265426293392E-2</v>
      </c>
      <c r="Z35" s="13">
        <f>19259.052/$Z$50</f>
        <v>7.8007002335817158E-2</v>
      </c>
      <c r="AA35" s="41">
        <f>17491.546/$AA$50</f>
        <v>7.1669824462965312E-2</v>
      </c>
      <c r="AB35" s="41">
        <f>16405.873/$AB$50</f>
        <v>7.0682731190156819E-2</v>
      </c>
      <c r="AC35" s="41">
        <f>16034.879/$AC$50</f>
        <v>6.9337815877863029E-2</v>
      </c>
      <c r="AD35" s="41">
        <f>15759.353/$AD$50</f>
        <v>7.0448347037798065E-2</v>
      </c>
      <c r="AE35" s="41">
        <f>14249.169/$AE$50</f>
        <v>6.537500002293993E-2</v>
      </c>
      <c r="AF35" s="41">
        <f>14369.874/$AF$50</f>
        <v>6.7542785274930781E-2</v>
      </c>
      <c r="AG35" s="41">
        <f>14060.416/$AG$50</f>
        <v>6.9518508733073497E-2</v>
      </c>
      <c r="AH35" s="41">
        <f>14200.96/$AH$50</f>
        <v>7.2273987595894221E-2</v>
      </c>
      <c r="AI35" s="41">
        <f>14443.18/$AI$50</f>
        <v>8.1504448979711389E-2</v>
      </c>
      <c r="AJ35" s="41">
        <f>14226.84/$AJ$50</f>
        <v>7.9896071827011333E-2</v>
      </c>
      <c r="AK35" s="41">
        <f>14648.082/$AK$50</f>
        <v>8.4131078404080295E-2</v>
      </c>
    </row>
    <row r="36" spans="2:37" s="39" customFormat="1" ht="15" customHeight="1" x14ac:dyDescent="0.25">
      <c r="B36" s="184" t="s">
        <v>16</v>
      </c>
      <c r="C36" s="223"/>
      <c r="D36" s="224"/>
      <c r="E36" s="127">
        <f>48814.115/$E$50</f>
        <v>0.13646265042494901</v>
      </c>
      <c r="F36" s="127">
        <f>46410.431/$F$50</f>
        <v>0.13250604627811061</v>
      </c>
      <c r="G36" s="127">
        <f>46958.256/$G$50</f>
        <v>0.1322307112648311</v>
      </c>
      <c r="H36" s="127">
        <f>43267.5979999999/$H$50</f>
        <v>0.12450633425817749</v>
      </c>
      <c r="I36" s="127">
        <f>43572.746/$I$50</f>
        <v>0.12297781590379792</v>
      </c>
      <c r="J36" s="127">
        <f>46488.675/$J$50</f>
        <v>0.13029617329664106</v>
      </c>
      <c r="K36" s="127">
        <f>45232.334/$K$50</f>
        <v>0.1226855056746225</v>
      </c>
      <c r="L36" s="127">
        <f>42714.546/$L$50</f>
        <v>0.11636402934545947</v>
      </c>
      <c r="M36" s="127">
        <f>49429.706/$M$50</f>
        <v>0.13349757386634439</v>
      </c>
      <c r="N36" s="127">
        <f>51183.962/$N$50</f>
        <v>0.14513379855238004</v>
      </c>
      <c r="O36" s="127">
        <f>49462.236/$O$50</f>
        <v>0.1479196536166609</v>
      </c>
      <c r="P36" s="127">
        <f>49509.105/$P$50</f>
        <v>0.14659108020351133</v>
      </c>
      <c r="Q36" s="127">
        <f>48003.731/$Q$50</f>
        <v>0.13964960906835952</v>
      </c>
      <c r="R36" s="127">
        <f>43154.25/$R$50</f>
        <v>0.14258394013372694</v>
      </c>
      <c r="S36" s="127">
        <f>41561.173/$S$50</f>
        <v>0.14527388743100808</v>
      </c>
      <c r="T36" s="127">
        <f>43330.077/$T$50</f>
        <v>0.14890726711431942</v>
      </c>
      <c r="U36" s="127">
        <f>42323.17/$U$50</f>
        <v>0.1528837353429498</v>
      </c>
      <c r="V36" s="127">
        <f>43176.361/$V$50</f>
        <v>0.15204048074237445</v>
      </c>
      <c r="W36" s="127">
        <f>36601.873/$W$50</f>
        <v>0.13597696195585671</v>
      </c>
      <c r="X36" s="127">
        <f>34759.294/$X$50</f>
        <v>0.13573294954127424</v>
      </c>
      <c r="Y36" s="13">
        <f>34962.243/$Y$50</f>
        <v>0.14183268305097141</v>
      </c>
      <c r="Z36" s="13">
        <f>34993.377/$Z$50</f>
        <v>0.14173742515348786</v>
      </c>
      <c r="AA36" s="13">
        <f>31792.819/$AA$50</f>
        <v>0.13026783092316876</v>
      </c>
      <c r="AB36" s="13">
        <f>29633.909/$AB$50</f>
        <v>0.12767413376664374</v>
      </c>
      <c r="AC36" s="13">
        <f>30114.469/$AC$50</f>
        <v>0.13022059641245898</v>
      </c>
      <c r="AD36" s="13">
        <f>29753.823/$AD$50</f>
        <v>0.1330072147254534</v>
      </c>
      <c r="AE36" s="13">
        <f>29731.841/$AE$50</f>
        <v>0.13640929559169707</v>
      </c>
      <c r="AF36" s="13">
        <f>25982.141/$AF$50</f>
        <v>0.12212397760383809</v>
      </c>
      <c r="AG36" s="13">
        <f>24501.57/$AG$50</f>
        <v>0.12114240489179065</v>
      </c>
      <c r="AH36" s="13">
        <f>23524.078/$AH$50</f>
        <v>0.11972281603334199</v>
      </c>
      <c r="AI36" s="13">
        <f>22659.296/$AI$50</f>
        <v>0.12786889277487215</v>
      </c>
      <c r="AJ36" s="13">
        <f>23889.36/$AJ$50</f>
        <v>0.13415951978523211</v>
      </c>
      <c r="AK36" s="13">
        <f>21149.81/$AK$50</f>
        <v>0.12147367302704896</v>
      </c>
    </row>
    <row r="37" spans="2:37" s="39" customFormat="1" ht="15" customHeight="1" x14ac:dyDescent="0.25">
      <c r="B37" s="183" t="s">
        <v>17</v>
      </c>
      <c r="C37" s="150"/>
      <c r="D37" s="151"/>
      <c r="E37" s="127">
        <f>40591.842/$E$50</f>
        <v>0.11347681597732055</v>
      </c>
      <c r="F37" s="127">
        <f>32050.478/$F$50</f>
        <v>9.1507060580919106E-2</v>
      </c>
      <c r="G37" s="127">
        <f>31572.82/$G$50</f>
        <v>8.8906548088934237E-2</v>
      </c>
      <c r="H37" s="127">
        <f>31193.116/$H$50</f>
        <v>8.9760945991273031E-2</v>
      </c>
      <c r="I37" s="127">
        <f>29059.438/$I$50</f>
        <v>8.2016089062457276E-2</v>
      </c>
      <c r="J37" s="127">
        <f>33630.903/$J$50</f>
        <v>9.4259041915273456E-2</v>
      </c>
      <c r="K37" s="127">
        <f>36687.649/$K$50</f>
        <v>9.9509407796158786E-2</v>
      </c>
      <c r="L37" s="127">
        <f>37744.522/$L$50</f>
        <v>0.10282456626457742</v>
      </c>
      <c r="M37" s="127">
        <f>39805.362/$M$50</f>
        <v>0.1075045692942535</v>
      </c>
      <c r="N37" s="127">
        <f>39274.193/$N$50</f>
        <v>0.11136325896712126</v>
      </c>
      <c r="O37" s="127">
        <f>37862.557/$O$50</f>
        <v>0.11323014827880162</v>
      </c>
      <c r="P37" s="127">
        <f>39853.986/$P$50</f>
        <v>0.11800332197795975</v>
      </c>
      <c r="Q37" s="127">
        <f>45976.427/$Q$50</f>
        <v>0.13375189642884153</v>
      </c>
      <c r="R37" s="127">
        <f>43378.227/$R$50</f>
        <v>0.14332397206938405</v>
      </c>
      <c r="S37" s="127">
        <f>38061.546/$S$50</f>
        <v>0.13304121009900599</v>
      </c>
      <c r="T37" s="127">
        <f>41160.388/$T$50</f>
        <v>0.14145095773647087</v>
      </c>
      <c r="U37" s="127">
        <f>35081.826/$U$50</f>
        <v>0.12672587146783701</v>
      </c>
      <c r="V37" s="127">
        <f>33020.504/$V$50</f>
        <v>0.11627782393508101</v>
      </c>
      <c r="W37" s="127">
        <f>28925.015/$W$50</f>
        <v>0.10745722395757136</v>
      </c>
      <c r="X37" s="127">
        <f>29229.832/$X$50</f>
        <v>0.1141407334670239</v>
      </c>
      <c r="Y37" s="13">
        <f>27783.619/$Y$50</f>
        <v>0.11271088149681778</v>
      </c>
      <c r="Z37" s="13">
        <f>30799.638/$Z$50</f>
        <v>0.12475107463276609</v>
      </c>
      <c r="AA37" s="41">
        <f>30662.534/$AA$50</f>
        <v>0.12563660349803876</v>
      </c>
      <c r="AB37" s="41">
        <f>28216.599/$AB$50</f>
        <v>0.12156782404797646</v>
      </c>
      <c r="AC37" s="41">
        <f>26612.935/$AC$50</f>
        <v>0.11507930848742524</v>
      </c>
      <c r="AD37" s="41">
        <f>28087.486/$AD$50</f>
        <v>0.12555826125268563</v>
      </c>
      <c r="AE37" s="41">
        <f>28066.875/$AE$50</f>
        <v>0.12877045347478525</v>
      </c>
      <c r="AF37" s="41">
        <f>26790.407/$AF$50</f>
        <v>0.12592307402479677</v>
      </c>
      <c r="AG37" s="41">
        <f>25753.396/$AG$50</f>
        <v>0.12733177202810358</v>
      </c>
      <c r="AH37" s="41">
        <f>24088.461/$AH$50</f>
        <v>0.12259517184177561</v>
      </c>
      <c r="AI37" s="41">
        <f>26875.876/$AI$50</f>
        <v>0.15166351622198501</v>
      </c>
      <c r="AJ37" s="41">
        <f>23157.379/$AJ$50</f>
        <v>0.13004881027053963</v>
      </c>
      <c r="AK37" s="41">
        <f>25246.314/$AK$50</f>
        <v>0.14500189325455917</v>
      </c>
    </row>
    <row r="38" spans="2:37" s="39" customFormat="1" ht="15" customHeight="1" x14ac:dyDescent="0.25">
      <c r="B38" s="184" t="s">
        <v>20</v>
      </c>
      <c r="C38" s="150"/>
      <c r="D38" s="151"/>
      <c r="E38" s="127">
        <f>33385.845/$E$50</f>
        <v>9.3332039213996451E-2</v>
      </c>
      <c r="F38" s="127">
        <f>32382.354/$F$50</f>
        <v>9.245459706500378E-2</v>
      </c>
      <c r="G38" s="127">
        <f>32527.046/$G$50</f>
        <v>9.1593572553543709E-2</v>
      </c>
      <c r="H38" s="127">
        <f>32146.306/$H$50</f>
        <v>9.2503834393618645E-2</v>
      </c>
      <c r="I38" s="127">
        <f>34747.634/$I$50</f>
        <v>9.8070205103542224E-2</v>
      </c>
      <c r="J38" s="127">
        <f>35481.761/$J$50</f>
        <v>9.9446535745017467E-2</v>
      </c>
      <c r="K38" s="127">
        <f>35060.361/$K$50</f>
        <v>9.509564813568569E-2</v>
      </c>
      <c r="L38" s="127">
        <f>35491.86/$L$50</f>
        <v>9.6687808377149534E-2</v>
      </c>
      <c r="M38" s="127">
        <f>32814.512/$M$50</f>
        <v>8.8623989380152188E-2</v>
      </c>
      <c r="N38" s="127">
        <f>29583.945/$N$50</f>
        <v>8.3886243781102585E-2</v>
      </c>
      <c r="O38" s="127">
        <f>26040.723/$O$50</f>
        <v>7.7876275671957387E-2</v>
      </c>
      <c r="P38" s="127">
        <f>26973.128/$P$50</f>
        <v>7.9864501084953507E-2</v>
      </c>
      <c r="Q38" s="127">
        <f>26607.574/$Q$50</f>
        <v>7.7405177263355773E-2</v>
      </c>
      <c r="R38" s="127">
        <f>25717.617/$R$50</f>
        <v>8.4972376132365121E-2</v>
      </c>
      <c r="S38" s="127">
        <f>23172.57/$S$50</f>
        <v>8.0997938284060322E-2</v>
      </c>
      <c r="T38" s="127">
        <f>21453.196/$T$50</f>
        <v>7.3725619902033621E-2</v>
      </c>
      <c r="U38" s="127">
        <f>21175.211/$U$50</f>
        <v>7.6491088790256484E-2</v>
      </c>
      <c r="V38" s="127">
        <f>22072.458/$V$50</f>
        <v>7.7725566670286753E-2</v>
      </c>
      <c r="W38" s="127">
        <f>24570.018/$W$50</f>
        <v>9.127829067219359E-2</v>
      </c>
      <c r="X38" s="127">
        <f>23310.339/$X$50</f>
        <v>9.1025469829076416E-2</v>
      </c>
      <c r="Y38" s="13">
        <f>21566.3/$Y$50</f>
        <v>8.7488843106609732E-2</v>
      </c>
      <c r="Z38" s="13">
        <f>21768.582/$Z$50</f>
        <v>8.8171620644745513E-2</v>
      </c>
      <c r="AA38" s="41">
        <f>23068.472/$AA$50</f>
        <v>9.4520709539844608E-2</v>
      </c>
      <c r="AB38" s="41">
        <f>19565.29/$AB$50</f>
        <v>8.4294699448634242E-2</v>
      </c>
      <c r="AC38" s="41">
        <f>21568.27/$AC$50</f>
        <v>9.3265233499051456E-2</v>
      </c>
      <c r="AD38" s="41">
        <f>21664.3/$AD$50</f>
        <v>9.6844973567821513E-2</v>
      </c>
      <c r="AE38" s="41">
        <f>20315.66/$AE$50</f>
        <v>9.3207980968296467E-2</v>
      </c>
      <c r="AF38" s="41">
        <f>22413.487/$AF$50</f>
        <v>0.10535021668968375</v>
      </c>
      <c r="AG38" s="41">
        <f>21576.798/$AG$50</f>
        <v>0.10668153916603625</v>
      </c>
      <c r="AH38" s="41">
        <f>16964.451/$AH$50</f>
        <v>8.6338425088526086E-2</v>
      </c>
      <c r="AI38" s="41">
        <f>17511.077/$AI$50</f>
        <v>9.8816928261386869E-2</v>
      </c>
      <c r="AJ38" s="41">
        <f>17009.118/$AJ$50</f>
        <v>9.5520981007877453E-2</v>
      </c>
      <c r="AK38" s="41">
        <f>18508.914/$AK$50</f>
        <v>0.10630571940465512</v>
      </c>
    </row>
    <row r="39" spans="2:37" s="39" customFormat="1" ht="15" customHeight="1" x14ac:dyDescent="0.25">
      <c r="B39" s="184" t="s">
        <v>23</v>
      </c>
      <c r="C39" s="150"/>
      <c r="D39" s="151"/>
      <c r="E39" s="127">
        <f>28149.787/$E$50</f>
        <v>7.8694339596605906E-2</v>
      </c>
      <c r="F39" s="127">
        <f>24672.041/$F$50</f>
        <v>7.0440944763504626E-2</v>
      </c>
      <c r="G39" s="127">
        <f>31429.887/$G$50</f>
        <v>8.8504060137652232E-2</v>
      </c>
      <c r="H39" s="127">
        <f>30920.682/$H$50</f>
        <v>8.8976993097301602E-2</v>
      </c>
      <c r="I39" s="127">
        <f>43703.763/$I$50</f>
        <v>0.12334759256433402</v>
      </c>
      <c r="J39" s="127">
        <f>34943.83/$J$50</f>
        <v>9.7938849178393766E-2</v>
      </c>
      <c r="K39" s="127">
        <f>37013.586/$K$50</f>
        <v>0.10039346002444022</v>
      </c>
      <c r="L39" s="127">
        <f>39790.968/$L$50</f>
        <v>0.10839954539224739</v>
      </c>
      <c r="M39" s="127">
        <f>39865.293/$M$50</f>
        <v>0.10766642830064499</v>
      </c>
      <c r="N39" s="127">
        <f>36535.112/$N$50</f>
        <v>0.10359650519232261</v>
      </c>
      <c r="O39" s="127">
        <f>37028.539/$O$50</f>
        <v>0.11073596961550665</v>
      </c>
      <c r="P39" s="127">
        <f>39185.773/$P$50</f>
        <v>0.1160248158935531</v>
      </c>
      <c r="Q39" s="127">
        <f>36492.435/$Q$50</f>
        <v>0.10616162901384728</v>
      </c>
      <c r="R39" s="127">
        <f>30578.545/$R$50</f>
        <v>0.10103314110792042</v>
      </c>
      <c r="S39" s="127">
        <f>28876.351/$S$50</f>
        <v>0.10093506659670738</v>
      </c>
      <c r="T39" s="127">
        <f>29343.612/$T$50</f>
        <v>0.10084166409819556</v>
      </c>
      <c r="U39" s="127">
        <f>26367.208/$U$50</f>
        <v>9.5246108682419311E-2</v>
      </c>
      <c r="V39" s="127">
        <f>26887.203/$V$50</f>
        <v>9.4680125310648872E-2</v>
      </c>
      <c r="W39" s="127">
        <f>20898.725/$W$50</f>
        <v>7.7639336496547903E-2</v>
      </c>
      <c r="X39" s="127">
        <f>20645.783/$X$50</f>
        <v>8.0620539133478872E-2</v>
      </c>
      <c r="Y39" s="13">
        <f>18288.054/$Y$50</f>
        <v>7.4189855799613597E-2</v>
      </c>
      <c r="Z39" s="13">
        <f>16891.794/$Z$50</f>
        <v>6.8418643555983052E-2</v>
      </c>
      <c r="AA39" s="41">
        <f>14674.117/$AA$50</f>
        <v>6.0125696695936162E-2</v>
      </c>
      <c r="AB39" s="41">
        <f>15733.462/$AB$50</f>
        <v>6.7785729246870749E-2</v>
      </c>
      <c r="AC39" s="41">
        <f>14426.34/$AC$50</f>
        <v>6.2382192388944782E-2</v>
      </c>
      <c r="AD39" s="41">
        <f>11370.995/$AD$50</f>
        <v>5.0831262040076562E-2</v>
      </c>
      <c r="AE39" s="41">
        <f>11249.243/$AE$50</f>
        <v>5.1611378978174582E-2</v>
      </c>
      <c r="AF39" s="41">
        <f>10953.057/$AF$50</f>
        <v>5.1482704514672677E-2</v>
      </c>
      <c r="AG39" s="41">
        <f>11827.141/$AG$50</f>
        <v>5.8476591652465444E-2</v>
      </c>
      <c r="AH39" s="41">
        <f>11635.826/$AH$50</f>
        <v>5.921906293602569E-2</v>
      </c>
      <c r="AI39" s="41">
        <f>9292.084/$AI$50</f>
        <v>5.243624923965446E-2</v>
      </c>
      <c r="AJ39" s="41">
        <f>11082.203/$AJ$50</f>
        <v>6.2236201917609278E-2</v>
      </c>
      <c r="AK39" s="41">
        <f>10983.231/$AK$50</f>
        <v>6.3082051861201013E-2</v>
      </c>
    </row>
    <row r="40" spans="2:37" s="39" customFormat="1" ht="15" customHeight="1" x14ac:dyDescent="0.25">
      <c r="B40" s="183" t="s">
        <v>21</v>
      </c>
      <c r="C40" s="150"/>
      <c r="D40" s="151"/>
      <c r="E40" s="127">
        <f>24748.113/$E$50</f>
        <v>6.918476536952757E-2</v>
      </c>
      <c r="F40" s="127">
        <f>26855.042/$F$50</f>
        <v>7.6673613267082233E-2</v>
      </c>
      <c r="G40" s="127">
        <f>28315.874/$G$50</f>
        <v>7.9735247388773092E-2</v>
      </c>
      <c r="H40" s="127">
        <f>28014.802/$H$50</f>
        <v>8.0615066775573424E-2</v>
      </c>
      <c r="I40" s="127">
        <f>18228.508/$I$50</f>
        <v>5.1447345113959715E-2</v>
      </c>
      <c r="J40" s="127">
        <f>20057.146/$J$50</f>
        <v>5.6215182967723452E-2</v>
      </c>
      <c r="K40" s="127">
        <f>22081.554/$K$50</f>
        <v>5.9892700177078699E-2</v>
      </c>
      <c r="L40" s="127">
        <f>23011.189/$L$50</f>
        <v>6.2687653804629317E-2</v>
      </c>
      <c r="M40" s="127">
        <f>26547.246/$M$50</f>
        <v>7.1697633278114486E-2</v>
      </c>
      <c r="N40" s="127">
        <f>23141.738/$N$50</f>
        <v>6.5619155098699825E-2</v>
      </c>
      <c r="O40" s="127">
        <f>20231.138/$O$50</f>
        <v>6.0502378526334021E-2</v>
      </c>
      <c r="P40" s="127">
        <f>19156.417/$P$50</f>
        <v>5.6720069184423919E-2</v>
      </c>
      <c r="Q40" s="127">
        <f>14434.517/$Q$50</f>
        <v>4.199204132988308E-2</v>
      </c>
      <c r="R40" s="127">
        <f>9543.018/$R$50</f>
        <v>3.1530639675282933E-2</v>
      </c>
      <c r="S40" s="127">
        <f>9505.347/$S$50</f>
        <v>3.3225210223750669E-2</v>
      </c>
      <c r="T40" s="127">
        <f>9317.16/$T$50</f>
        <v>3.2019163798551582E-2</v>
      </c>
      <c r="U40" s="127">
        <f>9680.543/$U$50</f>
        <v>3.4968967919653593E-2</v>
      </c>
      <c r="V40" s="127">
        <f>15791.851/$V$50</f>
        <v>5.5609147279733623E-2</v>
      </c>
      <c r="W40" s="127">
        <f>16194.381/$W$50</f>
        <v>6.0162569525763029E-2</v>
      </c>
      <c r="X40" s="127">
        <f>16317.937/$X$50</f>
        <v>6.3720561166711043E-2</v>
      </c>
      <c r="Y40" s="13">
        <f>16399.614/$Y$50</f>
        <v>6.652894823196194E-2</v>
      </c>
      <c r="Z40" s="13">
        <f>14518.419/$Z$50</f>
        <v>5.8805508435481262E-2</v>
      </c>
      <c r="AA40" s="41">
        <f>17642.099/$AA$50</f>
        <v>7.2286700014295824E-2</v>
      </c>
      <c r="AB40" s="41">
        <f>16866.314/$AB$50</f>
        <v>7.2666485875562889E-2</v>
      </c>
      <c r="AC40" s="41">
        <f>17179.939/$AC$50</f>
        <v>7.4289269484036524E-2</v>
      </c>
      <c r="AD40" s="41">
        <f>16502.949/$AD$50</f>
        <v>7.3772411741718252E-2</v>
      </c>
      <c r="AE40" s="41">
        <f>14655.779/$AE$50</f>
        <v>6.7240521356803529E-2</v>
      </c>
      <c r="AF40" s="41">
        <f>19020.098/$AF$50</f>
        <v>8.9400254666265028E-2</v>
      </c>
      <c r="AG40" s="41">
        <f>14876.175/$AG$50</f>
        <v>7.3551842395860087E-2</v>
      </c>
      <c r="AH40" s="41">
        <f>8336.204/$AH$50</f>
        <v>4.2426054611296969E-2</v>
      </c>
      <c r="AI40" s="41">
        <f>8544.817/$AI$50</f>
        <v>4.8219339592629216E-2</v>
      </c>
      <c r="AJ40" s="41">
        <f>7829.386/$AJ$50</f>
        <v>4.396880728379577E-2</v>
      </c>
      <c r="AK40" s="41">
        <f>8496.896/$AK$50</f>
        <v>4.8801817437075803E-2</v>
      </c>
    </row>
    <row r="41" spans="2:37" s="39" customFormat="1" ht="15" customHeight="1" x14ac:dyDescent="0.25">
      <c r="B41" s="184" t="s">
        <v>19</v>
      </c>
      <c r="C41" s="150"/>
      <c r="D41" s="151"/>
      <c r="E41" s="127">
        <f>23742.738/$E$50</f>
        <v>6.637418205421021E-2</v>
      </c>
      <c r="F41" s="127">
        <f>25460.834/$F$50</f>
        <v>7.2693021279705242E-2</v>
      </c>
      <c r="G41" s="127">
        <f>26730.21/$G$50</f>
        <v>7.5270143775320375E-2</v>
      </c>
      <c r="H41" s="127">
        <f>24170.054/$H$50</f>
        <v>6.9551464871292518E-2</v>
      </c>
      <c r="I41" s="127">
        <f>28042.497/$I$50</f>
        <v>7.9145919184180069E-2</v>
      </c>
      <c r="J41" s="127">
        <f>31367.274/$J$50</f>
        <v>8.791465381508988E-2</v>
      </c>
      <c r="K41" s="127">
        <f>35277.951/$K$50</f>
        <v>9.5685826373663463E-2</v>
      </c>
      <c r="L41" s="127">
        <f>36399.549/$L$50</f>
        <v>9.9160557342631947E-2</v>
      </c>
      <c r="M41" s="127">
        <f>38407.258/$M$50</f>
        <v>0.10372863156132765</v>
      </c>
      <c r="N41" s="127">
        <f>34419.893/$N$50</f>
        <v>9.7598732525951692E-2</v>
      </c>
      <c r="O41" s="127">
        <f>32651.314/$O$50</f>
        <v>9.7645627201504409E-2</v>
      </c>
      <c r="P41" s="127">
        <f>35519.4/$P$50</f>
        <v>0.10516908383176388</v>
      </c>
      <c r="Q41" s="127">
        <f>37078.581/$Q$50</f>
        <v>0.10786681021647052</v>
      </c>
      <c r="R41" s="127">
        <f>34453.552/$R$50</f>
        <v>0.11383637059530054</v>
      </c>
      <c r="S41" s="127">
        <f>33818.956/$S$50</f>
        <v>0.11821156267601529</v>
      </c>
      <c r="T41" s="127">
        <f>33212.389/$T$50</f>
        <v>0.1141370249659996</v>
      </c>
      <c r="U41" s="127">
        <f>31707.561/$U$50</f>
        <v>0.11453703407127673</v>
      </c>
      <c r="V41" s="127">
        <f>30513.734/$V$50</f>
        <v>0.1074505280008414</v>
      </c>
      <c r="W41" s="127">
        <f>30295.942/$W$50</f>
        <v>0.11255025535853974</v>
      </c>
      <c r="X41" s="127">
        <f>28690.697/$X$50</f>
        <v>0.11203544376375965</v>
      </c>
      <c r="Y41" s="13">
        <f>27900.667/$Y$50</f>
        <v>0.11318571464427203</v>
      </c>
      <c r="Z41" s="13">
        <f>27636.157/$Z$50</f>
        <v>0.1119376885036714</v>
      </c>
      <c r="AA41" s="41">
        <f>27194.914/$AA$50</f>
        <v>0.11142838447015709</v>
      </c>
      <c r="AB41" s="41">
        <f>25390.647/$AB$50</f>
        <v>0.10939254964640784</v>
      </c>
      <c r="AC41" s="41">
        <f>27383.215/$AC$50</f>
        <v>0.1184101432766619</v>
      </c>
      <c r="AD41" s="41">
        <f>22591.938/$AD$50</f>
        <v>0.10099175318177196</v>
      </c>
      <c r="AE41" s="41">
        <f>23595.978/$AE$50</f>
        <v>0.1082580368224484</v>
      </c>
      <c r="AF41" s="41">
        <f>19851.493/$AF$50</f>
        <v>9.3308064432979121E-2</v>
      </c>
      <c r="AG41" s="41">
        <f>17356.272/$AG$50</f>
        <v>8.581411436230614E-2</v>
      </c>
      <c r="AH41" s="41">
        <f>17354.724/$AH$50</f>
        <v>8.8324670100202216E-2</v>
      </c>
      <c r="AI41" s="41">
        <f>13698.55/$AI$50</f>
        <v>7.7302420212932696E-2</v>
      </c>
      <c r="AJ41" s="41">
        <f>13138.669/$AJ$50</f>
        <v>7.3785045880555844E-2</v>
      </c>
      <c r="AK41" s="41">
        <f>14495.663/$AK$50</f>
        <v>8.325566175640782E-2</v>
      </c>
    </row>
    <row r="42" spans="2:37" s="39" customFormat="1" ht="15" customHeight="1" x14ac:dyDescent="0.25">
      <c r="B42" s="184" t="s">
        <v>18</v>
      </c>
      <c r="C42" s="150"/>
      <c r="D42" s="151"/>
      <c r="E42" s="127">
        <f>22682.774/$E$50</f>
        <v>6.3410992067153588E-2</v>
      </c>
      <c r="F42" s="127">
        <f>26588.053/$F$50</f>
        <v>7.5911335132027927E-2</v>
      </c>
      <c r="G42" s="127">
        <f>31717.002/$G$50</f>
        <v>8.9312553124802394E-2</v>
      </c>
      <c r="H42" s="127">
        <f>36264.577/$H$50</f>
        <v>0.10435452288554185</v>
      </c>
      <c r="I42" s="127">
        <f>36334.463/$I$50</f>
        <v>0.1025488019914411</v>
      </c>
      <c r="J42" s="127">
        <f>30405.697/$J$50</f>
        <v>8.5219593062550378E-2</v>
      </c>
      <c r="K42" s="127">
        <f>32846.094/$K$50</f>
        <v>8.9089801375851693E-2</v>
      </c>
      <c r="L42" s="127">
        <f>31020.308/$L$50</f>
        <v>8.4506295125252914E-2</v>
      </c>
      <c r="M42" s="127">
        <f>27680.381/$M$50</f>
        <v>7.4757954400862831E-2</v>
      </c>
      <c r="N42" s="127">
        <f>28027.812/$N$50</f>
        <v>7.9473777756242869E-2</v>
      </c>
      <c r="O42" s="127">
        <f>23752.606/$O$50</f>
        <v>7.1033530550721993E-2</v>
      </c>
      <c r="P42" s="127">
        <f>22384.821/$P$50</f>
        <v>6.6279022627297429E-2</v>
      </c>
      <c r="Q42" s="127">
        <f>22681.58/$Q$50</f>
        <v>6.5983908210233116E-2</v>
      </c>
      <c r="R42" s="127">
        <f>16354.247/$R$50</f>
        <v>5.403530301604554E-2</v>
      </c>
      <c r="S42" s="127">
        <f>13948.429/$S$50</f>
        <v>4.8755662030650779E-2</v>
      </c>
      <c r="T42" s="127">
        <f>14599.349/$T$50</f>
        <v>5.0171827786924368E-2</v>
      </c>
      <c r="U42" s="127">
        <f>15467.219/$U$50</f>
        <v>5.5872143227632634E-2</v>
      </c>
      <c r="V42" s="127">
        <f>19461.144/$V$50</f>
        <v>6.8530131327106891E-2</v>
      </c>
      <c r="W42" s="127">
        <f>24876.777/$W$50</f>
        <v>9.2417908769677731E-2</v>
      </c>
      <c r="X42" s="127">
        <f>24642.967/$X$50</f>
        <v>9.6229301905794928E-2</v>
      </c>
      <c r="Y42" s="13">
        <f>24673.744/$Y$50</f>
        <v>0.10009493133586445</v>
      </c>
      <c r="Z42" s="13">
        <f>26612.406/$Z$50</f>
        <v>0.10779108011150884</v>
      </c>
      <c r="AA42" s="41">
        <f>29569.4/$AA$50</f>
        <v>0.1211575985035975</v>
      </c>
      <c r="AB42" s="41">
        <f>27916.759/$AB$50</f>
        <v>0.12027599946052192</v>
      </c>
      <c r="AC42" s="41">
        <f>30574.2/$AC$50</f>
        <v>0.13220855924219696</v>
      </c>
      <c r="AD42" s="41">
        <f>30359.328/$AD$50</f>
        <v>0.135713977266601</v>
      </c>
      <c r="AE42" s="41">
        <f>32874.31/$AE$50</f>
        <v>0.1508269020462972</v>
      </c>
      <c r="AF42" s="41">
        <f>30726.399/$AF$50</f>
        <v>0.14442343544062028</v>
      </c>
      <c r="AG42" s="41">
        <f>28780.469/$AG$50</f>
        <v>0.14229844163348018</v>
      </c>
      <c r="AH42" s="41">
        <f>32256.077/$AH$50</f>
        <v>0.16416321917604226</v>
      </c>
      <c r="AI42" s="41">
        <f>25664.541/$AI$50</f>
        <v>0.14482781994839164</v>
      </c>
      <c r="AJ42" s="41">
        <f>32199.172/$AJ$50</f>
        <v>0.18082633662023978</v>
      </c>
      <c r="AK42" s="41">
        <f>31004.948/$AK$50</f>
        <v>0.17807653664844533</v>
      </c>
    </row>
    <row r="43" spans="2:37" s="39" customFormat="1" ht="15" customHeight="1" x14ac:dyDescent="0.25">
      <c r="B43" s="184" t="s">
        <v>22</v>
      </c>
      <c r="C43" s="150"/>
      <c r="D43" s="151"/>
      <c r="E43" s="127">
        <f>12052.542/$E$50</f>
        <v>3.3693570510865883E-2</v>
      </c>
      <c r="F43" s="127">
        <f>10623.534/$F$50</f>
        <v>3.033116602259267E-2</v>
      </c>
      <c r="G43" s="127">
        <f>9673.823/$G$50</f>
        <v>2.7240715582369207E-2</v>
      </c>
      <c r="H43" s="127">
        <f>9413.502/$H$50</f>
        <v>2.7088183322587608E-2</v>
      </c>
      <c r="I43" s="127">
        <f>8150.996/$I$50</f>
        <v>2.3005015234077584E-2</v>
      </c>
      <c r="J43" s="127">
        <f>11223.635/$J$50</f>
        <v>3.1457052518236883E-2</v>
      </c>
      <c r="K43" s="127">
        <f>17153.517/$K$50</f>
        <v>4.6526184283199566E-2</v>
      </c>
      <c r="L43" s="127">
        <f>17602.824/$L$50</f>
        <v>4.7954051261576286E-2</v>
      </c>
      <c r="M43" s="127">
        <f>15782.648/$M$50</f>
        <v>4.2625080901482856E-2</v>
      </c>
      <c r="N43" s="127">
        <f>14399.436/$N$50</f>
        <v>4.0830071804364987E-2</v>
      </c>
      <c r="O43" s="127">
        <f>19678.139/$O$50</f>
        <v>5.884860330011174E-2</v>
      </c>
      <c r="P43" s="127">
        <f>17058.366/$P$50</f>
        <v>5.0507968149431322E-2</v>
      </c>
      <c r="Q43" s="127">
        <f>17506.709/$Q$50</f>
        <v>5.0929480209018149E-2</v>
      </c>
      <c r="R43" s="127">
        <f>14906.778/$R$50</f>
        <v>4.9252788356622064E-2</v>
      </c>
      <c r="S43" s="127">
        <f>15847.942/$S$50</f>
        <v>5.5395263798765845E-2</v>
      </c>
      <c r="T43" s="127">
        <f>16157.952/$T$50</f>
        <v>5.5528091364443033E-2</v>
      </c>
      <c r="U43" s="127">
        <f>17407.831/$U$50</f>
        <v>6.2882204416606718E-2</v>
      </c>
      <c r="V43" s="127">
        <f>19178.504/$V$50</f>
        <v>6.7534847785795368E-2</v>
      </c>
      <c r="W43" s="127">
        <f>16748.037/$W$50</f>
        <v>6.2219416749090421E-2</v>
      </c>
      <c r="X43" s="127">
        <f>14620.146/$X$50</f>
        <v>5.7090789568512594E-2</v>
      </c>
      <c r="Y43" s="13">
        <f>17186.936/$Y$50</f>
        <v>6.9722907832467457E-2</v>
      </c>
      <c r="Z43" s="13">
        <f>15883.272/$Z$50</f>
        <v>6.4333718814634247E-2</v>
      </c>
      <c r="AA43" s="41">
        <f>16221.067/$AA$50</f>
        <v>6.6464166431715044E-2</v>
      </c>
      <c r="AB43" s="41">
        <f>15504.684/$AB$50</f>
        <v>6.6800066741972544E-2</v>
      </c>
      <c r="AC43" s="41">
        <f>9838.219/$AC$50</f>
        <v>4.2542299046228763E-2</v>
      </c>
      <c r="AD43" s="41">
        <f>10986.497/$AD$50</f>
        <v>4.9112457433101941E-2</v>
      </c>
      <c r="AE43" s="41">
        <f>10120.581/$AE$50</f>
        <v>4.643309256190066E-2</v>
      </c>
      <c r="AF43" s="41">
        <f>11243.568/$AF$50</f>
        <v>5.2848194712638602E-2</v>
      </c>
      <c r="AG43" s="41">
        <f>9626.801/$AG$50</f>
        <v>4.7597514141122184E-2</v>
      </c>
      <c r="AH43" s="41">
        <f>10742.22/$AH$50</f>
        <v>5.4671168359911357E-2</v>
      </c>
      <c r="AI43" s="41">
        <f>5579.747/$AI$50</f>
        <v>3.1487124350814549E-2</v>
      </c>
      <c r="AJ43" s="41">
        <f>5828.545/$AJ$50</f>
        <v>3.2732346042196846E-2</v>
      </c>
      <c r="AK43" s="41">
        <f>3021.198/$AK$50</f>
        <v>1.73522134715146E-2</v>
      </c>
    </row>
    <row r="44" spans="2:37" s="39" customFormat="1" ht="15" customHeight="1" x14ac:dyDescent="0.25">
      <c r="B44" s="184" t="s">
        <v>24</v>
      </c>
      <c r="C44" s="150"/>
      <c r="D44" s="151"/>
      <c r="E44" s="127">
        <f>11575.912/$E$50</f>
        <v>3.236112408482613E-2</v>
      </c>
      <c r="F44" s="127">
        <f>13544.677/$F$50</f>
        <v>3.8671297781829699E-2</v>
      </c>
      <c r="G44" s="127">
        <f>11428.461/$G$50</f>
        <v>3.2181636530376742E-2</v>
      </c>
      <c r="H44" s="127">
        <f>12493.185/$H$50</f>
        <v>3.5950243125565981E-2</v>
      </c>
      <c r="I44" s="127">
        <f>12982.384/$I$50</f>
        <v>3.6640913784603144E-2</v>
      </c>
      <c r="J44" s="127">
        <f>13604.439/$J$50</f>
        <v>3.8129852949080223E-2</v>
      </c>
      <c r="K44" s="127">
        <f>14168.82/$K$50</f>
        <v>3.8430668789116752E-2</v>
      </c>
      <c r="L44" s="127">
        <f>14744.984/$L$50</f>
        <v>4.0168652404132553E-2</v>
      </c>
      <c r="M44" s="127">
        <f>15594.885/$M$50</f>
        <v>4.2117978857180459E-2</v>
      </c>
      <c r="N44" s="127">
        <f>14134.809/$N$50</f>
        <v>4.0079713289533317E-2</v>
      </c>
      <c r="O44" s="127">
        <f>12285.247/$O$50</f>
        <v>3.6739735761948215E-2</v>
      </c>
      <c r="P44" s="127">
        <f>11801.74/$P$50</f>
        <v>3.4943669752886618E-2</v>
      </c>
      <c r="Q44" s="127">
        <f>12356.94/$Q$50</f>
        <v>3.5948077458420359E-2</v>
      </c>
      <c r="R44" s="127">
        <f>8533.262/$R$50</f>
        <v>2.8194352077800147E-2</v>
      </c>
      <c r="S44" s="127">
        <f>8034.336/$S$50</f>
        <v>2.8083404278481158E-2</v>
      </c>
      <c r="T44" s="127">
        <f>9067.193/$T$50</f>
        <v>3.1160132257048313E-2</v>
      </c>
      <c r="U44" s="127">
        <f>8218.649/$U$50</f>
        <v>2.9688176915684695E-2</v>
      </c>
      <c r="V44" s="127">
        <f>6484.055/$V$50</f>
        <v>2.283283761130302E-2</v>
      </c>
      <c r="W44" s="127">
        <f>6512.993/$W$50</f>
        <v>2.419594760573485E-2</v>
      </c>
      <c r="X44" s="127">
        <f>6424.409/$X$50</f>
        <v>2.5086930207198918E-2</v>
      </c>
      <c r="Y44" s="13">
        <f>7649.308/$Y$50</f>
        <v>3.1031243536727891E-2</v>
      </c>
      <c r="Z44" s="13">
        <f>8964.77/$Z$50</f>
        <v>3.6310968698254911E-2</v>
      </c>
      <c r="AA44" s="41">
        <f>7851.068/$AA$50</f>
        <v>3.21689498119151E-2</v>
      </c>
      <c r="AB44" s="41">
        <f>9121.205/$AB$50</f>
        <v>3.9297615015385916E-2</v>
      </c>
      <c r="AC44" s="41">
        <f>9417.183/$AC$50</f>
        <v>4.0721660633805959E-2</v>
      </c>
      <c r="AD44" s="41">
        <f>10022.892/$AD$50</f>
        <v>4.4804896110796549E-2</v>
      </c>
      <c r="AE44" s="41">
        <f>9159.114/$AE$50</f>
        <v>4.2021894607335311E-2</v>
      </c>
      <c r="AF44" s="41">
        <f>8289.141/$AF$50</f>
        <v>3.8961487809609535E-2</v>
      </c>
      <c r="AG44" s="41">
        <f>7697.385/$AG$50</f>
        <v>3.805795833809817E-2</v>
      </c>
      <c r="AH44" s="41">
        <f>7357.436/$AH$50</f>
        <v>3.7444738820585764E-2</v>
      </c>
      <c r="AI44" s="41">
        <f>5712.613/$AI$50</f>
        <v>3.223690176258525E-2</v>
      </c>
      <c r="AJ44" s="41">
        <f>5610.223/$AJ$50</f>
        <v>3.1506278258105876E-2</v>
      </c>
      <c r="AK44" s="41">
        <f>5682.991/$AK$50</f>
        <v>3.2640188755816812E-2</v>
      </c>
    </row>
    <row r="45" spans="2:37" ht="15" customHeight="1" x14ac:dyDescent="0.25">
      <c r="B45" s="183" t="s">
        <v>28</v>
      </c>
      <c r="C45" s="150"/>
      <c r="D45" s="151"/>
      <c r="E45" s="127">
        <f>8535.37/$E$50</f>
        <v>2.3861115018834148E-2</v>
      </c>
      <c r="F45" s="127">
        <f>8334.684/$F$50</f>
        <v>2.379628889499923E-2</v>
      </c>
      <c r="G45" s="127">
        <f>8239.388/$G$50</f>
        <v>2.3201460795880372E-2</v>
      </c>
      <c r="H45" s="127">
        <f>7310.378/$H$50</f>
        <v>2.1036258283199105E-2</v>
      </c>
      <c r="I45" s="127">
        <f>7556.166/$I$50</f>
        <v>2.13261930126354E-2</v>
      </c>
      <c r="J45" s="127">
        <f>7669.688/$J$50</f>
        <v>2.1496224548864178E-2</v>
      </c>
      <c r="K45" s="127">
        <f>5827.043/$K$50</f>
        <v>1.5804926560782143E-2</v>
      </c>
      <c r="L45" s="127">
        <f>4658.254/$L$50</f>
        <v>1.269013148716608E-2</v>
      </c>
      <c r="M45" s="127">
        <f>4618.923/$M$50</f>
        <v>1.2474583894459275E-2</v>
      </c>
      <c r="N45" s="127">
        <f>4392.04/$N$50</f>
        <v>1.2453773089976803E-2</v>
      </c>
      <c r="O45" s="127">
        <f>4322.212/$O$50</f>
        <v>1.2925822882284886E-2</v>
      </c>
      <c r="P45" s="127">
        <f>3679.8/$P$50</f>
        <v>1.0895487949799961E-2</v>
      </c>
      <c r="Q45" s="127">
        <f>3950.457/$Q$50</f>
        <v>1.1492435362813035E-2</v>
      </c>
      <c r="R45" s="127">
        <f>2774.69/$R$50</f>
        <v>9.1677235231674929E-3</v>
      </c>
      <c r="S45" s="127">
        <f>2710.494/$S$50</f>
        <v>9.4743235528608107E-3</v>
      </c>
      <c r="T45" s="127">
        <f>2469.735/$T$50</f>
        <v>8.487441398882899E-3</v>
      </c>
      <c r="U45" s="127">
        <f>3314.707/$U$50</f>
        <v>1.1973696387284391E-2</v>
      </c>
      <c r="V45" s="127">
        <f>4370.324/$V$50</f>
        <v>1.5389582321676828E-2</v>
      </c>
      <c r="W45" s="127">
        <f>4101.664/$W$50</f>
        <v>1.523779424303524E-2</v>
      </c>
      <c r="X45" s="127">
        <f>4204.722/$X$50</f>
        <v>1.6419186162442933E-2</v>
      </c>
      <c r="Y45" s="13">
        <f>3061.887/$Y$50</f>
        <v>1.2421275385818059E-2</v>
      </c>
      <c r="Z45" s="13">
        <f>2081.079/$Z$50</f>
        <v>8.429217305920356E-3</v>
      </c>
      <c r="AA45" s="13">
        <f>2421.464/$AA$50</f>
        <v>9.9217015936378557E-3</v>
      </c>
      <c r="AB45" s="13">
        <f>3102.782/$AB$50</f>
        <v>1.3367963170728994E-2</v>
      </c>
      <c r="AC45" s="13">
        <f>3673.659/$AC$50</f>
        <v>1.5885588618414544E-2</v>
      </c>
      <c r="AD45" s="13">
        <f>3973.876/$AD$50</f>
        <v>1.776424422583699E-2</v>
      </c>
      <c r="AE45" s="13">
        <f>3283.338/$AE$50</f>
        <v>1.5063911574444769E-2</v>
      </c>
      <c r="AF45" s="13">
        <f>3572.32/$AF$50</f>
        <v>1.6790992230922883E-2</v>
      </c>
      <c r="AG45" s="13">
        <f>2793.273/$AG$50</f>
        <v>1.381069901803463E-2</v>
      </c>
      <c r="AH45" s="13">
        <f>1982.642/$AH$50</f>
        <v>1.0090405389149671E-2</v>
      </c>
      <c r="AI45" s="13">
        <f>1480.909/$AI$50</f>
        <v>8.3569319245550781E-3</v>
      </c>
      <c r="AJ45" s="13">
        <f>1594.456/$AJ$50</f>
        <v>8.9542562579609502E-3</v>
      </c>
      <c r="AK45" s="13">
        <f>1626.836/$AK$50</f>
        <v>9.3437125124354401E-3</v>
      </c>
    </row>
    <row r="46" spans="2:37" ht="15" customHeight="1" x14ac:dyDescent="0.25">
      <c r="B46" s="184" t="s">
        <v>25</v>
      </c>
      <c r="C46" s="150"/>
      <c r="D46" s="151"/>
      <c r="E46" s="127">
        <f>7306.273/$E$50</f>
        <v>2.0425104056649261E-2</v>
      </c>
      <c r="F46" s="127">
        <f>7648.779/$F$50</f>
        <v>2.1837967075656779E-2</v>
      </c>
      <c r="G46" s="127">
        <f>7917.402/$G$50</f>
        <v>2.2294773848279124E-2</v>
      </c>
      <c r="H46" s="127">
        <f>7777.152/$H$50</f>
        <v>2.2379441689567691E-2</v>
      </c>
      <c r="I46" s="127">
        <f>7844.731/$I$50</f>
        <v>2.2140626269751659E-2</v>
      </c>
      <c r="J46" s="127">
        <f>7848.352/$J$50</f>
        <v>2.1996975226440403E-2</v>
      </c>
      <c r="K46" s="127">
        <f>7870.684/$K$50</f>
        <v>2.1347977456683098E-2</v>
      </c>
      <c r="L46" s="127">
        <f>7692.411/$L$50</f>
        <v>2.0955857504404596E-2</v>
      </c>
      <c r="M46" s="127">
        <f>7620.521/$M$50</f>
        <v>2.0581167630200525E-2</v>
      </c>
      <c r="N46" s="127">
        <f>7513.184/$N$50</f>
        <v>2.1303878999108451E-2</v>
      </c>
      <c r="O46" s="127">
        <f>7689.627/$O$50</f>
        <v>2.2996270574612183E-2</v>
      </c>
      <c r="P46" s="127">
        <f>7719.137/$P$50</f>
        <v>2.2855525889003483E-2</v>
      </c>
      <c r="Q46" s="127">
        <f>9123.993/$Q$50</f>
        <v>2.6542979661152773E-2</v>
      </c>
      <c r="R46" s="127">
        <f>9695.073/$R$50</f>
        <v>3.2033037492810383E-2</v>
      </c>
      <c r="S46" s="127">
        <f>10730.023/$S$50</f>
        <v>3.7505971100337501E-2</v>
      </c>
      <c r="T46" s="127">
        <f>11335.553/$T$50</f>
        <v>3.8955532399804531E-2</v>
      </c>
      <c r="U46" s="127">
        <f>11362.699/$U$50</f>
        <v>4.104541003657336E-2</v>
      </c>
      <c r="V46" s="127">
        <f>8360.25/$V$50</f>
        <v>2.9439637794543085E-2</v>
      </c>
      <c r="W46" s="127">
        <f>7684.403/$W$50</f>
        <v>2.8547767880197583E-2</v>
      </c>
      <c r="X46" s="127">
        <f>6183.183/$X$50</f>
        <v>2.4144957206077452E-2</v>
      </c>
      <c r="Y46" s="13">
        <f>6320.276/$Y$50</f>
        <v>2.5639708033110498E-2</v>
      </c>
      <c r="Z46" s="13">
        <f>7265.319/$Z$50</f>
        <v>2.9427500180354508E-2</v>
      </c>
      <c r="AA46" s="13">
        <f>7685.09/$AA$50</f>
        <v>3.148887189743492E-2</v>
      </c>
      <c r="AB46" s="13">
        <f>7375.463/$AB$50</f>
        <v>3.1776295515145554E-2</v>
      </c>
      <c r="AC46" s="13">
        <f>7278.856/$AC$50</f>
        <v>3.1475134744046306E-2</v>
      </c>
      <c r="AD46" s="13">
        <f>7029.771/$AD$50</f>
        <v>3.1424878102816071E-2</v>
      </c>
      <c r="AE46" s="13">
        <f>6269.953/$AE$50</f>
        <v>2.8766461926224073E-2</v>
      </c>
      <c r="AF46" s="13">
        <f>5888.992/$AF$50</f>
        <v>2.7680056355524424E-2</v>
      </c>
      <c r="AG46" s="13">
        <f>6046.779/$AG$50</f>
        <v>2.9896914765428381E-2</v>
      </c>
      <c r="AH46" s="13">
        <f>8566.181/$AH$50</f>
        <v>4.3596493429893808E-2</v>
      </c>
      <c r="AI46" s="13">
        <f>7432.339/$AI$50</f>
        <v>4.1941504213436315E-2</v>
      </c>
      <c r="AJ46" s="13">
        <f>4820.807/$AJ$50</f>
        <v>2.7073021298908189E-2</v>
      </c>
      <c r="AK46" s="13">
        <f>5031.747/$AK$50</f>
        <v>2.8899776869524336E-2</v>
      </c>
    </row>
    <row r="47" spans="2:37" ht="15" customHeight="1" x14ac:dyDescent="0.25">
      <c r="B47" s="183" t="s">
        <v>26</v>
      </c>
      <c r="C47" s="150"/>
      <c r="D47" s="151"/>
      <c r="E47" s="127">
        <f>3445.199/$E$50</f>
        <v>9.6312508540077786E-3</v>
      </c>
      <c r="F47" s="127">
        <f>4447.42/$F$50</f>
        <v>1.2697792880617608E-2</v>
      </c>
      <c r="G47" s="127">
        <f>4067.254/$G$50</f>
        <v>1.1453063531889459E-2</v>
      </c>
      <c r="H47" s="127">
        <f>4070.185/$H$50</f>
        <v>1.1712316780391212E-2</v>
      </c>
      <c r="I47" s="127">
        <f>3607.036/$I$50</f>
        <v>1.0180340921510239E-2</v>
      </c>
      <c r="J47" s="127">
        <f>1721.503/$J$50</f>
        <v>4.8249439937508966E-3</v>
      </c>
      <c r="K47" s="127">
        <f>1169.279/$K$50</f>
        <v>3.17148315604755E-3</v>
      </c>
      <c r="L47" s="127">
        <f>1030.477/$L$50</f>
        <v>2.8072510911814688E-3</v>
      </c>
      <c r="M47" s="127">
        <f>1014.213/$M$50</f>
        <v>2.7391418205826826E-3</v>
      </c>
      <c r="N47" s="127">
        <f>2446.89/$N$50</f>
        <v>6.9382366363087171E-3</v>
      </c>
      <c r="O47" s="127">
        <f>2497.908/$O$50</f>
        <v>7.4701371390950904E-3</v>
      </c>
      <c r="P47" s="127">
        <f>2795.001/$P$50</f>
        <v>8.2756942538123931E-3</v>
      </c>
      <c r="Q47" s="127">
        <f>5993.292/$Q$50</f>
        <v>1.7435329867016517E-2</v>
      </c>
      <c r="R47" s="127">
        <f>5318.31/$R$50</f>
        <v>1.7571979460947677E-2</v>
      </c>
      <c r="S47" s="127">
        <f>5840.871/$S$50</f>
        <v>2.041631587619145E-2</v>
      </c>
      <c r="T47" s="127">
        <f>5739.588/$T$50</f>
        <v>1.9724552149818299E-2</v>
      </c>
      <c r="U47" s="127">
        <f>5888.993/$U$50</f>
        <v>2.1272774398715503E-2</v>
      </c>
      <c r="V47" s="127">
        <f>7853.172/$V$50</f>
        <v>2.7654022214437066E-2</v>
      </c>
      <c r="W47" s="127">
        <f>8286.403/$W$50</f>
        <v>3.0784214389299062E-2</v>
      </c>
      <c r="X47" s="127">
        <f>8874.483/$X$50</f>
        <v>3.4654321610901997E-2</v>
      </c>
      <c r="Y47" s="13">
        <f>6637.383/$Y$50</f>
        <v>2.6926128261476407E-2</v>
      </c>
      <c r="Z47" s="13">
        <f>6515.32/$Z$50</f>
        <v>2.63896988521863E-2</v>
      </c>
      <c r="AA47" s="13">
        <f>5379.754/$AA$50</f>
        <v>2.2042992931210058E-2</v>
      </c>
      <c r="AB47" s="13">
        <f>5334.155/$AB$50</f>
        <v>2.298156544254798E-2</v>
      </c>
      <c r="AC47" s="13">
        <f>5007.088/$AC$50</f>
        <v>2.1651585012163632E-2</v>
      </c>
      <c r="AD47" s="13">
        <f>3930.508/$AD$50</f>
        <v>1.7570378150603111E-2</v>
      </c>
      <c r="AE47" s="13">
        <f>3515.651/$AE$50</f>
        <v>1.6129760563977365E-2</v>
      </c>
      <c r="AF47" s="13">
        <f>3531.29/$AF$50</f>
        <v>1.6598138732010475E-2</v>
      </c>
      <c r="AG47" s="13">
        <f>3596.635/$AG$50</f>
        <v>1.7782738551773845E-2</v>
      </c>
      <c r="AH47" s="13">
        <f>2978.459/$AH$50</f>
        <v>1.5158489906378124E-2</v>
      </c>
      <c r="AI47" s="13">
        <f>2278.502/$AI$50</f>
        <v>1.2857836709725306E-2</v>
      </c>
      <c r="AJ47" s="13">
        <f>1287.456/$AJ$50</f>
        <v>7.230184429579351E-3</v>
      </c>
      <c r="AK47" s="13">
        <f>1350.055/$AK$50</f>
        <v>7.7540242507394908E-3</v>
      </c>
    </row>
    <row r="48" spans="2:37" ht="15" customHeight="1" x14ac:dyDescent="0.25">
      <c r="B48" s="183" t="s">
        <v>27</v>
      </c>
      <c r="C48" s="150"/>
      <c r="D48" s="151"/>
      <c r="E48" s="127">
        <f>2651.539/$E$50</f>
        <v>7.4125289303128604E-3</v>
      </c>
      <c r="F48" s="127">
        <f>7269.59/$F$50</f>
        <v>2.0755347627840176E-2</v>
      </c>
      <c r="G48" s="127">
        <f>6790.983/$G$50</f>
        <v>1.9122867601330352E-2</v>
      </c>
      <c r="H48" s="127">
        <f>6985.231/$H$50</f>
        <v>2.0100619076579784E-2</v>
      </c>
      <c r="I48" s="127">
        <f>6813.799/$I$50</f>
        <v>1.9230968803928085E-2</v>
      </c>
      <c r="J48" s="127">
        <f>7442.847/$J$50</f>
        <v>2.0860445743665204E-2</v>
      </c>
      <c r="K48" s="127">
        <f>6757.393/$K$50</f>
        <v>1.832835283819655E-2</v>
      </c>
      <c r="L48" s="127">
        <f>6053.444/$L$50</f>
        <v>1.6490942810374144E-2</v>
      </c>
      <c r="M48" s="127">
        <f>3932.379/$M$50</f>
        <v>1.0620396083742871E-2</v>
      </c>
      <c r="N48" s="127">
        <f>3654.112/$N$50</f>
        <v>1.0361354107285297E-2</v>
      </c>
      <c r="O48" s="127">
        <f>2021.552/$O$50</f>
        <v>6.0455672001578755E-3</v>
      </c>
      <c r="P48" s="127">
        <f>2171.835/$P$50</f>
        <v>6.4305674415603559E-3</v>
      </c>
      <c r="Q48" s="127">
        <f>1209.854/$Q$50</f>
        <v>3.5196355493657574E-3</v>
      </c>
      <c r="R48" s="127">
        <f>931.173/$R$50</f>
        <v>3.0766451806286265E-3</v>
      </c>
      <c r="S48" s="127">
        <f>1477.869/$S$50</f>
        <v>5.1657775574278529E-3</v>
      </c>
      <c r="T48" s="127">
        <f>937.259/$T$50</f>
        <v>3.2209653416563262E-3</v>
      </c>
      <c r="U48" s="127">
        <f>717.132/$U$50</f>
        <v>2.5904916596266366E-3</v>
      </c>
      <c r="V48" s="127">
        <f>773.481/$V$50</f>
        <v>2.7237224342526812E-3</v>
      </c>
      <c r="W48" s="127">
        <f>814.831/$W$50</f>
        <v>3.027119510727024E-3</v>
      </c>
      <c r="X48" s="127">
        <f>849.438/$X$50</f>
        <v>3.3170042289248137E-3</v>
      </c>
      <c r="Y48" s="13">
        <f>691.285/$Y$50</f>
        <v>2.804362589176294E-3</v>
      </c>
      <c r="Z48" s="13">
        <f>2319.774/$Z$50</f>
        <v>9.3960292457057545E-3</v>
      </c>
      <c r="AA48" s="13">
        <f>2470.562/$AA$50</f>
        <v>1.0122875637457805E-2</v>
      </c>
      <c r="AB48" s="13">
        <f>2450.906/$AB$50</f>
        <v>1.055943380582932E-2</v>
      </c>
      <c r="AC48" s="13">
        <f>2101.012/$AC$50</f>
        <v>9.0851688505526468E-3</v>
      </c>
      <c r="AD48" s="13">
        <f>1764.676/$AD$50</f>
        <v>7.8885540070885735E-3</v>
      </c>
      <c r="AE48" s="13">
        <f>1789.296/$AE$50</f>
        <v>8.2092665222123721E-3</v>
      </c>
      <c r="AF48" s="13">
        <f>2336.358/$AF$50</f>
        <v>1.0981594321520616E-2</v>
      </c>
      <c r="AG48" s="13">
        <f>4569.214/$AG$50</f>
        <v>2.2591432811254069E-2</v>
      </c>
      <c r="AH48" s="13">
        <f>7292.556/$AH$50</f>
        <v>3.7114540276598482E-2</v>
      </c>
      <c r="AI48" s="13">
        <f>7173.815/$AI$50</f>
        <v>4.0482624924524112E-2</v>
      </c>
      <c r="AJ48" s="13">
        <f>6984.122/$AJ$50</f>
        <v>3.9221915264430474E-2</v>
      </c>
      <c r="AK48" s="13">
        <f>3784.42/$AK$50</f>
        <v>2.1735769620484752E-2</v>
      </c>
    </row>
    <row r="49" spans="2:37" ht="15" customHeight="1" x14ac:dyDescent="0.25">
      <c r="B49" s="183" t="s">
        <v>7</v>
      </c>
      <c r="C49" s="150"/>
      <c r="D49" s="151"/>
      <c r="E49" s="127">
        <f>14222.561/$E$50</f>
        <v>3.9759982740453524E-2</v>
      </c>
      <c r="F49" s="127">
        <f>12868.951/$F$50</f>
        <v>3.6742037943080896E-2</v>
      </c>
      <c r="G49" s="127">
        <f>11568.619/$G$50</f>
        <v>3.2576310302534217E-2</v>
      </c>
      <c r="H49" s="127">
        <f>12375.351/$H$50</f>
        <v>3.5611165384504928E-2</v>
      </c>
      <c r="I49" s="127">
        <f>13543.167/$I$50</f>
        <v>3.8223643239753378E-2</v>
      </c>
      <c r="J49" s="127">
        <f>16109.156/$J$50</f>
        <v>4.5149950645799755E-2</v>
      </c>
      <c r="K49" s="127">
        <f>14246.801/$K$50</f>
        <v>3.8642179838226286E-2</v>
      </c>
      <c r="L49" s="127">
        <f>12859.436/$L$50</f>
        <v>3.5031995612690298E-2</v>
      </c>
      <c r="M49" s="127">
        <f>13651.549/$M$50</f>
        <v>3.6869502542004197E-2</v>
      </c>
      <c r="N49" s="127">
        <f>11030.125/$N$50</f>
        <v>3.1276280248832063E-2</v>
      </c>
      <c r="O49" s="127">
        <f>9269.15/$O$50</f>
        <v>2.7719924698124693E-2</v>
      </c>
      <c r="P49" s="127">
        <f>9966.317/$P$50</f>
        <v>2.9509181688512007E-2</v>
      </c>
      <c r="Q49" s="127">
        <f>10549.612/$Q$50</f>
        <v>3.069030596023618E-2</v>
      </c>
      <c r="R49" s="127">
        <f>8584.134/$R$50</f>
        <v>2.8362435874934446E-2</v>
      </c>
      <c r="S49" s="127">
        <f>7847.885/$S$50</f>
        <v>2.7431679131421454E-2</v>
      </c>
      <c r="T49" s="127">
        <f>11579.456/$T$50</f>
        <v>3.9793724521433663E-2</v>
      </c>
      <c r="U49" s="127">
        <f>10347.83/$U$50</f>
        <v>3.7379404782152098E-2</v>
      </c>
      <c r="V49" s="127">
        <f>11139.618/$V$50</f>
        <v>3.9226855547330818E-2</v>
      </c>
      <c r="W49" s="127">
        <f>11816.772/$W$50</f>
        <v>4.3899632040279274E-2</v>
      </c>
      <c r="X49" s="127">
        <f>10850.458/$X$50</f>
        <v>4.2370384974266609E-2</v>
      </c>
      <c r="Y49" s="13">
        <f>10637.671/$Y$50</f>
        <v>4.3154251268819055E-2</v>
      </c>
      <c r="Z49" s="13">
        <f>11379.8/$Z$50</f>
        <v>4.6092823529482768E-2</v>
      </c>
      <c r="AA49" s="13">
        <f>9932.425/$AA$50</f>
        <v>4.0697097686023198E-2</v>
      </c>
      <c r="AB49" s="13">
        <f>9487.768/$AB$50</f>
        <v>4.0876907625615036E-2</v>
      </c>
      <c r="AC49" s="13">
        <f>10047.078/$AC$50</f>
        <v>4.3445444426149289E-2</v>
      </c>
      <c r="AD49" s="13">
        <f>9902.428/$AD$50</f>
        <v>4.4266391155830358E-2</v>
      </c>
      <c r="AE49" s="13">
        <f>9083.732/$AE$50</f>
        <v>4.1676042982463066E-2</v>
      </c>
      <c r="AF49" s="13">
        <f>7783.543/$AF$50</f>
        <v>3.6585023189986951E-2</v>
      </c>
      <c r="AG49" s="13">
        <f>9191.957/$AG$50</f>
        <v>4.5447527511172932E-2</v>
      </c>
      <c r="AH49" s="13">
        <f>9207.569/$AH$50</f>
        <v>4.6860756434377683E-2</v>
      </c>
      <c r="AI49" s="13">
        <f>8859.913/$AI$50</f>
        <v>4.999746088279601E-2</v>
      </c>
      <c r="AJ49" s="13">
        <f>9409.091/$AJ$50</f>
        <v>5.2840223855957186E-2</v>
      </c>
      <c r="AK49" s="13">
        <f>9079.132/$AK$50</f>
        <v>5.214588272601111E-2</v>
      </c>
    </row>
    <row r="50" spans="2:37" s="19" customFormat="1" ht="26.1" customHeight="1" x14ac:dyDescent="0.25">
      <c r="B50" s="19" t="s">
        <v>57</v>
      </c>
      <c r="C50" s="93">
        <f>(E50-F50)/F50</f>
        <v>2.1296190544220543E-2</v>
      </c>
      <c r="D50" s="94">
        <f>(E50-I50)/I50</f>
        <v>9.5863336945112045E-3</v>
      </c>
      <c r="E50" s="20">
        <f t="shared" ref="E50:L50" si="4">E21-E20</f>
        <v>357710.44199999998</v>
      </c>
      <c r="F50" s="20">
        <f t="shared" si="4"/>
        <v>350251.42099999997</v>
      </c>
      <c r="G50" s="20">
        <f t="shared" si="4"/>
        <v>355123.67399999994</v>
      </c>
      <c r="H50" s="20">
        <f t="shared" si="4"/>
        <v>347513.22699999996</v>
      </c>
      <c r="I50" s="20">
        <f t="shared" si="4"/>
        <v>354313.87099999998</v>
      </c>
      <c r="J50" s="20">
        <f t="shared" si="4"/>
        <v>356792.32800000004</v>
      </c>
      <c r="K50" s="20">
        <f t="shared" si="4"/>
        <v>368685.23099999997</v>
      </c>
      <c r="L50" s="20">
        <f t="shared" si="4"/>
        <v>367076.89</v>
      </c>
      <c r="M50" s="20">
        <f t="shared" ref="M50:R50" si="5">M21-M20</f>
        <v>370266.69899999996</v>
      </c>
      <c r="N50" s="20">
        <f t="shared" si="5"/>
        <v>352667.41799999995</v>
      </c>
      <c r="O50" s="20">
        <f t="shared" si="5"/>
        <v>334385.82899999997</v>
      </c>
      <c r="P50" s="20">
        <f t="shared" si="5"/>
        <v>337736.13599999994</v>
      </c>
      <c r="Q50" s="20">
        <f t="shared" si="5"/>
        <v>343744.11300000001</v>
      </c>
      <c r="R50" s="20">
        <f t="shared" si="5"/>
        <v>302658.56</v>
      </c>
      <c r="S50" s="20">
        <f t="shared" ref="S50:X50" si="6">S21-S20</f>
        <v>286088.39300000004</v>
      </c>
      <c r="T50" s="20">
        <f t="shared" si="6"/>
        <v>290986.98700000002</v>
      </c>
      <c r="U50" s="20">
        <f t="shared" si="6"/>
        <v>276832.391</v>
      </c>
      <c r="V50" s="20">
        <f t="shared" si="6"/>
        <v>283979.37700000004</v>
      </c>
      <c r="W50" s="20">
        <f t="shared" si="6"/>
        <v>269177.01700000005</v>
      </c>
      <c r="X50" s="20">
        <f t="shared" si="6"/>
        <v>256085.89599999998</v>
      </c>
      <c r="Y50" s="20">
        <v>246503.43100000001</v>
      </c>
      <c r="Z50" s="20">
        <v>246888.75899999999</v>
      </c>
      <c r="AA50" s="20">
        <f>244057.33</f>
        <v>244057.33</v>
      </c>
      <c r="AB50" s="20">
        <v>232105.81599999999</v>
      </c>
      <c r="AC50" s="20">
        <v>231257.342</v>
      </c>
      <c r="AD50" s="20">
        <v>223700.82</v>
      </c>
      <c r="AE50" s="20">
        <v>217960.52</v>
      </c>
      <c r="AF50" s="20">
        <v>212752.16800000001</v>
      </c>
      <c r="AG50" s="20">
        <v>202254.28099999999</v>
      </c>
      <c r="AH50" s="20">
        <v>196487.84400000001</v>
      </c>
      <c r="AI50" s="20">
        <v>177207.25899999999</v>
      </c>
      <c r="AJ50" s="20">
        <v>178066.82699999999</v>
      </c>
      <c r="AK50" s="20">
        <v>174110.23699999999</v>
      </c>
    </row>
    <row r="51" spans="2:37" x14ac:dyDescent="0.25">
      <c r="G51" s="172"/>
      <c r="H51" s="172"/>
      <c r="I51" s="172"/>
      <c r="Y51" s="32"/>
      <c r="Z51" s="79"/>
    </row>
    <row r="52" spans="2:37" x14ac:dyDescent="0.25"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</row>
    <row r="54" spans="2:37" ht="15.75" customHeight="1" x14ac:dyDescent="0.25">
      <c r="B54" s="426" t="s">
        <v>45</v>
      </c>
      <c r="C54" s="436" t="s">
        <v>64</v>
      </c>
      <c r="D54" s="434" t="s">
        <v>79</v>
      </c>
      <c r="E54" s="416">
        <v>43100</v>
      </c>
      <c r="F54" s="416">
        <v>43008</v>
      </c>
      <c r="G54" s="416">
        <v>42916</v>
      </c>
      <c r="H54" s="416">
        <v>42825</v>
      </c>
      <c r="I54" s="416">
        <v>42735</v>
      </c>
      <c r="J54" s="416">
        <v>42643</v>
      </c>
      <c r="K54" s="416">
        <v>42551</v>
      </c>
      <c r="L54" s="416">
        <v>42460</v>
      </c>
      <c r="M54" s="416">
        <v>42369</v>
      </c>
      <c r="N54" s="416">
        <v>42277</v>
      </c>
      <c r="O54" s="416">
        <v>42185</v>
      </c>
      <c r="P54" s="416">
        <v>42094</v>
      </c>
      <c r="Q54" s="416">
        <v>42004</v>
      </c>
      <c r="R54" s="416">
        <v>41912</v>
      </c>
      <c r="S54" s="416">
        <v>41820</v>
      </c>
      <c r="T54" s="416">
        <v>41729</v>
      </c>
      <c r="U54" s="416">
        <v>41639</v>
      </c>
      <c r="V54" s="416">
        <v>41547</v>
      </c>
      <c r="W54" s="416">
        <v>41455</v>
      </c>
      <c r="X54" s="416">
        <v>41364</v>
      </c>
      <c r="Y54" s="416">
        <v>41274</v>
      </c>
      <c r="Z54" s="416">
        <v>41182</v>
      </c>
      <c r="AA54" s="416">
        <v>41090</v>
      </c>
      <c r="AB54" s="416">
        <v>40999</v>
      </c>
      <c r="AC54" s="416">
        <v>40908</v>
      </c>
      <c r="AD54" s="416">
        <v>40816</v>
      </c>
      <c r="AE54" s="416">
        <v>40724</v>
      </c>
      <c r="AF54" s="416">
        <v>40633</v>
      </c>
      <c r="AG54" s="416">
        <v>40543</v>
      </c>
      <c r="AH54" s="416">
        <v>40451</v>
      </c>
      <c r="AI54" s="416">
        <v>40359</v>
      </c>
      <c r="AJ54" s="416">
        <v>40268</v>
      </c>
      <c r="AK54" s="416">
        <v>40178</v>
      </c>
    </row>
    <row r="55" spans="2:37" x14ac:dyDescent="0.25">
      <c r="B55" s="427"/>
      <c r="C55" s="437"/>
      <c r="D55" s="444"/>
      <c r="E55" s="417"/>
      <c r="F55" s="417"/>
      <c r="G55" s="417"/>
      <c r="H55" s="418"/>
      <c r="I55" s="417"/>
      <c r="J55" s="417"/>
      <c r="K55" s="417"/>
      <c r="L55" s="418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</row>
    <row r="56" spans="2:37" ht="9.75" customHeight="1" x14ac:dyDescent="0.25">
      <c r="B56" s="8" t="s">
        <v>4</v>
      </c>
      <c r="C56" s="87"/>
      <c r="D56" s="88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8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2:37" ht="30" customHeight="1" x14ac:dyDescent="0.25">
      <c r="B57" s="23" t="s">
        <v>40</v>
      </c>
      <c r="C57" s="89"/>
      <c r="D57" s="90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23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2:37" ht="15" customHeight="1" x14ac:dyDescent="0.25">
      <c r="B58" s="24" t="s">
        <v>29</v>
      </c>
      <c r="C58" s="91">
        <f>(E58-F58)/F58</f>
        <v>3.3217724357897965E-2</v>
      </c>
      <c r="D58" s="92">
        <f>(E58-I58)/I58</f>
        <v>-7.0098379487620696E-2</v>
      </c>
      <c r="E58" s="203">
        <v>223426.71100000001</v>
      </c>
      <c r="F58" s="83">
        <v>216243.59099999999</v>
      </c>
      <c r="G58" s="83">
        <v>233364.56200000001</v>
      </c>
      <c r="H58" s="11">
        <v>231971.698</v>
      </c>
      <c r="I58" s="22">
        <v>240269.19200000001</v>
      </c>
      <c r="J58" s="11">
        <v>236869.04199999999</v>
      </c>
      <c r="K58" s="11">
        <v>250543.42800000001</v>
      </c>
      <c r="L58" s="11">
        <v>248264.364</v>
      </c>
      <c r="M58" s="11">
        <v>256813.92300000001</v>
      </c>
      <c r="N58" s="11">
        <v>244569.693</v>
      </c>
      <c r="O58" s="11">
        <v>235956.10500000001</v>
      </c>
      <c r="P58" s="11">
        <v>237184.91399999999</v>
      </c>
      <c r="Q58" s="11">
        <v>242081.53700000001</v>
      </c>
      <c r="R58" s="11">
        <v>213531.91500000001</v>
      </c>
      <c r="S58" s="11">
        <v>199911.617</v>
      </c>
      <c r="T58" s="11">
        <v>205228.77600000001</v>
      </c>
      <c r="U58" s="11">
        <v>193147.046</v>
      </c>
      <c r="V58" s="11">
        <v>203257.304</v>
      </c>
      <c r="W58" s="11">
        <v>191469.85200000001</v>
      </c>
      <c r="X58" s="11">
        <v>183607.90599999999</v>
      </c>
      <c r="Y58" s="11">
        <v>177749.87899999999</v>
      </c>
      <c r="Z58" s="11">
        <v>185865.016</v>
      </c>
      <c r="AA58" s="11">
        <v>186077.29199999999</v>
      </c>
      <c r="AB58" s="11">
        <v>175163.48699999999</v>
      </c>
      <c r="AC58" s="11">
        <v>178301.41699999999</v>
      </c>
      <c r="AD58" s="11">
        <v>172602.45600000001</v>
      </c>
      <c r="AE58" s="11">
        <v>174395.15100000001</v>
      </c>
      <c r="AF58" s="11">
        <v>167912.88800000001</v>
      </c>
      <c r="AG58" s="11">
        <v>157600.54999999999</v>
      </c>
      <c r="AH58" s="11">
        <v>154756.389</v>
      </c>
      <c r="AI58" s="11">
        <v>133490.28200000001</v>
      </c>
      <c r="AJ58" s="11">
        <v>127090.83900000001</v>
      </c>
      <c r="AK58" s="11">
        <v>128096.458</v>
      </c>
    </row>
    <row r="59" spans="2:37" ht="15" customHeight="1" x14ac:dyDescent="0.25">
      <c r="B59" s="15" t="s">
        <v>30</v>
      </c>
      <c r="C59" s="91">
        <f>(E59-F59)/F59</f>
        <v>-1.5153792216346636E-2</v>
      </c>
      <c r="D59" s="92">
        <f>(E59-I59)/I59</f>
        <v>2.0330037720713086</v>
      </c>
      <c r="E59" s="203">
        <v>11055.138000000001</v>
      </c>
      <c r="F59" s="83">
        <v>11225.243</v>
      </c>
      <c r="G59" s="83">
        <v>3943.8919999999998</v>
      </c>
      <c r="H59" s="11">
        <v>3154.0459999999998</v>
      </c>
      <c r="I59" s="22">
        <v>3644.9470000000001</v>
      </c>
      <c r="J59" s="11">
        <v>5893.8239999999996</v>
      </c>
      <c r="K59" s="11">
        <v>7618.8050000000003</v>
      </c>
      <c r="L59" s="11">
        <v>16234.825999999999</v>
      </c>
      <c r="M59" s="11">
        <v>16699.447</v>
      </c>
      <c r="N59" s="11">
        <v>17738.567999999999</v>
      </c>
      <c r="O59" s="11">
        <v>18070.571</v>
      </c>
      <c r="P59" s="11">
        <v>15025.496999999999</v>
      </c>
      <c r="Q59" s="11">
        <v>17643.664000000001</v>
      </c>
      <c r="R59" s="11">
        <v>13145.156000000001</v>
      </c>
      <c r="S59" s="11">
        <v>14611.555</v>
      </c>
      <c r="T59" s="11">
        <v>10703.421</v>
      </c>
      <c r="U59" s="11">
        <v>11646.832</v>
      </c>
      <c r="V59" s="11">
        <v>11830.696</v>
      </c>
      <c r="W59" s="11">
        <v>11062.659</v>
      </c>
      <c r="X59" s="11">
        <v>11400.362999999999</v>
      </c>
      <c r="Y59" s="11">
        <v>13405.6</v>
      </c>
      <c r="Z59" s="11">
        <v>10376.329</v>
      </c>
      <c r="AA59" s="11">
        <v>9166.6620000000003</v>
      </c>
      <c r="AB59" s="11">
        <v>8374.8449999999993</v>
      </c>
      <c r="AC59" s="11">
        <v>9406.4680000000008</v>
      </c>
      <c r="AD59" s="11">
        <v>11022.338</v>
      </c>
      <c r="AE59" s="11">
        <v>6917.8119999999999</v>
      </c>
      <c r="AF59" s="11">
        <v>7302.6180000000004</v>
      </c>
      <c r="AG59" s="11">
        <v>9658.6260000000002</v>
      </c>
      <c r="AH59" s="11">
        <v>5924.5469999999996</v>
      </c>
      <c r="AI59" s="11">
        <v>5996.8680000000004</v>
      </c>
      <c r="AJ59" s="11">
        <v>11715.584999999999</v>
      </c>
      <c r="AK59" s="11">
        <v>7606.4049999999997</v>
      </c>
    </row>
    <row r="60" spans="2:37" ht="26.25" x14ac:dyDescent="0.25">
      <c r="B60" s="26" t="s">
        <v>41</v>
      </c>
      <c r="C60" s="91"/>
      <c r="D60" s="92"/>
      <c r="E60" s="203"/>
      <c r="F60" s="83"/>
      <c r="G60" s="83"/>
      <c r="H60" s="11"/>
      <c r="I60" s="2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2:37" ht="15" customHeight="1" x14ac:dyDescent="0.25">
      <c r="B61" s="5" t="s">
        <v>31</v>
      </c>
      <c r="C61" s="91">
        <f>(E61-F61)/F61</f>
        <v>7.4717290276046511E-2</v>
      </c>
      <c r="D61" s="92">
        <f>(E61-I61)/I61</f>
        <v>-8.1336726578967455E-2</v>
      </c>
      <c r="E61" s="203">
        <v>29865.811000000002</v>
      </c>
      <c r="F61" s="83">
        <v>27789.457999999999</v>
      </c>
      <c r="G61" s="83">
        <v>26860.472000000002</v>
      </c>
      <c r="H61" s="11">
        <v>29735.482</v>
      </c>
      <c r="I61" s="22">
        <v>32510.074000000001</v>
      </c>
      <c r="J61" s="11">
        <v>32827.012000000002</v>
      </c>
      <c r="K61" s="11">
        <v>32338.547999999999</v>
      </c>
      <c r="L61" s="11">
        <v>25772.107</v>
      </c>
      <c r="M61" s="11">
        <v>24391.045999999998</v>
      </c>
      <c r="N61" s="11">
        <v>22875.621999999999</v>
      </c>
      <c r="O61" s="11">
        <v>17700.935000000001</v>
      </c>
      <c r="P61" s="11">
        <v>23841.710999999999</v>
      </c>
      <c r="Q61" s="11">
        <v>18586.681</v>
      </c>
      <c r="R61" s="11">
        <v>14934.1</v>
      </c>
      <c r="S61" s="11">
        <v>12745.913</v>
      </c>
      <c r="T61" s="11">
        <v>16632.89</v>
      </c>
      <c r="U61" s="11">
        <v>15758.93</v>
      </c>
      <c r="V61" s="11">
        <v>17034.793000000001</v>
      </c>
      <c r="W61" s="11">
        <v>23534.832999999999</v>
      </c>
      <c r="X61" s="11">
        <v>21726.044000000002</v>
      </c>
      <c r="Y61" s="11">
        <v>20716.804</v>
      </c>
      <c r="Z61" s="11">
        <v>19522.031999999999</v>
      </c>
      <c r="AA61" s="11">
        <v>19294.177</v>
      </c>
      <c r="AB61" s="11">
        <v>19384.381000000001</v>
      </c>
      <c r="AC61" s="11">
        <v>15299.755999999999</v>
      </c>
      <c r="AD61" s="11">
        <v>15253.67</v>
      </c>
      <c r="AE61" s="11">
        <v>13493.91</v>
      </c>
      <c r="AF61" s="11">
        <v>13302.457</v>
      </c>
      <c r="AG61" s="11">
        <v>11892.925999999999</v>
      </c>
      <c r="AH61" s="11">
        <v>11643.146000000001</v>
      </c>
      <c r="AI61" s="11">
        <v>12173.516</v>
      </c>
      <c r="AJ61" s="11">
        <v>11289.341</v>
      </c>
      <c r="AK61" s="11">
        <v>12423.745999999999</v>
      </c>
    </row>
    <row r="62" spans="2:37" s="39" customFormat="1" ht="15" customHeight="1" x14ac:dyDescent="0.25">
      <c r="B62" s="42" t="s">
        <v>32</v>
      </c>
      <c r="C62" s="91"/>
      <c r="D62" s="92"/>
      <c r="E62" s="203"/>
      <c r="F62" s="83"/>
      <c r="G62" s="83"/>
      <c r="H62" s="45"/>
      <c r="I62" s="83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</row>
    <row r="63" spans="2:37" s="39" customFormat="1" ht="15" customHeight="1" x14ac:dyDescent="0.25">
      <c r="B63" s="43" t="s">
        <v>33</v>
      </c>
      <c r="C63" s="91"/>
      <c r="D63" s="92"/>
      <c r="E63" s="202">
        <v>253.97300000000001</v>
      </c>
      <c r="F63" s="206">
        <v>74.646000000000001</v>
      </c>
      <c r="G63" s="206">
        <v>882.49300000000005</v>
      </c>
      <c r="H63" s="161"/>
      <c r="I63" s="206">
        <v>907.51099999999997</v>
      </c>
      <c r="J63" s="161">
        <v>803.01700000000005</v>
      </c>
      <c r="K63" s="161">
        <v>112.19199999999999</v>
      </c>
      <c r="L63" s="161">
        <v>565.53800000000001</v>
      </c>
      <c r="M63" s="161">
        <v>362.423</v>
      </c>
      <c r="N63" s="161">
        <v>463.53800000000001</v>
      </c>
      <c r="O63" s="161">
        <v>302.57400000000001</v>
      </c>
      <c r="P63" s="161">
        <v>362.84300000000002</v>
      </c>
      <c r="Q63" s="161">
        <v>273.91699999999997</v>
      </c>
      <c r="R63" s="161">
        <v>353.334</v>
      </c>
      <c r="S63" s="161">
        <v>147.27199999999999</v>
      </c>
      <c r="T63" s="161">
        <v>77.959999999999994</v>
      </c>
      <c r="U63" s="161">
        <v>1033.319</v>
      </c>
      <c r="V63" s="161">
        <v>1482.9949999999999</v>
      </c>
      <c r="W63" s="161">
        <v>37.335000000000001</v>
      </c>
      <c r="X63" s="161">
        <v>902.98299999999995</v>
      </c>
      <c r="Y63" s="161">
        <v>80.78</v>
      </c>
      <c r="Z63" s="161">
        <v>120.938</v>
      </c>
      <c r="AA63" s="161">
        <v>3.2730000000000001</v>
      </c>
      <c r="AB63" s="161">
        <v>6.6609999999999996</v>
      </c>
      <c r="AC63" s="161">
        <v>18.631</v>
      </c>
      <c r="AD63" s="161">
        <v>249.96299999999999</v>
      </c>
      <c r="AE63" s="161">
        <v>0</v>
      </c>
      <c r="AF63" s="161">
        <v>269.56400000000002</v>
      </c>
      <c r="AG63" s="161">
        <v>30.628</v>
      </c>
      <c r="AH63" s="161">
        <v>0</v>
      </c>
      <c r="AI63" s="161">
        <v>8.75</v>
      </c>
      <c r="AJ63" s="161">
        <v>330.83199999999999</v>
      </c>
      <c r="AK63" s="161">
        <v>1023.182</v>
      </c>
    </row>
    <row r="64" spans="2:37" s="39" customFormat="1" ht="15" customHeight="1" x14ac:dyDescent="0.25">
      <c r="B64" s="43" t="s">
        <v>34</v>
      </c>
      <c r="C64" s="91"/>
      <c r="D64" s="92"/>
      <c r="E64" s="203">
        <v>130</v>
      </c>
      <c r="F64" s="83">
        <v>570.97299999999996</v>
      </c>
      <c r="G64" s="83">
        <v>177.46700000000001</v>
      </c>
      <c r="H64" s="45">
        <v>320.55500000000001</v>
      </c>
      <c r="I64" s="83">
        <v>314.74</v>
      </c>
      <c r="J64" s="45">
        <v>33.268999999999998</v>
      </c>
      <c r="K64" s="45">
        <v>71.206999999999994</v>
      </c>
      <c r="L64" s="45">
        <v>1665.5050000000001</v>
      </c>
      <c r="M64" s="45">
        <v>2120.2049999999999</v>
      </c>
      <c r="N64" s="45">
        <v>210.84299999999999</v>
      </c>
      <c r="O64" s="45">
        <v>3540.4160000000002</v>
      </c>
      <c r="P64" s="45">
        <v>747.60299999999995</v>
      </c>
      <c r="Q64" s="45">
        <v>130.971</v>
      </c>
      <c r="R64" s="45">
        <v>13.211</v>
      </c>
      <c r="S64" s="45">
        <v>237.001</v>
      </c>
      <c r="T64" s="45">
        <v>123.46899999999999</v>
      </c>
      <c r="U64" s="45">
        <v>228.43199999999999</v>
      </c>
      <c r="V64" s="45"/>
      <c r="W64" s="45">
        <v>35.341000000000001</v>
      </c>
      <c r="X64" s="45">
        <v>166.48099999999999</v>
      </c>
      <c r="Y64" s="45">
        <v>1379.277</v>
      </c>
      <c r="Z64" s="45">
        <v>2.9369999999999998</v>
      </c>
      <c r="AA64" s="45">
        <v>807.91899999999998</v>
      </c>
      <c r="AB64" s="45">
        <v>251.274</v>
      </c>
      <c r="AC64" s="45">
        <v>8.1839999999999993</v>
      </c>
      <c r="AD64" s="45">
        <v>0</v>
      </c>
      <c r="AE64" s="45">
        <v>0</v>
      </c>
      <c r="AF64" s="45">
        <v>0</v>
      </c>
      <c r="AG64" s="45">
        <v>0</v>
      </c>
      <c r="AH64" s="45">
        <v>203.108</v>
      </c>
      <c r="AI64" s="45">
        <v>0</v>
      </c>
      <c r="AJ64" s="45">
        <v>179.53100000000001</v>
      </c>
      <c r="AK64" s="45">
        <v>175.583</v>
      </c>
    </row>
    <row r="65" spans="2:37" s="39" customFormat="1" ht="15" customHeight="1" x14ac:dyDescent="0.25">
      <c r="B65" s="43" t="s">
        <v>35</v>
      </c>
      <c r="C65" s="91"/>
      <c r="D65" s="92"/>
      <c r="E65" s="203">
        <v>60.774999999999999</v>
      </c>
      <c r="F65" s="83"/>
      <c r="G65" s="83">
        <v>1304.5029999999999</v>
      </c>
      <c r="H65" s="45">
        <v>3476.538</v>
      </c>
      <c r="I65" s="83">
        <v>992.02800000000002</v>
      </c>
      <c r="J65" s="45">
        <v>2538.08</v>
      </c>
      <c r="K65" s="45">
        <v>593.69500000000005</v>
      </c>
      <c r="L65" s="45">
        <v>70.799000000000007</v>
      </c>
      <c r="M65" s="45">
        <v>1528.192</v>
      </c>
      <c r="N65" s="45">
        <v>456.67700000000002</v>
      </c>
      <c r="O65" s="45">
        <v>158.666</v>
      </c>
      <c r="P65" s="45">
        <v>99.682000000000002</v>
      </c>
      <c r="Q65" s="45">
        <v>310.22300000000001</v>
      </c>
      <c r="R65" s="45">
        <v>218.67400000000001</v>
      </c>
      <c r="S65" s="45">
        <v>222.16399999999999</v>
      </c>
      <c r="T65" s="45">
        <v>540.77800000000002</v>
      </c>
      <c r="U65" s="45">
        <v>115.923</v>
      </c>
      <c r="V65" s="45">
        <v>345.40499999999997</v>
      </c>
      <c r="W65" s="45">
        <v>410.81200000000001</v>
      </c>
      <c r="X65" s="45"/>
      <c r="Y65" s="45"/>
      <c r="Z65" s="45">
        <v>161.51400000000001</v>
      </c>
      <c r="AA65" s="45">
        <v>1151.6880000000001</v>
      </c>
      <c r="AB65" s="45">
        <v>144.76</v>
      </c>
      <c r="AC65" s="45">
        <v>3326.03</v>
      </c>
      <c r="AD65" s="45">
        <v>0</v>
      </c>
      <c r="AE65" s="45">
        <v>136.78899999999999</v>
      </c>
      <c r="AF65" s="45">
        <v>18.504000000000001</v>
      </c>
      <c r="AG65" s="45">
        <v>154.685</v>
      </c>
      <c r="AH65" s="45">
        <v>74.811999999999998</v>
      </c>
      <c r="AI65" s="45">
        <v>87.534999999999997</v>
      </c>
      <c r="AJ65" s="45">
        <v>1735.231</v>
      </c>
      <c r="AK65" s="45">
        <v>51.3</v>
      </c>
    </row>
    <row r="66" spans="2:37" s="39" customFormat="1" ht="15" customHeight="1" x14ac:dyDescent="0.25">
      <c r="B66" s="43" t="s">
        <v>39</v>
      </c>
      <c r="C66" s="91"/>
      <c r="D66" s="92"/>
      <c r="E66" s="203">
        <v>724.09</v>
      </c>
      <c r="F66" s="83">
        <v>1228.134</v>
      </c>
      <c r="G66" s="83">
        <v>2010.529</v>
      </c>
      <c r="H66" s="45">
        <v>1246.912</v>
      </c>
      <c r="I66" s="83">
        <v>499.16500000000002</v>
      </c>
      <c r="J66" s="45">
        <v>119.354</v>
      </c>
      <c r="K66" s="45">
        <v>215.54499999999999</v>
      </c>
      <c r="L66" s="45">
        <v>111.355</v>
      </c>
      <c r="M66" s="45">
        <v>941.78300000000002</v>
      </c>
      <c r="N66" s="45">
        <v>691.89</v>
      </c>
      <c r="O66" s="45">
        <v>233.685</v>
      </c>
      <c r="P66" s="45">
        <v>59.533999999999999</v>
      </c>
      <c r="Q66" s="45">
        <v>68.953000000000003</v>
      </c>
      <c r="R66" s="45">
        <v>289.32499999999999</v>
      </c>
      <c r="S66" s="45">
        <v>153.16900000000001</v>
      </c>
      <c r="T66" s="45">
        <v>46.165999999999997</v>
      </c>
      <c r="U66" s="45">
        <v>1810.0820000000001</v>
      </c>
      <c r="V66" s="45">
        <v>3423.8209999999999</v>
      </c>
      <c r="W66" s="45"/>
      <c r="X66" s="45"/>
      <c r="Y66" s="45"/>
      <c r="Z66" s="45">
        <v>24.178000000000001</v>
      </c>
      <c r="AA66" s="45">
        <v>0</v>
      </c>
      <c r="AB66" s="45">
        <v>0</v>
      </c>
      <c r="AC66" s="45">
        <v>668.32600000000002</v>
      </c>
      <c r="AD66" s="45">
        <v>201.99799999999999</v>
      </c>
      <c r="AE66" s="45">
        <v>344.87400000000002</v>
      </c>
      <c r="AF66" s="45">
        <v>848.77800000000002</v>
      </c>
      <c r="AG66" s="45">
        <v>0</v>
      </c>
      <c r="AH66" s="45">
        <v>47.442999999999998</v>
      </c>
      <c r="AI66" s="45">
        <v>378.54399999999998</v>
      </c>
      <c r="AJ66" s="45">
        <v>1633.33</v>
      </c>
      <c r="AK66" s="45">
        <v>53.798999999999999</v>
      </c>
    </row>
    <row r="67" spans="2:37" s="39" customFormat="1" ht="15" customHeight="1" x14ac:dyDescent="0.25">
      <c r="B67" s="43" t="s">
        <v>36</v>
      </c>
      <c r="C67" s="91"/>
      <c r="D67" s="92"/>
      <c r="E67" s="203">
        <v>1361.7670000000001</v>
      </c>
      <c r="F67" s="83">
        <v>4114.3549999999996</v>
      </c>
      <c r="G67" s="83">
        <v>5010.3389999999999</v>
      </c>
      <c r="H67" s="45">
        <v>2584.125</v>
      </c>
      <c r="I67" s="83">
        <v>2214.9070000000002</v>
      </c>
      <c r="J67" s="45">
        <v>846.28499999999997</v>
      </c>
      <c r="K67" s="45">
        <v>2352.5410000000002</v>
      </c>
      <c r="L67" s="45">
        <v>4725.5190000000002</v>
      </c>
      <c r="M67" s="45">
        <v>1294.393</v>
      </c>
      <c r="N67" s="45">
        <v>3989.8310000000001</v>
      </c>
      <c r="O67" s="45">
        <v>1164.74</v>
      </c>
      <c r="P67" s="45">
        <v>743.476</v>
      </c>
      <c r="Q67" s="45">
        <v>523.60500000000002</v>
      </c>
      <c r="R67" s="45">
        <v>569.375</v>
      </c>
      <c r="S67" s="45">
        <v>682.13499999999999</v>
      </c>
      <c r="T67" s="45">
        <v>1283.7650000000001</v>
      </c>
      <c r="U67" s="45">
        <v>3696.893</v>
      </c>
      <c r="V67" s="45"/>
      <c r="W67" s="45">
        <v>1138.713</v>
      </c>
      <c r="X67" s="45">
        <v>1452.1</v>
      </c>
      <c r="Y67" s="45"/>
      <c r="Z67" s="45">
        <v>1898.5150000000001</v>
      </c>
      <c r="AA67" s="45">
        <v>716.96900000000005</v>
      </c>
      <c r="AB67" s="45">
        <v>4327.5280000000002</v>
      </c>
      <c r="AC67" s="45">
        <v>440.52499999999998</v>
      </c>
      <c r="AD67" s="45">
        <v>74.876000000000005</v>
      </c>
      <c r="AE67" s="45">
        <v>1133.482</v>
      </c>
      <c r="AF67" s="45">
        <v>41.472999999999999</v>
      </c>
      <c r="AG67" s="45">
        <v>328.517</v>
      </c>
      <c r="AH67" s="45">
        <v>353.721</v>
      </c>
      <c r="AI67" s="45">
        <v>2073.9360000000001</v>
      </c>
      <c r="AJ67" s="45">
        <v>402.791</v>
      </c>
      <c r="AK67" s="45">
        <v>176.358</v>
      </c>
    </row>
    <row r="68" spans="2:37" s="39" customFormat="1" ht="15" customHeight="1" x14ac:dyDescent="0.25">
      <c r="B68" s="43" t="s">
        <v>37</v>
      </c>
      <c r="C68" s="91"/>
      <c r="D68" s="92"/>
      <c r="E68" s="203">
        <v>6409.1570000000002</v>
      </c>
      <c r="F68" s="83">
        <v>6627.0640000000003</v>
      </c>
      <c r="G68" s="83">
        <v>3546.0320000000002</v>
      </c>
      <c r="H68" s="45">
        <v>2690.6219999999998</v>
      </c>
      <c r="I68" s="83">
        <v>1911.2460000000001</v>
      </c>
      <c r="J68" s="45">
        <v>6741.6809999999996</v>
      </c>
      <c r="K68" s="45">
        <v>5590.5240000000003</v>
      </c>
      <c r="L68" s="45">
        <v>5062.1679999999997</v>
      </c>
      <c r="M68" s="45">
        <v>5310.8559999999998</v>
      </c>
      <c r="N68" s="45">
        <v>1829.239</v>
      </c>
      <c r="O68" s="45">
        <v>1187.7629999999999</v>
      </c>
      <c r="P68" s="45">
        <v>1904.739</v>
      </c>
      <c r="Q68" s="45">
        <v>1615.9760000000001</v>
      </c>
      <c r="R68" s="45">
        <v>1136.2570000000001</v>
      </c>
      <c r="S68" s="45">
        <v>4175.4549999999999</v>
      </c>
      <c r="T68" s="45">
        <v>5592.31</v>
      </c>
      <c r="U68" s="45">
        <v>1265.1759999999999</v>
      </c>
      <c r="V68" s="45">
        <v>2575.3409999999999</v>
      </c>
      <c r="W68" s="45">
        <v>1698.7829999999999</v>
      </c>
      <c r="X68" s="45">
        <v>2213.7910000000002</v>
      </c>
      <c r="Y68" s="45">
        <v>2573.143</v>
      </c>
      <c r="Z68" s="45">
        <v>4108.5590000000002</v>
      </c>
      <c r="AA68" s="45">
        <v>4134.8230000000003</v>
      </c>
      <c r="AB68" s="45">
        <v>509.23</v>
      </c>
      <c r="AC68" s="45">
        <v>1202.741</v>
      </c>
      <c r="AD68" s="45">
        <v>1174.232</v>
      </c>
      <c r="AE68" s="45">
        <v>356.90800000000002</v>
      </c>
      <c r="AF68" s="45">
        <v>626.49800000000005</v>
      </c>
      <c r="AG68" s="45">
        <v>1608.7339999999999</v>
      </c>
      <c r="AH68" s="45">
        <v>2232.8539999999998</v>
      </c>
      <c r="AI68" s="45">
        <v>287.61500000000001</v>
      </c>
      <c r="AJ68" s="45">
        <v>5634.4520000000002</v>
      </c>
      <c r="AK68" s="45">
        <v>6792.7139999999999</v>
      </c>
    </row>
    <row r="69" spans="2:37" s="39" customFormat="1" ht="15" customHeight="1" x14ac:dyDescent="0.25">
      <c r="B69" s="43" t="s">
        <v>38</v>
      </c>
      <c r="C69" s="91"/>
      <c r="D69" s="92"/>
      <c r="E69" s="204">
        <v>8617.1880000000001</v>
      </c>
      <c r="F69" s="207">
        <v>11283.404</v>
      </c>
      <c r="G69" s="207">
        <v>11836.736000000001</v>
      </c>
      <c r="H69" s="157">
        <v>11222.141</v>
      </c>
      <c r="I69" s="207">
        <v>10923.518</v>
      </c>
      <c r="J69" s="157">
        <v>11323.342000000001</v>
      </c>
      <c r="K69" s="157">
        <v>11956.581</v>
      </c>
      <c r="L69" s="157">
        <v>8342.5910000000003</v>
      </c>
      <c r="M69" s="157">
        <v>7302.6080000000002</v>
      </c>
      <c r="N69" s="157">
        <v>6911.35</v>
      </c>
      <c r="O69" s="157">
        <v>6477.4930000000004</v>
      </c>
      <c r="P69" s="157">
        <v>7804.8270000000002</v>
      </c>
      <c r="Q69" s="157">
        <v>10730.174999999999</v>
      </c>
      <c r="R69" s="157">
        <v>9731.5290000000005</v>
      </c>
      <c r="S69" s="157">
        <v>8547.5110000000004</v>
      </c>
      <c r="T69" s="157">
        <v>9473.3719999999994</v>
      </c>
      <c r="U69" s="157">
        <v>10357.946</v>
      </c>
      <c r="V69" s="157">
        <v>9132.3040000000001</v>
      </c>
      <c r="W69" s="157">
        <v>8939.5060000000012</v>
      </c>
      <c r="X69" s="157">
        <v>8134.0199999999995</v>
      </c>
      <c r="Y69" s="157">
        <v>7853.5039999999999</v>
      </c>
      <c r="Z69" s="157">
        <v>5549.6889999999994</v>
      </c>
      <c r="AA69" s="157">
        <v>5212.9809999999998</v>
      </c>
      <c r="AB69" s="157">
        <v>7537.777</v>
      </c>
      <c r="AC69" s="157">
        <v>6550.3850000000002</v>
      </c>
      <c r="AD69" s="157">
        <v>7361.9339999999993</v>
      </c>
      <c r="AE69" s="157">
        <v>6932.4250000000002</v>
      </c>
      <c r="AF69" s="157">
        <v>8059.5140000000001</v>
      </c>
      <c r="AG69" s="157">
        <v>6919.1989999999996</v>
      </c>
      <c r="AH69" s="157">
        <v>7050.8639999999996</v>
      </c>
      <c r="AI69" s="157">
        <v>8267.0329999999994</v>
      </c>
      <c r="AJ69" s="157">
        <v>3828.0549999999998</v>
      </c>
      <c r="AK69" s="157">
        <v>3062.61</v>
      </c>
    </row>
    <row r="70" spans="2:37" s="39" customFormat="1" ht="15" customHeight="1" x14ac:dyDescent="0.25">
      <c r="B70" s="42" t="s">
        <v>47</v>
      </c>
      <c r="C70" s="91">
        <f>(E70-F70)/F70</f>
        <v>-0.26535581032108357</v>
      </c>
      <c r="D70" s="92">
        <f>(E70-I70)/I70</f>
        <v>-1.1606353953121446E-2</v>
      </c>
      <c r="E70" s="203">
        <f t="shared" ref="E70:Q70" si="7">SUM(E63:E69)</f>
        <v>17556.95</v>
      </c>
      <c r="F70" s="83">
        <f t="shared" si="7"/>
        <v>23898.576000000001</v>
      </c>
      <c r="G70" s="83">
        <f t="shared" si="7"/>
        <v>24768.099000000002</v>
      </c>
      <c r="H70" s="45">
        <f t="shared" si="7"/>
        <v>21540.893</v>
      </c>
      <c r="I70" s="83">
        <f t="shared" si="7"/>
        <v>17763.115000000002</v>
      </c>
      <c r="J70" s="45">
        <f t="shared" si="7"/>
        <v>22405.027999999998</v>
      </c>
      <c r="K70" s="45">
        <f t="shared" si="7"/>
        <v>20892.285000000003</v>
      </c>
      <c r="L70" s="45">
        <f t="shared" si="7"/>
        <v>20543.474999999999</v>
      </c>
      <c r="M70" s="45">
        <f t="shared" si="7"/>
        <v>18860.46</v>
      </c>
      <c r="N70" s="45">
        <f t="shared" si="7"/>
        <v>14553.368</v>
      </c>
      <c r="O70" s="45">
        <f t="shared" si="7"/>
        <v>13065.337</v>
      </c>
      <c r="P70" s="45">
        <f t="shared" si="7"/>
        <v>11722.704</v>
      </c>
      <c r="Q70" s="45">
        <f t="shared" si="7"/>
        <v>13653.82</v>
      </c>
      <c r="R70" s="45">
        <f t="shared" ref="R70:AK70" si="8">SUM(R63:R69)</f>
        <v>12311.705000000002</v>
      </c>
      <c r="S70" s="45">
        <f t="shared" si="8"/>
        <v>14164.707</v>
      </c>
      <c r="T70" s="45">
        <f t="shared" si="8"/>
        <v>17137.82</v>
      </c>
      <c r="U70" s="45">
        <f t="shared" si="8"/>
        <v>18507.771000000001</v>
      </c>
      <c r="V70" s="45">
        <f t="shared" si="8"/>
        <v>16959.866000000002</v>
      </c>
      <c r="W70" s="45">
        <f t="shared" si="8"/>
        <v>12260.490000000002</v>
      </c>
      <c r="X70" s="45">
        <f t="shared" si="8"/>
        <v>12869.375</v>
      </c>
      <c r="Y70" s="45">
        <f t="shared" si="8"/>
        <v>11886.704</v>
      </c>
      <c r="Z70" s="45">
        <f t="shared" si="8"/>
        <v>11866.33</v>
      </c>
      <c r="AA70" s="45">
        <f t="shared" si="8"/>
        <v>12027.653</v>
      </c>
      <c r="AB70" s="45">
        <f t="shared" si="8"/>
        <v>12777.23</v>
      </c>
      <c r="AC70" s="45">
        <f t="shared" si="8"/>
        <v>12214.822</v>
      </c>
      <c r="AD70" s="45">
        <f t="shared" si="8"/>
        <v>9063.0029999999988</v>
      </c>
      <c r="AE70" s="45">
        <f t="shared" si="8"/>
        <v>8904.4779999999992</v>
      </c>
      <c r="AF70" s="45">
        <f t="shared" si="8"/>
        <v>9864.3310000000001</v>
      </c>
      <c r="AG70" s="45">
        <f t="shared" si="8"/>
        <v>9041.762999999999</v>
      </c>
      <c r="AH70" s="45">
        <f t="shared" si="8"/>
        <v>9962.8019999999997</v>
      </c>
      <c r="AI70" s="45">
        <f t="shared" si="8"/>
        <v>11103.413</v>
      </c>
      <c r="AJ70" s="45">
        <f t="shared" si="8"/>
        <v>13744.222000000002</v>
      </c>
      <c r="AK70" s="45">
        <f t="shared" si="8"/>
        <v>11335.546</v>
      </c>
    </row>
    <row r="71" spans="2:37" s="44" customFormat="1" ht="26.1" customHeight="1" x14ac:dyDescent="0.25">
      <c r="B71" s="44" t="s">
        <v>58</v>
      </c>
      <c r="C71" s="93">
        <f>(E71-F71)/F71</f>
        <v>9.8430033969290915E-3</v>
      </c>
      <c r="D71" s="94">
        <f>(E71-I71)/I71</f>
        <v>-4.1751349670642479E-2</v>
      </c>
      <c r="E71" s="214">
        <f t="shared" ref="E71:Q71" si="9">E58+E59+E61+E70</f>
        <v>281904.61000000004</v>
      </c>
      <c r="F71" s="205">
        <f t="shared" si="9"/>
        <v>279156.86799999996</v>
      </c>
      <c r="G71" s="205">
        <f t="shared" si="9"/>
        <v>288937.02499999997</v>
      </c>
      <c r="H71" s="46">
        <f t="shared" si="9"/>
        <v>286402.11900000001</v>
      </c>
      <c r="I71" s="205">
        <f t="shared" si="9"/>
        <v>294187.32800000004</v>
      </c>
      <c r="J71" s="46">
        <f t="shared" si="9"/>
        <v>297994.90599999996</v>
      </c>
      <c r="K71" s="46">
        <f t="shared" si="9"/>
        <v>311393.06599999999</v>
      </c>
      <c r="L71" s="46">
        <f t="shared" si="9"/>
        <v>310814.772</v>
      </c>
      <c r="M71" s="46">
        <f t="shared" si="9"/>
        <v>316764.87599999999</v>
      </c>
      <c r="N71" s="46">
        <f t="shared" si="9"/>
        <v>299737.25099999999</v>
      </c>
      <c r="O71" s="46">
        <f t="shared" si="9"/>
        <v>284792.94800000003</v>
      </c>
      <c r="P71" s="46">
        <f t="shared" si="9"/>
        <v>287774.826</v>
      </c>
      <c r="Q71" s="46">
        <f t="shared" si="9"/>
        <v>291965.70199999999</v>
      </c>
      <c r="R71" s="46">
        <f t="shared" ref="R71:AK71" si="10">R58+R59+R61+R70</f>
        <v>253922.87599999999</v>
      </c>
      <c r="S71" s="46">
        <f t="shared" si="10"/>
        <v>241433.79199999999</v>
      </c>
      <c r="T71" s="46">
        <f t="shared" si="10"/>
        <v>249702.90700000001</v>
      </c>
      <c r="U71" s="46">
        <f t="shared" si="10"/>
        <v>239060.579</v>
      </c>
      <c r="V71" s="46">
        <f t="shared" si="10"/>
        <v>249082.65900000001</v>
      </c>
      <c r="W71" s="46">
        <f t="shared" si="10"/>
        <v>238327.83399999997</v>
      </c>
      <c r="X71" s="46">
        <f t="shared" si="10"/>
        <v>229603.68799999999</v>
      </c>
      <c r="Y71" s="46">
        <f t="shared" si="10"/>
        <v>223758.98699999999</v>
      </c>
      <c r="Z71" s="46">
        <f t="shared" si="10"/>
        <v>227629.70699999999</v>
      </c>
      <c r="AA71" s="46">
        <f t="shared" si="10"/>
        <v>226565.78399999999</v>
      </c>
      <c r="AB71" s="46">
        <f t="shared" si="10"/>
        <v>215699.943</v>
      </c>
      <c r="AC71" s="46">
        <f t="shared" si="10"/>
        <v>215222.46299999999</v>
      </c>
      <c r="AD71" s="46">
        <f t="shared" si="10"/>
        <v>207941.467</v>
      </c>
      <c r="AE71" s="46">
        <f t="shared" si="10"/>
        <v>203711.35100000002</v>
      </c>
      <c r="AF71" s="46">
        <f t="shared" si="10"/>
        <v>198382.29399999999</v>
      </c>
      <c r="AG71" s="46">
        <f t="shared" si="10"/>
        <v>188193.86499999999</v>
      </c>
      <c r="AH71" s="46">
        <f t="shared" si="10"/>
        <v>182286.88399999999</v>
      </c>
      <c r="AI71" s="46">
        <f t="shared" si="10"/>
        <v>162764.079</v>
      </c>
      <c r="AJ71" s="46">
        <f t="shared" si="10"/>
        <v>163839.98700000002</v>
      </c>
      <c r="AK71" s="46">
        <f t="shared" si="10"/>
        <v>159462.155</v>
      </c>
    </row>
    <row r="72" spans="2:37" s="22" customFormat="1" ht="15" customHeight="1" x14ac:dyDescent="0.2">
      <c r="B72" s="22" t="s">
        <v>14</v>
      </c>
      <c r="C72" s="91">
        <f>(E72-F72)/F72</f>
        <v>-0.12763065952476876</v>
      </c>
      <c r="D72" s="92">
        <f>(E72-I72)/I72</f>
        <v>-2.4460219723194725E-2</v>
      </c>
      <c r="E72" s="203">
        <v>-36665.767999999996</v>
      </c>
      <c r="F72" s="83">
        <v>-42030.097000000002</v>
      </c>
      <c r="G72" s="83">
        <v>-41452.656000000003</v>
      </c>
      <c r="H72" s="22">
        <v>-39646.220999999998</v>
      </c>
      <c r="I72" s="22">
        <v>-37585.108</v>
      </c>
      <c r="J72" s="22">
        <v>-40249.692999999999</v>
      </c>
      <c r="K72" s="22">
        <v>-38695.167000000001</v>
      </c>
      <c r="L72" s="22">
        <v>-35560.635999999999</v>
      </c>
      <c r="M72" s="22">
        <v>-33207.923000000003</v>
      </c>
      <c r="N72" s="22">
        <v>-30135.334999999999</v>
      </c>
      <c r="O72" s="22">
        <v>-26953.812999999998</v>
      </c>
      <c r="P72" s="22">
        <v>-26563.688999999998</v>
      </c>
      <c r="Q72" s="22">
        <v>-27220.071</v>
      </c>
      <c r="R72" s="22">
        <v>-24573.766</v>
      </c>
      <c r="S72" s="22">
        <v>-23553.394</v>
      </c>
      <c r="T72" s="22">
        <v>-25438.797999999999</v>
      </c>
      <c r="U72" s="22">
        <v>-25106.163</v>
      </c>
      <c r="V72" s="22">
        <v>-25658.947</v>
      </c>
      <c r="W72" s="22">
        <v>-24791.27</v>
      </c>
      <c r="X72" s="22">
        <v>-24445.481</v>
      </c>
      <c r="Y72" s="22">
        <v>-23523.039000000001</v>
      </c>
      <c r="Z72" s="22">
        <v>-23129.143</v>
      </c>
      <c r="AA72" s="22">
        <v>-21533.238000000001</v>
      </c>
      <c r="AB72" s="22">
        <v>-22236.674999999999</v>
      </c>
      <c r="AC72" s="22">
        <v>-20436.423999999999</v>
      </c>
      <c r="AD72" s="22">
        <v>-19306.287</v>
      </c>
      <c r="AE72" s="22">
        <v>-18550.254000000001</v>
      </c>
      <c r="AF72" s="22">
        <v>-19017.528999999999</v>
      </c>
      <c r="AG72" s="22">
        <v>-18202.964</v>
      </c>
      <c r="AH72" s="22">
        <v>-18946.112000000001</v>
      </c>
      <c r="AI72" s="22">
        <v>-18379.322</v>
      </c>
      <c r="AJ72" s="22">
        <v>-17331.064999999999</v>
      </c>
      <c r="AK72" s="38">
        <v>-14911.138000000001</v>
      </c>
    </row>
    <row r="73" spans="2:37" s="19" customFormat="1" ht="26.1" customHeight="1" x14ac:dyDescent="0.25">
      <c r="B73" s="19" t="s">
        <v>59</v>
      </c>
      <c r="C73" s="93">
        <f>(E73-F73)/F73</f>
        <v>3.4209848874466028E-2</v>
      </c>
      <c r="D73" s="94">
        <f>(E73-I73)/I73</f>
        <v>-4.4284020613695262E-2</v>
      </c>
      <c r="E73" s="214">
        <f t="shared" ref="E73:S73" si="11">E71+E72</f>
        <v>245238.84200000006</v>
      </c>
      <c r="F73" s="205">
        <f t="shared" si="11"/>
        <v>237126.77099999995</v>
      </c>
      <c r="G73" s="205">
        <f t="shared" si="11"/>
        <v>247484.36899999995</v>
      </c>
      <c r="H73" s="20">
        <f t="shared" si="11"/>
        <v>246755.89800000002</v>
      </c>
      <c r="I73" s="65">
        <f t="shared" si="11"/>
        <v>256602.22000000003</v>
      </c>
      <c r="J73" s="20">
        <f t="shared" si="11"/>
        <v>257745.21299999996</v>
      </c>
      <c r="K73" s="20">
        <f t="shared" si="11"/>
        <v>272697.89899999998</v>
      </c>
      <c r="L73" s="20">
        <f t="shared" si="11"/>
        <v>275254.136</v>
      </c>
      <c r="M73" s="20">
        <f t="shared" si="11"/>
        <v>283556.95299999998</v>
      </c>
      <c r="N73" s="20">
        <f t="shared" si="11"/>
        <v>269601.91599999997</v>
      </c>
      <c r="O73" s="20">
        <f t="shared" si="11"/>
        <v>257839.13500000004</v>
      </c>
      <c r="P73" s="20">
        <f t="shared" si="11"/>
        <v>261211.13699999999</v>
      </c>
      <c r="Q73" s="20">
        <f t="shared" si="11"/>
        <v>264745.63099999999</v>
      </c>
      <c r="R73" s="20">
        <f t="shared" si="11"/>
        <v>229349.11</v>
      </c>
      <c r="S73" s="20">
        <f t="shared" si="11"/>
        <v>217880.39799999999</v>
      </c>
      <c r="T73" s="20">
        <f t="shared" ref="T73:Y73" si="12">T71+T72</f>
        <v>224264.109</v>
      </c>
      <c r="U73" s="20">
        <f t="shared" si="12"/>
        <v>213954.416</v>
      </c>
      <c r="V73" s="20">
        <f t="shared" si="12"/>
        <v>223423.712</v>
      </c>
      <c r="W73" s="20">
        <f t="shared" si="12"/>
        <v>213536.56399999998</v>
      </c>
      <c r="X73" s="20">
        <f t="shared" si="12"/>
        <v>205158.20699999999</v>
      </c>
      <c r="Y73" s="20">
        <f t="shared" si="12"/>
        <v>200235.948</v>
      </c>
      <c r="Z73" s="20">
        <f t="shared" ref="Z73:AK73" si="13">Z71+Z72</f>
        <v>204500.56399999998</v>
      </c>
      <c r="AA73" s="20">
        <f t="shared" si="13"/>
        <v>205032.54599999997</v>
      </c>
      <c r="AB73" s="20">
        <f t="shared" si="13"/>
        <v>193463.26800000001</v>
      </c>
      <c r="AC73" s="20">
        <f t="shared" si="13"/>
        <v>194786.03899999999</v>
      </c>
      <c r="AD73" s="20">
        <f t="shared" si="13"/>
        <v>188635.18</v>
      </c>
      <c r="AE73" s="20">
        <f t="shared" si="13"/>
        <v>185161.09700000001</v>
      </c>
      <c r="AF73" s="20">
        <f t="shared" si="13"/>
        <v>179364.76499999998</v>
      </c>
      <c r="AG73" s="20">
        <f t="shared" si="13"/>
        <v>169990.90099999998</v>
      </c>
      <c r="AH73" s="20">
        <f t="shared" si="13"/>
        <v>163340.772</v>
      </c>
      <c r="AI73" s="20">
        <f t="shared" si="13"/>
        <v>144384.75699999998</v>
      </c>
      <c r="AJ73" s="20">
        <f t="shared" si="13"/>
        <v>146508.92200000002</v>
      </c>
      <c r="AK73" s="20">
        <f t="shared" si="13"/>
        <v>144551.01699999999</v>
      </c>
    </row>
    <row r="75" spans="2:37" x14ac:dyDescent="0.25"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V75" s="27"/>
    </row>
    <row r="77" spans="2:37" ht="15.75" customHeight="1" x14ac:dyDescent="0.25">
      <c r="B77" s="426" t="s">
        <v>46</v>
      </c>
      <c r="C77" s="436" t="s">
        <v>64</v>
      </c>
      <c r="D77" s="434" t="s">
        <v>79</v>
      </c>
      <c r="E77" s="416">
        <v>43100</v>
      </c>
      <c r="F77" s="416">
        <v>43008</v>
      </c>
      <c r="G77" s="416">
        <v>42916</v>
      </c>
      <c r="H77" s="416">
        <v>42825</v>
      </c>
      <c r="I77" s="416">
        <v>42735</v>
      </c>
      <c r="J77" s="416">
        <v>42643</v>
      </c>
      <c r="K77" s="416">
        <v>42551</v>
      </c>
      <c r="L77" s="416">
        <v>42460</v>
      </c>
      <c r="M77" s="416">
        <v>42369</v>
      </c>
      <c r="N77" s="416">
        <v>42277</v>
      </c>
      <c r="O77" s="416">
        <v>42185</v>
      </c>
      <c r="P77" s="416">
        <v>42094</v>
      </c>
      <c r="Q77" s="416">
        <v>42004</v>
      </c>
      <c r="R77" s="416">
        <v>41912</v>
      </c>
      <c r="S77" s="416">
        <v>41820</v>
      </c>
      <c r="T77" s="416">
        <v>41729</v>
      </c>
      <c r="U77" s="416">
        <v>41639</v>
      </c>
      <c r="V77" s="416">
        <v>41547</v>
      </c>
      <c r="W77" s="416">
        <v>41455</v>
      </c>
      <c r="X77" s="416">
        <v>41364</v>
      </c>
      <c r="Y77" s="416">
        <v>41274</v>
      </c>
      <c r="Z77" s="416">
        <v>41182</v>
      </c>
      <c r="AA77" s="416">
        <v>41090</v>
      </c>
      <c r="AB77" s="416">
        <v>40999</v>
      </c>
      <c r="AC77" s="416">
        <v>40908</v>
      </c>
      <c r="AD77" s="416">
        <v>40816</v>
      </c>
      <c r="AE77" s="416">
        <v>40724</v>
      </c>
      <c r="AF77" s="416">
        <v>40633</v>
      </c>
      <c r="AG77" s="416">
        <v>40543</v>
      </c>
      <c r="AH77" s="416">
        <v>40451</v>
      </c>
      <c r="AI77" s="416">
        <v>40359</v>
      </c>
      <c r="AJ77" s="416">
        <v>40268</v>
      </c>
      <c r="AK77" s="416">
        <v>40178</v>
      </c>
    </row>
    <row r="78" spans="2:37" x14ac:dyDescent="0.25">
      <c r="B78" s="427"/>
      <c r="C78" s="437"/>
      <c r="D78" s="444"/>
      <c r="E78" s="417"/>
      <c r="F78" s="417"/>
      <c r="G78" s="417"/>
      <c r="H78" s="418"/>
      <c r="I78" s="417"/>
      <c r="J78" s="417"/>
      <c r="K78" s="417"/>
      <c r="L78" s="418"/>
      <c r="M78" s="417"/>
      <c r="N78" s="417"/>
      <c r="O78" s="417"/>
      <c r="P78" s="417"/>
      <c r="Q78" s="417"/>
      <c r="R78" s="417"/>
      <c r="S78" s="417"/>
      <c r="T78" s="417"/>
      <c r="U78" s="417"/>
      <c r="V78" s="417"/>
      <c r="W78" s="417"/>
      <c r="X78" s="417"/>
      <c r="Y78" s="417"/>
      <c r="Z78" s="417"/>
      <c r="AA78" s="417"/>
      <c r="AB78" s="417"/>
      <c r="AC78" s="417"/>
      <c r="AD78" s="417"/>
      <c r="AE78" s="417"/>
      <c r="AF78" s="417"/>
      <c r="AG78" s="417"/>
      <c r="AH78" s="417"/>
      <c r="AI78" s="417"/>
      <c r="AJ78" s="417"/>
      <c r="AK78" s="417"/>
    </row>
    <row r="79" spans="2:37" ht="9.75" customHeight="1" x14ac:dyDescent="0.25">
      <c r="B79" s="8" t="s">
        <v>4</v>
      </c>
      <c r="C79" s="87"/>
      <c r="D79" s="88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8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2:37" ht="15" customHeight="1" x14ac:dyDescent="0.25">
      <c r="B80" s="5" t="s">
        <v>29</v>
      </c>
      <c r="C80" s="91">
        <f>(E80-F80)/F80</f>
        <v>5.984458499838697E-2</v>
      </c>
      <c r="D80" s="92">
        <f>(E80-I80)/I80</f>
        <v>0.27770252071626772</v>
      </c>
      <c r="E80" s="22">
        <v>72205.820000000007</v>
      </c>
      <c r="F80" s="22">
        <v>68128.687000000005</v>
      </c>
      <c r="G80" s="22">
        <v>63134.773000000001</v>
      </c>
      <c r="H80" s="11">
        <v>58028.33</v>
      </c>
      <c r="I80" s="22">
        <v>56512.231</v>
      </c>
      <c r="J80" s="11">
        <v>55650.466</v>
      </c>
      <c r="K80" s="11">
        <v>54275.868000000002</v>
      </c>
      <c r="L80" s="11">
        <v>53262.451000000001</v>
      </c>
      <c r="M80" s="11">
        <v>50677.851999999999</v>
      </c>
      <c r="N80" s="11">
        <v>50378.025999999998</v>
      </c>
      <c r="O80" s="11">
        <v>47334.76</v>
      </c>
      <c r="P80" s="11">
        <v>47824.970999999998</v>
      </c>
      <c r="Q80" s="11">
        <v>49790.555</v>
      </c>
      <c r="R80" s="11">
        <v>46954.133999999998</v>
      </c>
      <c r="S80" s="11">
        <v>43102.106</v>
      </c>
      <c r="T80" s="11">
        <v>39788.334000000003</v>
      </c>
      <c r="U80" s="11">
        <v>36438.561000000002</v>
      </c>
      <c r="V80" s="11">
        <v>33683.364000000001</v>
      </c>
      <c r="W80" s="11">
        <v>29800.858</v>
      </c>
      <c r="X80" s="11">
        <v>25549.814999999999</v>
      </c>
      <c r="Y80" s="11">
        <v>21914.22</v>
      </c>
      <c r="Z80" s="11">
        <v>18287.402999999998</v>
      </c>
      <c r="AA80" s="11">
        <v>16533.396000000001</v>
      </c>
      <c r="AB80" s="11">
        <v>15319.977000000001</v>
      </c>
      <c r="AC80" s="11">
        <v>15047.179</v>
      </c>
      <c r="AD80" s="11">
        <v>14619.522000000001</v>
      </c>
      <c r="AE80" s="11">
        <v>13091.912</v>
      </c>
      <c r="AF80" s="11">
        <v>13179.376</v>
      </c>
      <c r="AG80" s="11">
        <v>12827.902</v>
      </c>
      <c r="AH80" s="11">
        <v>12721.108</v>
      </c>
      <c r="AI80" s="11">
        <v>12900.03</v>
      </c>
      <c r="AJ80" s="11">
        <v>12718.446</v>
      </c>
      <c r="AK80" s="11">
        <v>13173.144</v>
      </c>
    </row>
    <row r="81" spans="2:37" ht="15" customHeight="1" x14ac:dyDescent="0.25">
      <c r="B81" s="5" t="s">
        <v>32</v>
      </c>
      <c r="C81" s="91"/>
      <c r="D81" s="92"/>
      <c r="E81" s="22"/>
      <c r="F81" s="22"/>
      <c r="G81" s="22"/>
      <c r="H81" s="11"/>
      <c r="I81" s="22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</row>
    <row r="82" spans="2:37" ht="15" customHeight="1" x14ac:dyDescent="0.25">
      <c r="B82" s="14" t="s">
        <v>33</v>
      </c>
      <c r="C82" s="91"/>
      <c r="D82" s="92"/>
      <c r="E82" s="208">
        <v>50.658999999999999</v>
      </c>
      <c r="F82" s="208">
        <v>34.386000000000003</v>
      </c>
      <c r="G82" s="208">
        <v>53.271999999999998</v>
      </c>
      <c r="H82" s="52">
        <v>60.87</v>
      </c>
      <c r="I82" s="208">
        <v>728.94200000000001</v>
      </c>
      <c r="J82" s="52">
        <v>89.289000000000001</v>
      </c>
      <c r="K82" s="52">
        <v>41.686999999999998</v>
      </c>
      <c r="L82" s="52">
        <v>103.31699999999999</v>
      </c>
      <c r="M82" s="52">
        <v>69.350999999999999</v>
      </c>
      <c r="N82" s="52">
        <v>111.464</v>
      </c>
      <c r="O82" s="52">
        <v>47.311999999999998</v>
      </c>
      <c r="P82" s="52">
        <v>42.427</v>
      </c>
      <c r="Q82" s="52">
        <v>60.753</v>
      </c>
      <c r="R82" s="52">
        <v>45.54</v>
      </c>
      <c r="S82" s="52">
        <v>41.865000000000002</v>
      </c>
      <c r="T82" s="52">
        <v>80.668999999999997</v>
      </c>
      <c r="U82" s="52">
        <v>29.890999999999998</v>
      </c>
      <c r="V82" s="52">
        <v>18.978000000000002</v>
      </c>
      <c r="W82" s="52">
        <v>13.657</v>
      </c>
      <c r="X82" s="52">
        <v>1.8919999999999999</v>
      </c>
      <c r="Y82" s="52">
        <v>6.77</v>
      </c>
      <c r="Z82" s="52">
        <v>2.4569999999999999</v>
      </c>
      <c r="AA82" s="52">
        <v>17.183</v>
      </c>
      <c r="AB82" s="52">
        <v>2.5459999999999998</v>
      </c>
      <c r="AC82" s="52">
        <v>13.792</v>
      </c>
      <c r="AD82" s="52">
        <v>31.419</v>
      </c>
      <c r="AE82" s="52">
        <v>52.204999999999998</v>
      </c>
      <c r="AF82" s="52">
        <v>16.893999999999998</v>
      </c>
      <c r="AG82" s="52">
        <v>29.55</v>
      </c>
      <c r="AH82" s="52">
        <v>36.444000000000003</v>
      </c>
      <c r="AI82" s="52">
        <v>40.033999999999999</v>
      </c>
      <c r="AJ82" s="52">
        <v>91.215999999999994</v>
      </c>
      <c r="AK82" s="52">
        <v>43.152999999999999</v>
      </c>
    </row>
    <row r="83" spans="2:37" ht="15" customHeight="1" x14ac:dyDescent="0.25">
      <c r="B83" s="14" t="s">
        <v>34</v>
      </c>
      <c r="C83" s="91"/>
      <c r="D83" s="92"/>
      <c r="E83" s="83">
        <v>142.83699999999999</v>
      </c>
      <c r="F83" s="83">
        <v>126.096</v>
      </c>
      <c r="G83" s="83">
        <v>156.86699999999999</v>
      </c>
      <c r="H83" s="45">
        <v>183.49100000000001</v>
      </c>
      <c r="I83" s="83">
        <v>113.262</v>
      </c>
      <c r="J83" s="45">
        <v>179.673</v>
      </c>
      <c r="K83" s="45">
        <v>148.971</v>
      </c>
      <c r="L83" s="45">
        <v>169.28800000000001</v>
      </c>
      <c r="M83" s="45">
        <v>182.11600000000001</v>
      </c>
      <c r="N83" s="45">
        <v>227.505</v>
      </c>
      <c r="O83" s="45">
        <v>212.86099999999999</v>
      </c>
      <c r="P83" s="45">
        <v>248.178</v>
      </c>
      <c r="Q83" s="45">
        <v>151.84399999999999</v>
      </c>
      <c r="R83" s="45">
        <v>228.4</v>
      </c>
      <c r="S83" s="45">
        <v>92.3</v>
      </c>
      <c r="T83" s="45">
        <v>123.676</v>
      </c>
      <c r="U83" s="45">
        <v>180.97900000000001</v>
      </c>
      <c r="V83" s="45">
        <v>128.14599999999999</v>
      </c>
      <c r="W83" s="45">
        <v>77.055999999999997</v>
      </c>
      <c r="X83" s="45">
        <v>63.329000000000001</v>
      </c>
      <c r="Y83" s="45">
        <v>66.55</v>
      </c>
      <c r="Z83" s="45">
        <v>62.444000000000003</v>
      </c>
      <c r="AA83" s="45">
        <v>53.804000000000002</v>
      </c>
      <c r="AB83" s="45">
        <v>64.472999999999999</v>
      </c>
      <c r="AC83" s="45">
        <v>141.00800000000001</v>
      </c>
      <c r="AD83" s="45">
        <v>88.897999999999996</v>
      </c>
      <c r="AE83" s="45">
        <v>49.966999999999999</v>
      </c>
      <c r="AF83" s="45">
        <v>38.210999999999999</v>
      </c>
      <c r="AG83" s="45">
        <v>33.643000000000001</v>
      </c>
      <c r="AH83" s="45">
        <v>73.659000000000006</v>
      </c>
      <c r="AI83" s="45">
        <v>136.00399999999999</v>
      </c>
      <c r="AJ83" s="45">
        <v>149.976</v>
      </c>
      <c r="AK83" s="45">
        <v>223.65</v>
      </c>
    </row>
    <row r="84" spans="2:37" ht="15" customHeight="1" x14ac:dyDescent="0.25">
      <c r="B84" s="14" t="s">
        <v>35</v>
      </c>
      <c r="C84" s="91"/>
      <c r="D84" s="92"/>
      <c r="E84" s="83">
        <v>299.476</v>
      </c>
      <c r="F84" s="83">
        <v>123.81</v>
      </c>
      <c r="G84" s="83">
        <v>141.25</v>
      </c>
      <c r="H84" s="45">
        <v>156.49299999999999</v>
      </c>
      <c r="I84" s="83">
        <v>179.381</v>
      </c>
      <c r="J84" s="45">
        <v>229.39599999999999</v>
      </c>
      <c r="K84" s="45">
        <v>193.64599999999999</v>
      </c>
      <c r="L84" s="45">
        <v>174.702</v>
      </c>
      <c r="M84" s="45">
        <v>147.874</v>
      </c>
      <c r="N84" s="45">
        <v>202.39699999999999</v>
      </c>
      <c r="O84" s="45">
        <v>134.714</v>
      </c>
      <c r="P84" s="45">
        <v>159.459</v>
      </c>
      <c r="Q84" s="45">
        <v>107.65300000000001</v>
      </c>
      <c r="R84" s="45">
        <v>79.887</v>
      </c>
      <c r="S84" s="45">
        <v>126.565</v>
      </c>
      <c r="T84" s="45">
        <v>86.349000000000004</v>
      </c>
      <c r="U84" s="45">
        <v>140.60900000000001</v>
      </c>
      <c r="V84" s="45">
        <v>110.423</v>
      </c>
      <c r="W84" s="45">
        <v>71.584999999999994</v>
      </c>
      <c r="X84" s="45">
        <v>57.951000000000001</v>
      </c>
      <c r="Y84" s="45">
        <v>32.268999999999998</v>
      </c>
      <c r="Z84" s="45">
        <v>58.534999999999997</v>
      </c>
      <c r="AA84" s="45">
        <v>26.827999999999999</v>
      </c>
      <c r="AB84" s="45">
        <v>32.454999999999998</v>
      </c>
      <c r="AC84" s="45">
        <v>39.984000000000002</v>
      </c>
      <c r="AD84" s="45">
        <v>29.672000000000001</v>
      </c>
      <c r="AE84" s="45">
        <v>66.677999999999997</v>
      </c>
      <c r="AF84" s="45">
        <v>70.382000000000005</v>
      </c>
      <c r="AG84" s="45">
        <v>21.018999999999998</v>
      </c>
      <c r="AH84" s="45">
        <v>61.241999999999997</v>
      </c>
      <c r="AI84" s="45">
        <v>49.655000000000001</v>
      </c>
      <c r="AJ84" s="45">
        <v>114.52200000000001</v>
      </c>
      <c r="AK84" s="45">
        <v>33.14</v>
      </c>
    </row>
    <row r="85" spans="2:37" ht="15" customHeight="1" x14ac:dyDescent="0.25">
      <c r="B85" s="14" t="s">
        <v>39</v>
      </c>
      <c r="C85" s="91"/>
      <c r="D85" s="92"/>
      <c r="E85" s="83">
        <v>103.029</v>
      </c>
      <c r="F85" s="83">
        <v>103.187</v>
      </c>
      <c r="G85" s="83">
        <v>107.209</v>
      </c>
      <c r="H85" s="45">
        <v>188.90899999999999</v>
      </c>
      <c r="I85" s="83">
        <v>71.257000000000005</v>
      </c>
      <c r="J85" s="45">
        <v>82.808000000000007</v>
      </c>
      <c r="K85" s="45">
        <v>92.906000000000006</v>
      </c>
      <c r="L85" s="45">
        <v>229.251</v>
      </c>
      <c r="M85" s="45">
        <v>297.16899999999998</v>
      </c>
      <c r="N85" s="45">
        <v>147.18700000000001</v>
      </c>
      <c r="O85" s="45">
        <v>137.404</v>
      </c>
      <c r="P85" s="45">
        <v>148.91399999999999</v>
      </c>
      <c r="Q85" s="45">
        <v>101.947</v>
      </c>
      <c r="R85" s="45">
        <v>71.353999999999999</v>
      </c>
      <c r="S85" s="45">
        <v>74.724000000000004</v>
      </c>
      <c r="T85" s="45">
        <v>79.075000000000003</v>
      </c>
      <c r="U85" s="45">
        <v>34.997999999999998</v>
      </c>
      <c r="V85" s="45">
        <v>89.03</v>
      </c>
      <c r="W85" s="45">
        <v>69.311000000000007</v>
      </c>
      <c r="X85" s="45">
        <v>72.671000000000006</v>
      </c>
      <c r="Y85" s="45">
        <v>21.056999999999999</v>
      </c>
      <c r="Z85" s="45">
        <v>31.832999999999998</v>
      </c>
      <c r="AA85" s="45">
        <v>22.984000000000002</v>
      </c>
      <c r="AB85" s="45">
        <v>296.27800000000002</v>
      </c>
      <c r="AC85" s="45">
        <v>35.417999999999999</v>
      </c>
      <c r="AD85" s="45">
        <v>17.724</v>
      </c>
      <c r="AE85" s="45">
        <v>16.306000000000001</v>
      </c>
      <c r="AF85" s="45">
        <v>53.124000000000002</v>
      </c>
      <c r="AG85" s="45">
        <v>68.481999999999999</v>
      </c>
      <c r="AH85" s="45">
        <v>69.507999999999996</v>
      </c>
      <c r="AI85" s="45">
        <v>112.75</v>
      </c>
      <c r="AJ85" s="45">
        <v>24.449000000000002</v>
      </c>
      <c r="AK85" s="45">
        <v>35.624000000000002</v>
      </c>
    </row>
    <row r="86" spans="2:37" ht="15" customHeight="1" x14ac:dyDescent="0.25">
      <c r="B86" s="14" t="s">
        <v>36</v>
      </c>
      <c r="C86" s="91"/>
      <c r="D86" s="92"/>
      <c r="E86" s="83">
        <v>751.00699999999995</v>
      </c>
      <c r="F86" s="83">
        <v>264.99200000000002</v>
      </c>
      <c r="G86" s="83">
        <v>390.202</v>
      </c>
      <c r="H86" s="45">
        <v>319.88499999999999</v>
      </c>
      <c r="I86" s="83">
        <v>328.36399999999998</v>
      </c>
      <c r="J86" s="45">
        <v>268.05700000000002</v>
      </c>
      <c r="K86" s="45">
        <v>456.798</v>
      </c>
      <c r="L86" s="45">
        <v>457.05099999999999</v>
      </c>
      <c r="M86" s="45">
        <v>395.673</v>
      </c>
      <c r="N86" s="45">
        <v>293.38799999999998</v>
      </c>
      <c r="O86" s="45">
        <v>371.12</v>
      </c>
      <c r="P86" s="45">
        <v>267.416</v>
      </c>
      <c r="Q86" s="45">
        <v>281.14499999999998</v>
      </c>
      <c r="R86" s="45">
        <v>235.84200000000001</v>
      </c>
      <c r="S86" s="45">
        <v>214.18799999999999</v>
      </c>
      <c r="T86" s="45">
        <v>254.239</v>
      </c>
      <c r="U86" s="45">
        <v>183.762</v>
      </c>
      <c r="V86" s="45">
        <v>101.66</v>
      </c>
      <c r="W86" s="45">
        <v>137.958</v>
      </c>
      <c r="X86" s="45">
        <v>61.262999999999998</v>
      </c>
      <c r="Y86" s="45">
        <v>94.617000000000004</v>
      </c>
      <c r="Z86" s="45">
        <v>45.912999999999997</v>
      </c>
      <c r="AA86" s="45">
        <v>269.61</v>
      </c>
      <c r="AB86" s="45">
        <v>40.823999999999998</v>
      </c>
      <c r="AC86" s="45">
        <v>75.86</v>
      </c>
      <c r="AD86" s="45">
        <v>40.072000000000003</v>
      </c>
      <c r="AE86" s="45">
        <v>61.9</v>
      </c>
      <c r="AF86" s="45">
        <v>76.466999999999999</v>
      </c>
      <c r="AG86" s="45">
        <v>52.676000000000002</v>
      </c>
      <c r="AH86" s="45">
        <v>158.20400000000001</v>
      </c>
      <c r="AI86" s="45">
        <v>124.81100000000001</v>
      </c>
      <c r="AJ86" s="45">
        <v>69.456000000000003</v>
      </c>
      <c r="AK86" s="45">
        <v>238.51400000000001</v>
      </c>
    </row>
    <row r="87" spans="2:37" ht="15" customHeight="1" x14ac:dyDescent="0.25">
      <c r="B87" s="14" t="s">
        <v>37</v>
      </c>
      <c r="C87" s="91"/>
      <c r="D87" s="92"/>
      <c r="E87" s="83">
        <v>521.91800000000001</v>
      </c>
      <c r="F87" s="83">
        <v>506.048</v>
      </c>
      <c r="G87" s="83">
        <v>420.96</v>
      </c>
      <c r="H87" s="45">
        <v>438.02100000000002</v>
      </c>
      <c r="I87" s="83">
        <v>478.54</v>
      </c>
      <c r="J87" s="45">
        <v>779.26400000000001</v>
      </c>
      <c r="K87" s="45">
        <v>686.71900000000005</v>
      </c>
      <c r="L87" s="45">
        <v>536.39700000000005</v>
      </c>
      <c r="M87" s="45">
        <v>545.85900000000004</v>
      </c>
      <c r="N87" s="45">
        <v>512.64</v>
      </c>
      <c r="O87" s="45">
        <v>449.62299999999999</v>
      </c>
      <c r="P87" s="45">
        <v>421.697</v>
      </c>
      <c r="Q87" s="45">
        <v>325.82100000000003</v>
      </c>
      <c r="R87" s="45">
        <v>376.52600000000001</v>
      </c>
      <c r="S87" s="45">
        <v>289.702</v>
      </c>
      <c r="T87" s="45">
        <v>206.49299999999999</v>
      </c>
      <c r="U87" s="45">
        <v>177.39099999999999</v>
      </c>
      <c r="V87" s="45">
        <v>155.15299999999999</v>
      </c>
      <c r="W87" s="45">
        <v>154.55199999999999</v>
      </c>
      <c r="X87" s="45">
        <v>113.999</v>
      </c>
      <c r="Y87" s="45">
        <v>276.60500000000002</v>
      </c>
      <c r="Z87" s="45">
        <v>283.09300000000002</v>
      </c>
      <c r="AA87" s="45">
        <v>52.780999999999999</v>
      </c>
      <c r="AB87" s="45">
        <v>54.372</v>
      </c>
      <c r="AC87" s="45">
        <v>53.276000000000003</v>
      </c>
      <c r="AD87" s="45">
        <v>78.231999999999999</v>
      </c>
      <c r="AE87" s="45">
        <v>101.11</v>
      </c>
      <c r="AF87" s="45">
        <v>78.533000000000001</v>
      </c>
      <c r="AG87" s="45">
        <v>192.28800000000001</v>
      </c>
      <c r="AH87" s="45">
        <v>140.12</v>
      </c>
      <c r="AI87" s="45">
        <v>190.33</v>
      </c>
      <c r="AJ87" s="45">
        <v>721.48599999999999</v>
      </c>
      <c r="AK87" s="45">
        <v>769.13900000000001</v>
      </c>
    </row>
    <row r="88" spans="2:37" s="39" customFormat="1" ht="15" customHeight="1" x14ac:dyDescent="0.25">
      <c r="B88" s="43" t="s">
        <v>38</v>
      </c>
      <c r="C88" s="91"/>
      <c r="D88" s="92"/>
      <c r="E88" s="209">
        <v>1731.086</v>
      </c>
      <c r="F88" s="209">
        <v>1807.347</v>
      </c>
      <c r="G88" s="209">
        <v>1782.116</v>
      </c>
      <c r="H88" s="53">
        <v>1735.1089999999999</v>
      </c>
      <c r="I88" s="209">
        <v>1714.566</v>
      </c>
      <c r="J88" s="53">
        <v>1518.4690000000001</v>
      </c>
      <c r="K88" s="53">
        <v>1395.57</v>
      </c>
      <c r="L88" s="53">
        <v>1329.6610000000001</v>
      </c>
      <c r="M88" s="53">
        <v>1185.9290000000001</v>
      </c>
      <c r="N88" s="53">
        <v>1057.56</v>
      </c>
      <c r="O88" s="53">
        <v>905.08699999999999</v>
      </c>
      <c r="P88" s="53">
        <v>848.24800000000005</v>
      </c>
      <c r="Q88" s="53">
        <v>958.69299999999998</v>
      </c>
      <c r="R88" s="53">
        <v>744.00099999999998</v>
      </c>
      <c r="S88" s="53">
        <v>713.15099999999995</v>
      </c>
      <c r="T88" s="53">
        <v>665.245</v>
      </c>
      <c r="U88" s="53">
        <v>585.62099999999998</v>
      </c>
      <c r="V88" s="53">
        <v>609.96400000000006</v>
      </c>
      <c r="W88" s="53">
        <v>524.20600000000002</v>
      </c>
      <c r="X88" s="53">
        <v>561.28800000000001</v>
      </c>
      <c r="Y88" s="53">
        <v>332.35599999999999</v>
      </c>
      <c r="Z88" s="53">
        <v>487.37400000000002</v>
      </c>
      <c r="AA88" s="53">
        <v>514.96</v>
      </c>
      <c r="AB88" s="53">
        <v>594.94799999999998</v>
      </c>
      <c r="AC88" s="53">
        <v>628.36199999999997</v>
      </c>
      <c r="AD88" s="53">
        <v>853.81399999999996</v>
      </c>
      <c r="AE88" s="53">
        <v>809.09100000000001</v>
      </c>
      <c r="AF88" s="53">
        <v>856.88699999999994</v>
      </c>
      <c r="AG88" s="53">
        <v>834.85599999999999</v>
      </c>
      <c r="AH88" s="53">
        <v>940.67499999999995</v>
      </c>
      <c r="AI88" s="53">
        <v>889.56600000000003</v>
      </c>
      <c r="AJ88" s="53">
        <v>337.28899999999999</v>
      </c>
      <c r="AK88" s="53">
        <v>131.71799999999999</v>
      </c>
    </row>
    <row r="89" spans="2:37" s="39" customFormat="1" ht="15" customHeight="1" x14ac:dyDescent="0.25">
      <c r="B89" s="42" t="s">
        <v>48</v>
      </c>
      <c r="C89" s="91">
        <f>(E89-F89)/F89</f>
        <v>0.21381478461939943</v>
      </c>
      <c r="D89" s="92">
        <f>(E89-I89)/I89</f>
        <v>-3.9564929646361971E-3</v>
      </c>
      <c r="E89" s="83">
        <f t="shared" ref="E89:S89" si="14">SUM(E82:E88)</f>
        <v>3600.0119999999997</v>
      </c>
      <c r="F89" s="83">
        <f t="shared" si="14"/>
        <v>2965.866</v>
      </c>
      <c r="G89" s="83">
        <f t="shared" si="14"/>
        <v>3051.8760000000002</v>
      </c>
      <c r="H89" s="45">
        <f t="shared" si="14"/>
        <v>3082.7780000000002</v>
      </c>
      <c r="I89" s="83">
        <f t="shared" si="14"/>
        <v>3614.3119999999999</v>
      </c>
      <c r="J89" s="45">
        <f t="shared" si="14"/>
        <v>3146.9560000000001</v>
      </c>
      <c r="K89" s="45">
        <f t="shared" si="14"/>
        <v>3016.297</v>
      </c>
      <c r="L89" s="45">
        <f t="shared" si="14"/>
        <v>2999.6669999999999</v>
      </c>
      <c r="M89" s="45">
        <f t="shared" si="14"/>
        <v>2823.971</v>
      </c>
      <c r="N89" s="45">
        <f t="shared" si="14"/>
        <v>2552.1410000000001</v>
      </c>
      <c r="O89" s="45">
        <f t="shared" si="14"/>
        <v>2258.1210000000001</v>
      </c>
      <c r="P89" s="45">
        <f t="shared" si="14"/>
        <v>2136.3389999999999</v>
      </c>
      <c r="Q89" s="45">
        <f t="shared" si="14"/>
        <v>1987.856</v>
      </c>
      <c r="R89" s="45">
        <f t="shared" si="14"/>
        <v>1781.55</v>
      </c>
      <c r="S89" s="45">
        <f t="shared" si="14"/>
        <v>1552.4949999999999</v>
      </c>
      <c r="T89" s="45">
        <f t="shared" ref="T89:Y89" si="15">SUM(T82:T88)</f>
        <v>1495.7460000000001</v>
      </c>
      <c r="U89" s="45">
        <f t="shared" si="15"/>
        <v>1333.251</v>
      </c>
      <c r="V89" s="45">
        <f t="shared" si="15"/>
        <v>1213.354</v>
      </c>
      <c r="W89" s="45">
        <f t="shared" si="15"/>
        <v>1048.325</v>
      </c>
      <c r="X89" s="45">
        <f t="shared" si="15"/>
        <v>932.39300000000003</v>
      </c>
      <c r="Y89" s="45">
        <f t="shared" si="15"/>
        <v>830.22400000000005</v>
      </c>
      <c r="Z89" s="45">
        <f t="shared" ref="Z89:AK89" si="16">SUM(Z82:Z88)</f>
        <v>971.64900000000011</v>
      </c>
      <c r="AA89" s="45">
        <f t="shared" si="16"/>
        <v>958.15000000000009</v>
      </c>
      <c r="AB89" s="45">
        <f t="shared" si="16"/>
        <v>1085.896</v>
      </c>
      <c r="AC89" s="45">
        <f t="shared" si="16"/>
        <v>987.7</v>
      </c>
      <c r="AD89" s="45">
        <f t="shared" si="16"/>
        <v>1139.8309999999999</v>
      </c>
      <c r="AE89" s="45">
        <f t="shared" si="16"/>
        <v>1157.2570000000001</v>
      </c>
      <c r="AF89" s="45">
        <f t="shared" si="16"/>
        <v>1190.498</v>
      </c>
      <c r="AG89" s="45">
        <f t="shared" si="16"/>
        <v>1232.5140000000001</v>
      </c>
      <c r="AH89" s="45">
        <f t="shared" si="16"/>
        <v>1479.8519999999999</v>
      </c>
      <c r="AI89" s="45">
        <f t="shared" si="16"/>
        <v>1543.15</v>
      </c>
      <c r="AJ89" s="45">
        <f t="shared" si="16"/>
        <v>1508.394</v>
      </c>
      <c r="AK89" s="45">
        <f t="shared" si="16"/>
        <v>1474.9380000000001</v>
      </c>
    </row>
    <row r="90" spans="2:37" s="44" customFormat="1" ht="26.1" customHeight="1" x14ac:dyDescent="0.25">
      <c r="B90" s="44" t="s">
        <v>60</v>
      </c>
      <c r="C90" s="93">
        <f>(E90-F90)/F90</f>
        <v>6.6267791289158384E-2</v>
      </c>
      <c r="D90" s="94">
        <f>(E90-I90)/I90</f>
        <v>0.26077150319452114</v>
      </c>
      <c r="E90" s="205">
        <f t="shared" ref="E90:S90" si="17">E80+E89</f>
        <v>75805.832000000009</v>
      </c>
      <c r="F90" s="205">
        <f t="shared" si="17"/>
        <v>71094.553</v>
      </c>
      <c r="G90" s="205">
        <f t="shared" si="17"/>
        <v>66186.649000000005</v>
      </c>
      <c r="H90" s="46">
        <f t="shared" si="17"/>
        <v>61111.108</v>
      </c>
      <c r="I90" s="205">
        <f t="shared" si="17"/>
        <v>60126.542999999998</v>
      </c>
      <c r="J90" s="46">
        <f t="shared" si="17"/>
        <v>58797.421999999999</v>
      </c>
      <c r="K90" s="46">
        <f t="shared" si="17"/>
        <v>57292.165000000001</v>
      </c>
      <c r="L90" s="46">
        <f t="shared" si="17"/>
        <v>56262.118000000002</v>
      </c>
      <c r="M90" s="46">
        <f t="shared" si="17"/>
        <v>53501.822999999997</v>
      </c>
      <c r="N90" s="46">
        <f t="shared" si="17"/>
        <v>52930.167000000001</v>
      </c>
      <c r="O90" s="46">
        <f t="shared" si="17"/>
        <v>49592.881000000001</v>
      </c>
      <c r="P90" s="46">
        <f t="shared" si="17"/>
        <v>49961.31</v>
      </c>
      <c r="Q90" s="46">
        <f t="shared" si="17"/>
        <v>51778.411</v>
      </c>
      <c r="R90" s="46">
        <f t="shared" si="17"/>
        <v>48735.684000000001</v>
      </c>
      <c r="S90" s="46">
        <f t="shared" si="17"/>
        <v>44654.601000000002</v>
      </c>
      <c r="T90" s="46">
        <f t="shared" ref="T90:Y90" si="18">T80+T89</f>
        <v>41284.080000000002</v>
      </c>
      <c r="U90" s="46">
        <f t="shared" si="18"/>
        <v>37771.811999999998</v>
      </c>
      <c r="V90" s="46">
        <f t="shared" si="18"/>
        <v>34896.718000000001</v>
      </c>
      <c r="W90" s="46">
        <f t="shared" si="18"/>
        <v>30849.183000000001</v>
      </c>
      <c r="X90" s="46">
        <f t="shared" si="18"/>
        <v>26482.207999999999</v>
      </c>
      <c r="Y90" s="46">
        <f t="shared" si="18"/>
        <v>22744.444</v>
      </c>
      <c r="Z90" s="46">
        <f t="shared" ref="Z90:AK90" si="19">Z80+Z89</f>
        <v>19259.052</v>
      </c>
      <c r="AA90" s="46">
        <f t="shared" si="19"/>
        <v>17491.546000000002</v>
      </c>
      <c r="AB90" s="46">
        <f t="shared" si="19"/>
        <v>16405.873</v>
      </c>
      <c r="AC90" s="46">
        <f t="shared" si="19"/>
        <v>16034.879000000001</v>
      </c>
      <c r="AD90" s="46">
        <f t="shared" si="19"/>
        <v>15759.353000000001</v>
      </c>
      <c r="AE90" s="46">
        <f t="shared" si="19"/>
        <v>14249.169</v>
      </c>
      <c r="AF90" s="46">
        <f t="shared" si="19"/>
        <v>14369.874</v>
      </c>
      <c r="AG90" s="46">
        <f t="shared" si="19"/>
        <v>14060.416000000001</v>
      </c>
      <c r="AH90" s="46">
        <f t="shared" si="19"/>
        <v>14200.96</v>
      </c>
      <c r="AI90" s="46">
        <f t="shared" si="19"/>
        <v>14443.18</v>
      </c>
      <c r="AJ90" s="46">
        <f t="shared" si="19"/>
        <v>14226.84</v>
      </c>
      <c r="AK90" s="46">
        <f t="shared" si="19"/>
        <v>14648.082</v>
      </c>
    </row>
    <row r="91" spans="2:37" s="25" customFormat="1" ht="15" customHeight="1" x14ac:dyDescent="0.25">
      <c r="B91" s="22" t="s">
        <v>14</v>
      </c>
      <c r="C91" s="91">
        <f>(E91-F91)/F91</f>
        <v>3.8113199376566341E-2</v>
      </c>
      <c r="D91" s="92">
        <f>(E91-I91)/I91</f>
        <v>0.40197591512704084</v>
      </c>
      <c r="E91" s="22">
        <v>-2828.7640000000001</v>
      </c>
      <c r="F91" s="22">
        <v>-2724.9090000000001</v>
      </c>
      <c r="G91" s="22">
        <v>-2579.7399999999998</v>
      </c>
      <c r="H91" s="22">
        <v>-2375.373</v>
      </c>
      <c r="I91" s="22">
        <v>-2017.6980000000001</v>
      </c>
      <c r="J91" s="22">
        <v>-2059.6680000000001</v>
      </c>
      <c r="K91" s="22">
        <v>-2041.893</v>
      </c>
      <c r="L91" s="22">
        <v>-2145.9920000000002</v>
      </c>
      <c r="M91" s="22">
        <v>-1756.6759999999999</v>
      </c>
      <c r="N91" s="22">
        <v>-1513.615</v>
      </c>
      <c r="O91" s="22">
        <v>-1520.6079999999999</v>
      </c>
      <c r="P91" s="22">
        <v>-1473.355</v>
      </c>
      <c r="Q91" s="22">
        <v>-1185.047</v>
      </c>
      <c r="R91" s="22">
        <v>-1073.482</v>
      </c>
      <c r="S91" s="22">
        <v>-952.63400000000001</v>
      </c>
      <c r="T91" s="22">
        <v>-923.40700000000004</v>
      </c>
      <c r="U91" s="22">
        <v>-842.125</v>
      </c>
      <c r="V91" s="22">
        <v>-837.26800000000003</v>
      </c>
      <c r="W91" s="22">
        <v>-659.02200000000005</v>
      </c>
      <c r="X91" s="22">
        <v>-671.16300000000001</v>
      </c>
      <c r="Y91" s="22">
        <v>-601.47199999999998</v>
      </c>
      <c r="Z91" s="22">
        <v>-747.69200000000001</v>
      </c>
      <c r="AA91" s="22">
        <v>-788.31700000000001</v>
      </c>
      <c r="AB91" s="22">
        <v>-876.76300000000003</v>
      </c>
      <c r="AC91" s="22">
        <v>-913.85</v>
      </c>
      <c r="AD91" s="22">
        <v>-1028.5840000000001</v>
      </c>
      <c r="AE91" s="22">
        <v>-1063.537</v>
      </c>
      <c r="AF91" s="22">
        <v>-1159.473</v>
      </c>
      <c r="AG91" s="22">
        <v>-1232.9780000000001</v>
      </c>
      <c r="AH91" s="22">
        <v>-1292.3620000000001</v>
      </c>
      <c r="AI91" s="22">
        <v>-1203.346</v>
      </c>
      <c r="AJ91" s="22">
        <v>-1129.318</v>
      </c>
      <c r="AK91" s="37">
        <v>-998.61</v>
      </c>
    </row>
    <row r="92" spans="2:37" s="19" customFormat="1" ht="26.1" customHeight="1" x14ac:dyDescent="0.25">
      <c r="B92" s="19" t="s">
        <v>61</v>
      </c>
      <c r="C92" s="93">
        <f>(E92-F92)/F92</f>
        <v>6.7389907719864875E-2</v>
      </c>
      <c r="D92" s="94">
        <f>(E92-I92)/I92</f>
        <v>0.25586849988155869</v>
      </c>
      <c r="E92" s="65">
        <f t="shared" ref="E92:S92" si="20">E90+E91</f>
        <v>72977.068000000014</v>
      </c>
      <c r="F92" s="65">
        <f t="shared" si="20"/>
        <v>68369.644</v>
      </c>
      <c r="G92" s="65">
        <f t="shared" si="20"/>
        <v>63606.909000000007</v>
      </c>
      <c r="H92" s="20">
        <f t="shared" si="20"/>
        <v>58735.735000000001</v>
      </c>
      <c r="I92" s="65">
        <f t="shared" si="20"/>
        <v>58108.845000000001</v>
      </c>
      <c r="J92" s="20">
        <f t="shared" si="20"/>
        <v>56737.754000000001</v>
      </c>
      <c r="K92" s="20">
        <f t="shared" si="20"/>
        <v>55250.271999999997</v>
      </c>
      <c r="L92" s="20">
        <f t="shared" si="20"/>
        <v>54116.126000000004</v>
      </c>
      <c r="M92" s="20">
        <f t="shared" si="20"/>
        <v>51745.146999999997</v>
      </c>
      <c r="N92" s="20">
        <f t="shared" si="20"/>
        <v>51416.552000000003</v>
      </c>
      <c r="O92" s="20">
        <f t="shared" si="20"/>
        <v>48072.273000000001</v>
      </c>
      <c r="P92" s="20">
        <f t="shared" si="20"/>
        <v>48487.954999999994</v>
      </c>
      <c r="Q92" s="20">
        <f t="shared" si="20"/>
        <v>50593.364000000001</v>
      </c>
      <c r="R92" s="20">
        <f t="shared" si="20"/>
        <v>47662.202000000005</v>
      </c>
      <c r="S92" s="20">
        <f t="shared" si="20"/>
        <v>43701.967000000004</v>
      </c>
      <c r="T92" s="20">
        <f t="shared" ref="T92:Y92" si="21">T90+T91</f>
        <v>40360.673000000003</v>
      </c>
      <c r="U92" s="20">
        <f t="shared" si="21"/>
        <v>36929.686999999998</v>
      </c>
      <c r="V92" s="20">
        <f t="shared" si="21"/>
        <v>34059.449999999997</v>
      </c>
      <c r="W92" s="20">
        <f t="shared" si="21"/>
        <v>30190.161</v>
      </c>
      <c r="X92" s="20">
        <f t="shared" si="21"/>
        <v>25811.044999999998</v>
      </c>
      <c r="Y92" s="20">
        <f t="shared" si="21"/>
        <v>22142.971999999998</v>
      </c>
      <c r="Z92" s="20">
        <f t="shared" ref="Z92:AK92" si="22">Z90+Z91</f>
        <v>18511.36</v>
      </c>
      <c r="AA92" s="20">
        <f t="shared" si="22"/>
        <v>16703.229000000003</v>
      </c>
      <c r="AB92" s="20">
        <f t="shared" si="22"/>
        <v>15529.109999999999</v>
      </c>
      <c r="AC92" s="20">
        <f t="shared" si="22"/>
        <v>15121.029</v>
      </c>
      <c r="AD92" s="20">
        <f t="shared" si="22"/>
        <v>14730.769</v>
      </c>
      <c r="AE92" s="20">
        <f t="shared" si="22"/>
        <v>13185.632</v>
      </c>
      <c r="AF92" s="20">
        <f t="shared" si="22"/>
        <v>13210.401</v>
      </c>
      <c r="AG92" s="20">
        <f t="shared" si="22"/>
        <v>12827.438000000002</v>
      </c>
      <c r="AH92" s="20">
        <f t="shared" si="22"/>
        <v>12908.597999999998</v>
      </c>
      <c r="AI92" s="20">
        <f t="shared" si="22"/>
        <v>13239.834000000001</v>
      </c>
      <c r="AJ92" s="20">
        <f t="shared" si="22"/>
        <v>13097.522000000001</v>
      </c>
      <c r="AK92" s="20">
        <f t="shared" si="22"/>
        <v>13649.472</v>
      </c>
    </row>
    <row r="96" spans="2:37" ht="15.75" customHeight="1" x14ac:dyDescent="0.25">
      <c r="B96" s="426" t="s">
        <v>42</v>
      </c>
      <c r="C96" s="436" t="s">
        <v>64</v>
      </c>
      <c r="D96" s="434" t="s">
        <v>79</v>
      </c>
      <c r="E96" s="416">
        <v>43100</v>
      </c>
      <c r="F96" s="416">
        <v>43008</v>
      </c>
      <c r="G96" s="416">
        <v>42916</v>
      </c>
      <c r="H96" s="416">
        <v>42825</v>
      </c>
      <c r="I96" s="416">
        <v>42735</v>
      </c>
      <c r="J96" s="416">
        <v>42643</v>
      </c>
      <c r="K96" s="416">
        <v>42551</v>
      </c>
      <c r="L96" s="416">
        <v>42460</v>
      </c>
      <c r="M96" s="416">
        <v>42369</v>
      </c>
      <c r="N96" s="416">
        <v>42277</v>
      </c>
      <c r="O96" s="416">
        <v>42185</v>
      </c>
      <c r="P96" s="416">
        <v>42094</v>
      </c>
      <c r="Q96" s="416">
        <v>42004</v>
      </c>
      <c r="R96" s="416">
        <v>41912</v>
      </c>
      <c r="S96" s="416">
        <v>41820</v>
      </c>
      <c r="T96" s="416">
        <v>41729</v>
      </c>
      <c r="U96" s="416">
        <v>41639</v>
      </c>
      <c r="V96" s="416">
        <v>41547</v>
      </c>
      <c r="W96" s="416">
        <v>41455</v>
      </c>
      <c r="X96" s="416">
        <v>41364</v>
      </c>
      <c r="Y96" s="416">
        <v>41274</v>
      </c>
      <c r="Z96" s="416">
        <v>41182</v>
      </c>
      <c r="AA96" s="416">
        <v>41090</v>
      </c>
      <c r="AB96" s="416">
        <v>40999</v>
      </c>
      <c r="AC96" s="416">
        <v>40908</v>
      </c>
      <c r="AD96" s="416">
        <v>40816</v>
      </c>
      <c r="AE96" s="416">
        <v>40724</v>
      </c>
      <c r="AF96" s="416">
        <v>40633</v>
      </c>
      <c r="AG96" s="416">
        <v>40543</v>
      </c>
      <c r="AH96" s="416">
        <v>40451</v>
      </c>
      <c r="AI96" s="416">
        <v>40359</v>
      </c>
      <c r="AJ96" s="416">
        <v>40268</v>
      </c>
      <c r="AK96" s="416">
        <v>40178</v>
      </c>
    </row>
    <row r="97" spans="2:37" x14ac:dyDescent="0.25">
      <c r="B97" s="427"/>
      <c r="C97" s="437"/>
      <c r="D97" s="444"/>
      <c r="E97" s="417"/>
      <c r="F97" s="417"/>
      <c r="G97" s="417"/>
      <c r="H97" s="418"/>
      <c r="I97" s="417"/>
      <c r="J97" s="417"/>
      <c r="K97" s="417"/>
      <c r="L97" s="418"/>
      <c r="M97" s="417"/>
      <c r="N97" s="417"/>
      <c r="O97" s="417"/>
      <c r="P97" s="418"/>
      <c r="Q97" s="417"/>
      <c r="R97" s="417"/>
      <c r="S97" s="417"/>
      <c r="T97" s="417"/>
      <c r="U97" s="417"/>
      <c r="V97" s="417"/>
      <c r="W97" s="417"/>
      <c r="X97" s="417"/>
      <c r="Y97" s="417"/>
      <c r="Z97" s="417"/>
      <c r="AA97" s="417"/>
      <c r="AB97" s="417"/>
      <c r="AC97" s="417"/>
      <c r="AD97" s="417"/>
      <c r="AE97" s="417"/>
      <c r="AF97" s="417"/>
      <c r="AG97" s="417"/>
      <c r="AH97" s="417"/>
      <c r="AI97" s="417"/>
      <c r="AJ97" s="417"/>
      <c r="AK97" s="417"/>
    </row>
    <row r="98" spans="2:37" ht="9.75" customHeight="1" x14ac:dyDescent="0.25">
      <c r="B98" s="8"/>
      <c r="C98" s="87"/>
      <c r="D98" s="88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8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2:37" ht="15" customHeight="1" x14ac:dyDescent="0.25">
      <c r="B99" s="15" t="s">
        <v>67</v>
      </c>
      <c r="C99" s="105">
        <f>(E99-F99)</f>
        <v>8.9380556932576738E-3</v>
      </c>
      <c r="D99" s="106">
        <f>(E99-I99)</f>
        <v>4.2221009290258932E-2</v>
      </c>
      <c r="E99" s="13">
        <f t="shared" ref="E99:Q99" si="23">E90/E50</f>
        <v>0.21191953910028719</v>
      </c>
      <c r="F99" s="13">
        <f t="shared" si="23"/>
        <v>0.20298148340702951</v>
      </c>
      <c r="G99" s="13">
        <f t="shared" si="23"/>
        <v>0.18637633547348356</v>
      </c>
      <c r="H99" s="13">
        <f t="shared" si="23"/>
        <v>0.17585261006482497</v>
      </c>
      <c r="I99" s="13">
        <f t="shared" si="23"/>
        <v>0.16969852981002825</v>
      </c>
      <c r="J99" s="13">
        <f t="shared" si="23"/>
        <v>0.16479452439347292</v>
      </c>
      <c r="K99" s="13">
        <f t="shared" si="23"/>
        <v>0.15539587752024708</v>
      </c>
      <c r="L99" s="13">
        <f t="shared" si="23"/>
        <v>0.15327066217652655</v>
      </c>
      <c r="M99" s="13">
        <f t="shared" si="23"/>
        <v>0.14449536818864719</v>
      </c>
      <c r="N99" s="13">
        <f t="shared" si="23"/>
        <v>0.15008521995076962</v>
      </c>
      <c r="O99" s="13">
        <f t="shared" si="23"/>
        <v>0.1483103549821784</v>
      </c>
      <c r="P99" s="13">
        <f t="shared" si="23"/>
        <v>0.14793001007153112</v>
      </c>
      <c r="Q99" s="13">
        <f t="shared" si="23"/>
        <v>0.15063068440098637</v>
      </c>
      <c r="R99" s="13">
        <f t="shared" ref="R99:AK99" si="24">R90/R50</f>
        <v>0.16102529530306364</v>
      </c>
      <c r="S99" s="13">
        <f t="shared" si="24"/>
        <v>0.15608672736331528</v>
      </c>
      <c r="T99" s="13">
        <f t="shared" si="24"/>
        <v>0.14187603516441785</v>
      </c>
      <c r="U99" s="13">
        <f t="shared" si="24"/>
        <v>0.13644289190133099</v>
      </c>
      <c r="V99" s="13">
        <f t="shared" si="24"/>
        <v>0.12288469102458802</v>
      </c>
      <c r="W99" s="13">
        <f t="shared" si="24"/>
        <v>0.11460556084548629</v>
      </c>
      <c r="X99" s="13">
        <f t="shared" si="24"/>
        <v>0.10341142723455571</v>
      </c>
      <c r="Y99" s="13">
        <f t="shared" si="24"/>
        <v>9.2268265426293392E-2</v>
      </c>
      <c r="Z99" s="13">
        <f t="shared" si="24"/>
        <v>7.8007002335817158E-2</v>
      </c>
      <c r="AA99" s="13">
        <f t="shared" si="24"/>
        <v>7.166982446296534E-2</v>
      </c>
      <c r="AB99" s="13">
        <f t="shared" si="24"/>
        <v>7.0682731190156819E-2</v>
      </c>
      <c r="AC99" s="13">
        <f t="shared" si="24"/>
        <v>6.9337815877863029E-2</v>
      </c>
      <c r="AD99" s="13">
        <f t="shared" si="24"/>
        <v>7.0448347037798079E-2</v>
      </c>
      <c r="AE99" s="13">
        <f t="shared" si="24"/>
        <v>6.537500002293993E-2</v>
      </c>
      <c r="AF99" s="13">
        <f t="shared" si="24"/>
        <v>6.7542785274930781E-2</v>
      </c>
      <c r="AG99" s="13">
        <f t="shared" si="24"/>
        <v>6.9518508733073497E-2</v>
      </c>
      <c r="AH99" s="13">
        <f t="shared" si="24"/>
        <v>7.2273987595894221E-2</v>
      </c>
      <c r="AI99" s="13">
        <f t="shared" si="24"/>
        <v>8.1504448979711389E-2</v>
      </c>
      <c r="AJ99" s="13">
        <f t="shared" si="24"/>
        <v>7.9896071827011333E-2</v>
      </c>
      <c r="AK99" s="13">
        <f t="shared" si="24"/>
        <v>8.4131078404080295E-2</v>
      </c>
    </row>
    <row r="100" spans="2:37" ht="15" customHeight="1" x14ac:dyDescent="0.25">
      <c r="B100" s="15" t="s">
        <v>43</v>
      </c>
      <c r="C100" s="105">
        <f>(E100-F100)</f>
        <v>-8.9380556932573407E-3</v>
      </c>
      <c r="D100" s="106">
        <f>(E100-I100)</f>
        <v>-4.2221009290258849E-2</v>
      </c>
      <c r="E100" s="13">
        <f t="shared" ref="E100:Q100" si="25">E71/E50</f>
        <v>0.78808046089971306</v>
      </c>
      <c r="F100" s="13">
        <f t="shared" si="25"/>
        <v>0.79701851659297041</v>
      </c>
      <c r="G100" s="13">
        <f t="shared" si="25"/>
        <v>0.81362366452651647</v>
      </c>
      <c r="H100" s="13">
        <f t="shared" si="25"/>
        <v>0.82414738993517511</v>
      </c>
      <c r="I100" s="13">
        <f t="shared" si="25"/>
        <v>0.83030147018997191</v>
      </c>
      <c r="J100" s="13">
        <f t="shared" si="25"/>
        <v>0.8352054756065268</v>
      </c>
      <c r="K100" s="13">
        <f t="shared" si="25"/>
        <v>0.84460412247975292</v>
      </c>
      <c r="L100" s="13">
        <f t="shared" si="25"/>
        <v>0.84672933782347337</v>
      </c>
      <c r="M100" s="13">
        <f t="shared" si="25"/>
        <v>0.85550463181135283</v>
      </c>
      <c r="N100" s="13">
        <f t="shared" si="25"/>
        <v>0.84991478004923049</v>
      </c>
      <c r="O100" s="13">
        <f t="shared" si="25"/>
        <v>0.85168964501782174</v>
      </c>
      <c r="P100" s="13">
        <f t="shared" si="25"/>
        <v>0.85206998992846905</v>
      </c>
      <c r="Q100" s="13">
        <f t="shared" si="25"/>
        <v>0.84936931559901352</v>
      </c>
      <c r="R100" s="13">
        <f t="shared" ref="R100:AK100" si="26">R71/R50</f>
        <v>0.83897470469693636</v>
      </c>
      <c r="S100" s="13">
        <f t="shared" si="26"/>
        <v>0.84391327263668459</v>
      </c>
      <c r="T100" s="13">
        <f t="shared" si="26"/>
        <v>0.85812396483558206</v>
      </c>
      <c r="U100" s="13">
        <f t="shared" si="26"/>
        <v>0.86355710809866892</v>
      </c>
      <c r="V100" s="13">
        <f t="shared" si="26"/>
        <v>0.8771153089754119</v>
      </c>
      <c r="W100" s="13">
        <f t="shared" si="26"/>
        <v>0.88539443915451344</v>
      </c>
      <c r="X100" s="13">
        <f t="shared" si="26"/>
        <v>0.89658857276544435</v>
      </c>
      <c r="Y100" s="13">
        <f t="shared" si="26"/>
        <v>0.90773173457370648</v>
      </c>
      <c r="Z100" s="13">
        <f t="shared" si="26"/>
        <v>0.92199299766418286</v>
      </c>
      <c r="AA100" s="13">
        <f t="shared" si="26"/>
        <v>0.92833017553703467</v>
      </c>
      <c r="AB100" s="13">
        <f t="shared" si="26"/>
        <v>0.92931726880984322</v>
      </c>
      <c r="AC100" s="13">
        <f t="shared" si="26"/>
        <v>0.93066218412213686</v>
      </c>
      <c r="AD100" s="13">
        <f t="shared" si="26"/>
        <v>0.92955165296220188</v>
      </c>
      <c r="AE100" s="13">
        <f t="shared" si="26"/>
        <v>0.93462499997706017</v>
      </c>
      <c r="AF100" s="13">
        <f t="shared" si="26"/>
        <v>0.93245721472506915</v>
      </c>
      <c r="AG100" s="13">
        <f t="shared" si="26"/>
        <v>0.93048149126692647</v>
      </c>
      <c r="AH100" s="13">
        <f t="shared" si="26"/>
        <v>0.92772601240410568</v>
      </c>
      <c r="AI100" s="13">
        <f t="shared" si="26"/>
        <v>0.91849555102028868</v>
      </c>
      <c r="AJ100" s="13">
        <f t="shared" si="26"/>
        <v>0.92010392817298881</v>
      </c>
      <c r="AK100" s="13">
        <f t="shared" si="26"/>
        <v>0.9158689215959197</v>
      </c>
    </row>
    <row r="101" spans="2:37" ht="15" customHeight="1" x14ac:dyDescent="0.25">
      <c r="B101" s="5"/>
      <c r="C101" s="105"/>
      <c r="D101" s="106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2:37" ht="15" customHeight="1" x14ac:dyDescent="0.25">
      <c r="B102" s="5" t="s">
        <v>51</v>
      </c>
      <c r="C102" s="105">
        <f>(E102-F102)</f>
        <v>-1.7370432634962713E-2</v>
      </c>
      <c r="D102" s="106">
        <f>(E102-I102)</f>
        <v>-1.3640074660023205E-3</v>
      </c>
      <c r="E102" s="13">
        <f t="shared" ref="E102:R102" si="27">-E20/E50</f>
        <v>0.11040922311124482</v>
      </c>
      <c r="F102" s="13">
        <f t="shared" si="27"/>
        <v>0.12777965574620753</v>
      </c>
      <c r="G102" s="13">
        <f t="shared" si="27"/>
        <v>0.12399172238795887</v>
      </c>
      <c r="H102" s="13">
        <f t="shared" si="27"/>
        <v>0.1209208477120786</v>
      </c>
      <c r="I102" s="13">
        <f t="shared" si="27"/>
        <v>0.11177323057724714</v>
      </c>
      <c r="J102" s="13">
        <f t="shared" si="27"/>
        <v>0.11858259743746506</v>
      </c>
      <c r="K102" s="13">
        <f t="shared" si="27"/>
        <v>0.11049279052894853</v>
      </c>
      <c r="L102" s="13">
        <f t="shared" si="27"/>
        <v>0.10272133448662485</v>
      </c>
      <c r="M102" s="13">
        <f t="shared" si="27"/>
        <v>9.443084969410119E-2</v>
      </c>
      <c r="N102" s="13">
        <f t="shared" si="27"/>
        <v>8.9741633007900959E-2</v>
      </c>
      <c r="O102" s="13">
        <f t="shared" si="27"/>
        <v>8.5154389123350077E-2</v>
      </c>
      <c r="P102" s="13">
        <f t="shared" si="27"/>
        <v>8.3014640754935407E-2</v>
      </c>
      <c r="Q102" s="13">
        <f t="shared" si="27"/>
        <v>8.2634485728632676E-2</v>
      </c>
      <c r="R102" s="13">
        <f t="shared" si="27"/>
        <v>8.4739873208938818E-2</v>
      </c>
      <c r="S102" s="13">
        <f t="shared" ref="S102:AK102" si="28">-S20/S50</f>
        <v>8.5658938284853783E-2</v>
      </c>
      <c r="T102" s="13">
        <f t="shared" si="28"/>
        <v>9.0595821042677757E-2</v>
      </c>
      <c r="U102" s="13">
        <f t="shared" si="28"/>
        <v>9.3732846457263014E-2</v>
      </c>
      <c r="V102" s="13">
        <f t="shared" si="28"/>
        <v>9.3303307021481346E-2</v>
      </c>
      <c r="W102" s="13">
        <f t="shared" si="28"/>
        <v>9.4548532722613529E-2</v>
      </c>
      <c r="X102" s="13">
        <f t="shared" si="28"/>
        <v>9.8078982061550163E-2</v>
      </c>
      <c r="Y102" s="13">
        <f t="shared" si="28"/>
        <v>9.7866836587763351E-2</v>
      </c>
      <c r="Z102" s="13">
        <f t="shared" si="28"/>
        <v>9.6710903715142418E-2</v>
      </c>
      <c r="AA102" s="13">
        <f t="shared" si="28"/>
        <v>9.146029336631685E-2</v>
      </c>
      <c r="AB102" s="13">
        <f t="shared" si="28"/>
        <v>9.9581468479876437E-2</v>
      </c>
      <c r="AC102" s="13">
        <f t="shared" si="28"/>
        <v>9.2322578022193139E-2</v>
      </c>
      <c r="AD102" s="13">
        <f t="shared" si="28"/>
        <v>9.0902085204694366E-2</v>
      </c>
      <c r="AE102" s="13">
        <f t="shared" si="28"/>
        <v>8.9987815224518652E-2</v>
      </c>
      <c r="AF102" s="13">
        <f t="shared" si="28"/>
        <v>9.4838055892337611E-2</v>
      </c>
      <c r="AG102" s="13">
        <f t="shared" si="28"/>
        <v>9.6096566677864287E-2</v>
      </c>
      <c r="AH102" s="13">
        <f t="shared" si="28"/>
        <v>0.10300115054445809</v>
      </c>
      <c r="AI102" s="13">
        <f t="shared" si="28"/>
        <v>0.11050714350251307</v>
      </c>
      <c r="AJ102" s="13">
        <f t="shared" si="28"/>
        <v>0.10367109534669253</v>
      </c>
      <c r="AK102" s="13">
        <f t="shared" si="28"/>
        <v>9.137744152286692E-2</v>
      </c>
    </row>
    <row r="103" spans="2:37" ht="15" customHeight="1" x14ac:dyDescent="0.25">
      <c r="B103" s="5"/>
      <c r="C103" s="105"/>
      <c r="D103" s="106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2:37" x14ac:dyDescent="0.25">
      <c r="B104" s="5" t="s">
        <v>44</v>
      </c>
      <c r="C104" s="105">
        <f>(E104-F104)</f>
        <v>4.1501260041812982E-3</v>
      </c>
      <c r="D104" s="106">
        <f>(E104-I104)</f>
        <v>-8.2634306151936482E-3</v>
      </c>
      <c r="E104" s="13">
        <f>E61/E50</f>
        <v>8.3491582837271497E-2</v>
      </c>
      <c r="F104" s="13">
        <f>F61/F50</f>
        <v>7.9341456833090199E-2</v>
      </c>
      <c r="G104" s="13">
        <f t="shared" ref="G104:L104" si="29">G61/G50</f>
        <v>7.5636951199147609E-2</v>
      </c>
      <c r="H104" s="13">
        <f t="shared" si="29"/>
        <v>8.5566475430876199E-2</v>
      </c>
      <c r="I104" s="13">
        <f t="shared" si="29"/>
        <v>9.1755013452465145E-2</v>
      </c>
      <c r="J104" s="13">
        <f t="shared" si="29"/>
        <v>9.2005935733012731E-2</v>
      </c>
      <c r="K104" s="13">
        <f t="shared" si="29"/>
        <v>8.7713163644463979E-2</v>
      </c>
      <c r="L104" s="13">
        <f t="shared" si="29"/>
        <v>7.0209015337358877E-2</v>
      </c>
      <c r="M104" s="13">
        <f>M61/M50</f>
        <v>6.5874263242884826E-2</v>
      </c>
      <c r="N104" s="13">
        <f>N61/N50</f>
        <v>6.4864574475660811E-2</v>
      </c>
      <c r="O104" s="13">
        <f>O61/O50</f>
        <v>5.2935661337490482E-2</v>
      </c>
      <c r="P104" s="13">
        <f>P61/P50</f>
        <v>7.0592715610390017E-2</v>
      </c>
      <c r="Q104" s="13">
        <f>Q61/Q50</f>
        <v>5.4071270742024315E-2</v>
      </c>
      <c r="R104" s="13">
        <f t="shared" ref="R104:AK104" si="30">R61/R50</f>
        <v>4.9343061699626142E-2</v>
      </c>
      <c r="S104" s="13">
        <f t="shared" si="30"/>
        <v>4.4552359731700124E-2</v>
      </c>
      <c r="T104" s="13">
        <f t="shared" si="30"/>
        <v>5.7160253698905095E-2</v>
      </c>
      <c r="U104" s="13">
        <f t="shared" si="30"/>
        <v>5.6925889138457066E-2</v>
      </c>
      <c r="V104" s="13">
        <f t="shared" si="30"/>
        <v>5.9986021449719568E-2</v>
      </c>
      <c r="W104" s="13">
        <f t="shared" si="30"/>
        <v>8.7432550008532103E-2</v>
      </c>
      <c r="X104" s="13">
        <f t="shared" si="30"/>
        <v>8.483889327509081E-2</v>
      </c>
      <c r="Y104" s="13">
        <f t="shared" si="30"/>
        <v>8.4042659836243816E-2</v>
      </c>
      <c r="Z104" s="13">
        <f t="shared" si="30"/>
        <v>7.9072178413760824E-2</v>
      </c>
      <c r="AA104" s="13">
        <f t="shared" si="30"/>
        <v>7.9055921000201063E-2</v>
      </c>
      <c r="AB104" s="13">
        <f t="shared" si="30"/>
        <v>8.3515274774501991E-2</v>
      </c>
      <c r="AC104" s="13">
        <f t="shared" si="30"/>
        <v>6.6159006532212059E-2</v>
      </c>
      <c r="AD104" s="13">
        <f t="shared" si="30"/>
        <v>6.818781442106471E-2</v>
      </c>
      <c r="AE104" s="13">
        <f t="shared" si="30"/>
        <v>6.1909881661137534E-2</v>
      </c>
      <c r="AF104" s="13">
        <f t="shared" si="30"/>
        <v>6.2525600209159801E-2</v>
      </c>
      <c r="AG104" s="13">
        <f t="shared" si="30"/>
        <v>5.8801850527950013E-2</v>
      </c>
      <c r="AH104" s="13">
        <f t="shared" si="30"/>
        <v>5.9256317149064958E-2</v>
      </c>
      <c r="AI104" s="13">
        <f t="shared" si="30"/>
        <v>6.8696486073406282E-2</v>
      </c>
      <c r="AJ104" s="13">
        <f t="shared" si="30"/>
        <v>6.3399461821150999E-2</v>
      </c>
      <c r="AK104" s="13">
        <f t="shared" si="30"/>
        <v>7.1355632006864705E-2</v>
      </c>
    </row>
    <row r="105" spans="2:37" x14ac:dyDescent="0.25">
      <c r="B105" s="5" t="s">
        <v>55</v>
      </c>
      <c r="C105" s="105">
        <f>(E105-F105)</f>
        <v>-1.7554953779336871E-2</v>
      </c>
      <c r="D105" s="106">
        <f>(E105-I105)</f>
        <v>-1.1892192645359123E-3</v>
      </c>
      <c r="E105" s="13">
        <f t="shared" ref="E105:R105" si="31">(E70+SUM(E82:E88))/E50</f>
        <v>5.9145497351737922E-2</v>
      </c>
      <c r="F105" s="13">
        <f t="shared" si="31"/>
        <v>7.6700451131074793E-2</v>
      </c>
      <c r="G105" s="13">
        <f t="shared" si="31"/>
        <v>7.8338835275735541E-2</v>
      </c>
      <c r="H105" s="13">
        <f t="shared" si="31"/>
        <v>7.0856787848250752E-2</v>
      </c>
      <c r="I105" s="13">
        <f t="shared" si="31"/>
        <v>6.0334716616273834E-2</v>
      </c>
      <c r="J105" s="13">
        <f t="shared" si="31"/>
        <v>7.1615844833972986E-2</v>
      </c>
      <c r="K105" s="13">
        <f t="shared" si="31"/>
        <v>6.4848222791978355E-2</v>
      </c>
      <c r="L105" s="13">
        <f t="shared" si="31"/>
        <v>6.4136813407131135E-2</v>
      </c>
      <c r="M105" s="13">
        <f t="shared" si="31"/>
        <v>5.8564356607181685E-2</v>
      </c>
      <c r="N105" s="13">
        <f t="shared" si="31"/>
        <v>4.8503230315424271E-2</v>
      </c>
      <c r="O105" s="13">
        <f t="shared" si="31"/>
        <v>4.5825680011098796E-2</v>
      </c>
      <c r="P105" s="13">
        <f t="shared" si="31"/>
        <v>4.1035120387591578E-2</v>
      </c>
      <c r="Q105" s="13">
        <f t="shared" si="31"/>
        <v>4.5503836744980118E-2</v>
      </c>
      <c r="R105" s="13">
        <f t="shared" si="31"/>
        <v>4.6564865041319174E-2</v>
      </c>
      <c r="S105" s="13">
        <f t="shared" ref="S105:AK105" si="32">(S70+S89)/S50</f>
        <v>5.4938272172405114E-2</v>
      </c>
      <c r="T105" s="13">
        <f t="shared" si="32"/>
        <v>6.4035736415938072E-2</v>
      </c>
      <c r="U105" s="13">
        <f t="shared" si="32"/>
        <v>7.1671605798470317E-2</v>
      </c>
      <c r="V105" s="13">
        <f t="shared" si="32"/>
        <v>6.3994858330856885E-2</v>
      </c>
      <c r="W105" s="13">
        <f t="shared" si="32"/>
        <v>4.9442612702703365E-2</v>
      </c>
      <c r="X105" s="13">
        <f t="shared" si="32"/>
        <v>5.3895072768865029E-2</v>
      </c>
      <c r="Y105" s="13">
        <f t="shared" si="32"/>
        <v>5.1589253538625188E-2</v>
      </c>
      <c r="Z105" s="13">
        <f t="shared" si="32"/>
        <v>5.1999042208316984E-2</v>
      </c>
      <c r="AA105" s="13">
        <f t="shared" si="32"/>
        <v>5.3208002398452858E-2</v>
      </c>
      <c r="AB105" s="13">
        <f t="shared" si="32"/>
        <v>5.9727611478723137E-2</v>
      </c>
      <c r="AC105" s="13">
        <f t="shared" si="32"/>
        <v>5.7090174460277247E-2</v>
      </c>
      <c r="AD105" s="13">
        <f t="shared" si="32"/>
        <v>4.5609282969995363E-2</v>
      </c>
      <c r="AE105" s="13">
        <f t="shared" si="32"/>
        <v>4.6163107887611937E-2</v>
      </c>
      <c r="AF105" s="13">
        <f t="shared" si="32"/>
        <v>5.1961063917336903E-2</v>
      </c>
      <c r="AG105" s="13">
        <f t="shared" si="32"/>
        <v>5.0798811027391796E-2</v>
      </c>
      <c r="AH105" s="13">
        <f t="shared" si="32"/>
        <v>5.8235938504165162E-2</v>
      </c>
      <c r="AI105" s="13">
        <f t="shared" si="32"/>
        <v>7.1365942181860625E-2</v>
      </c>
      <c r="AJ105" s="13">
        <f t="shared" si="32"/>
        <v>8.5656695617988429E-2</v>
      </c>
      <c r="AK105" s="13">
        <f t="shared" si="32"/>
        <v>7.3576856942650648E-2</v>
      </c>
    </row>
    <row r="106" spans="2:37" x14ac:dyDescent="0.25">
      <c r="B106" s="14" t="s">
        <v>49</v>
      </c>
      <c r="C106" s="105"/>
      <c r="D106" s="106"/>
      <c r="E106" s="50">
        <f>E70/E71</f>
        <v>6.2279754843313835E-2</v>
      </c>
      <c r="F106" s="50">
        <f>F70/F71</f>
        <v>8.560984428296424E-2</v>
      </c>
      <c r="G106" s="50">
        <f>G70/G71</f>
        <v>8.5721443972090472E-2</v>
      </c>
      <c r="H106" s="50">
        <f t="shared" ref="H106:M106" si="33">H70/H71</f>
        <v>7.5212058748769239E-2</v>
      </c>
      <c r="I106" s="50">
        <f t="shared" si="33"/>
        <v>6.0380285992468037E-2</v>
      </c>
      <c r="J106" s="50">
        <f t="shared" si="33"/>
        <v>7.5185942943601869E-2</v>
      </c>
      <c r="K106" s="50">
        <f t="shared" si="33"/>
        <v>6.7092967959665503E-2</v>
      </c>
      <c r="L106" s="50">
        <f t="shared" si="33"/>
        <v>6.6095555458348679E-2</v>
      </c>
      <c r="M106" s="50">
        <f t="shared" si="33"/>
        <v>5.9540881672752129E-2</v>
      </c>
      <c r="N106" s="50">
        <f>N70/N71</f>
        <v>4.8553751498841898E-2</v>
      </c>
      <c r="O106" s="50">
        <f>O70/O71</f>
        <v>4.587661700106422E-2</v>
      </c>
      <c r="P106" s="50">
        <f t="shared" ref="P106:U106" si="34">P70/P71</f>
        <v>4.0735682696581663E-2</v>
      </c>
      <c r="Q106" s="50">
        <f t="shared" si="34"/>
        <v>4.6765150517576889E-2</v>
      </c>
      <c r="R106" s="50">
        <f t="shared" si="34"/>
        <v>4.8486001710220085E-2</v>
      </c>
      <c r="S106" s="50">
        <f t="shared" si="34"/>
        <v>5.8669115382158271E-2</v>
      </c>
      <c r="T106" s="50">
        <f t="shared" si="34"/>
        <v>6.8632841346937146E-2</v>
      </c>
      <c r="U106" s="50">
        <f t="shared" si="34"/>
        <v>7.7418749161483461E-2</v>
      </c>
      <c r="V106" s="50">
        <f t="shared" ref="V106:AA106" si="35">V70/V71</f>
        <v>6.8089308457237888E-2</v>
      </c>
      <c r="W106" s="50">
        <f t="shared" si="35"/>
        <v>5.144380240538754E-2</v>
      </c>
      <c r="X106" s="50">
        <f t="shared" si="35"/>
        <v>5.6050384521698103E-2</v>
      </c>
      <c r="Y106" s="50">
        <f t="shared" si="35"/>
        <v>5.3122800381644561E-2</v>
      </c>
      <c r="Z106" s="50">
        <f t="shared" si="35"/>
        <v>5.2129970891716698E-2</v>
      </c>
      <c r="AA106" s="50">
        <f t="shared" si="35"/>
        <v>5.3086802374360295E-2</v>
      </c>
      <c r="AB106" s="50">
        <f t="shared" ref="AB106:AK106" si="36">AB70/AB71</f>
        <v>5.9236130627999282E-2</v>
      </c>
      <c r="AC106" s="50">
        <f t="shared" si="36"/>
        <v>5.6754401142598207E-2</v>
      </c>
      <c r="AD106" s="50">
        <f t="shared" si="36"/>
        <v>4.3584394833571113E-2</v>
      </c>
      <c r="AE106" s="50">
        <f t="shared" si="36"/>
        <v>4.3711251024004048E-2</v>
      </c>
      <c r="AF106" s="50">
        <f t="shared" si="36"/>
        <v>4.9723847834928253E-2</v>
      </c>
      <c r="AG106" s="50">
        <f t="shared" si="36"/>
        <v>4.8044940253498696E-2</v>
      </c>
      <c r="AH106" s="50">
        <f t="shared" si="36"/>
        <v>5.4654519191847065E-2</v>
      </c>
      <c r="AI106" s="50">
        <f t="shared" si="36"/>
        <v>6.8217834476856531E-2</v>
      </c>
      <c r="AJ106" s="50">
        <f t="shared" si="36"/>
        <v>8.388808038662747E-2</v>
      </c>
      <c r="AK106" s="50">
        <f t="shared" si="36"/>
        <v>7.1086120716228884E-2</v>
      </c>
    </row>
    <row r="107" spans="2:37" ht="15" customHeight="1" x14ac:dyDescent="0.25">
      <c r="B107" s="14" t="s">
        <v>68</v>
      </c>
      <c r="C107" s="105"/>
      <c r="D107" s="106"/>
      <c r="E107" s="51">
        <f t="shared" ref="E107:J107" si="37">E89/E90</f>
        <v>4.7489908164321699E-2</v>
      </c>
      <c r="F107" s="51">
        <f t="shared" si="37"/>
        <v>4.1717204410863941E-2</v>
      </c>
      <c r="G107" s="51">
        <f t="shared" si="37"/>
        <v>4.6110145265097192E-2</v>
      </c>
      <c r="H107" s="51">
        <f t="shared" si="37"/>
        <v>5.0445460749950731E-2</v>
      </c>
      <c r="I107" s="51">
        <f t="shared" si="37"/>
        <v>6.0111754637215714E-2</v>
      </c>
      <c r="J107" s="51">
        <f t="shared" si="37"/>
        <v>5.352200645803825E-2</v>
      </c>
      <c r="K107" s="51">
        <f>K89/K90</f>
        <v>5.2647635152206239E-2</v>
      </c>
      <c r="L107" s="51">
        <f>L89/L90</f>
        <v>5.331592742384849E-2</v>
      </c>
      <c r="M107" s="51">
        <f>M89/M90</f>
        <v>5.2782706114518754E-2</v>
      </c>
      <c r="N107" s="51">
        <f>N89/N90</f>
        <v>4.8217134852417902E-2</v>
      </c>
      <c r="O107" s="51">
        <f>O89/O90</f>
        <v>4.5533168359386096E-2</v>
      </c>
      <c r="P107" s="51">
        <f t="shared" ref="P107:U107" si="38">P89/P90</f>
        <v>4.2759867585537688E-2</v>
      </c>
      <c r="Q107" s="51">
        <f t="shared" si="38"/>
        <v>3.8391599155099605E-2</v>
      </c>
      <c r="R107" s="51">
        <f t="shared" si="38"/>
        <v>3.6555350285019085E-2</v>
      </c>
      <c r="S107" s="51">
        <f t="shared" si="38"/>
        <v>3.4766742177362635E-2</v>
      </c>
      <c r="T107" s="51">
        <f t="shared" si="38"/>
        <v>3.6230576047716213E-2</v>
      </c>
      <c r="U107" s="51">
        <f t="shared" si="38"/>
        <v>3.529751233538915E-2</v>
      </c>
      <c r="V107" s="51">
        <f t="shared" ref="V107:AA107" si="39">V89/V90</f>
        <v>3.4769860019500977E-2</v>
      </c>
      <c r="W107" s="51">
        <f t="shared" si="39"/>
        <v>3.3982261377878305E-2</v>
      </c>
      <c r="X107" s="51">
        <f t="shared" si="39"/>
        <v>3.5208280215909493E-2</v>
      </c>
      <c r="Y107" s="51">
        <f t="shared" si="39"/>
        <v>3.6502277215481729E-2</v>
      </c>
      <c r="Z107" s="51">
        <f t="shared" si="39"/>
        <v>5.0451548705512612E-2</v>
      </c>
      <c r="AA107" s="51">
        <f t="shared" si="39"/>
        <v>5.4777890988023582E-2</v>
      </c>
      <c r="AB107" s="51">
        <f t="shared" ref="AB107:AK107" si="40">AB89/AB90</f>
        <v>6.6189467637595395E-2</v>
      </c>
      <c r="AC107" s="51">
        <f t="shared" si="40"/>
        <v>6.1596972449870058E-2</v>
      </c>
      <c r="AD107" s="51">
        <f t="shared" si="40"/>
        <v>7.232727130358714E-2</v>
      </c>
      <c r="AE107" s="51">
        <f t="shared" si="40"/>
        <v>8.1215753704654642E-2</v>
      </c>
      <c r="AF107" s="51">
        <f t="shared" si="40"/>
        <v>8.2846794620467804E-2</v>
      </c>
      <c r="AG107" s="51">
        <f t="shared" si="40"/>
        <v>8.7658430589820382E-2</v>
      </c>
      <c r="AH107" s="51">
        <f t="shared" si="40"/>
        <v>0.10420788453738339</v>
      </c>
      <c r="AI107" s="51">
        <f t="shared" si="40"/>
        <v>0.10684281439406004</v>
      </c>
      <c r="AJ107" s="51">
        <f t="shared" si="40"/>
        <v>0.10602452828597214</v>
      </c>
      <c r="AK107" s="51">
        <f t="shared" si="40"/>
        <v>0.10069154446295427</v>
      </c>
    </row>
    <row r="108" spans="2:37" x14ac:dyDescent="0.25">
      <c r="C108" s="105"/>
      <c r="D108" s="106"/>
    </row>
    <row r="109" spans="2:37" ht="15" customHeight="1" x14ac:dyDescent="0.25">
      <c r="B109" s="5" t="s">
        <v>50</v>
      </c>
      <c r="C109" s="105"/>
      <c r="D109" s="106"/>
      <c r="E109" s="13">
        <f t="shared" ref="E109:R109" si="41">-E20/(E61+E70+E89)</f>
        <v>0.7740569490411664</v>
      </c>
      <c r="F109" s="13">
        <f t="shared" si="41"/>
        <v>0.81888037267239855</v>
      </c>
      <c r="G109" s="13">
        <f t="shared" si="41"/>
        <v>0.80526766725224463</v>
      </c>
      <c r="H109" s="13">
        <f t="shared" si="41"/>
        <v>0.77303621710220538</v>
      </c>
      <c r="I109" s="13">
        <f t="shared" si="41"/>
        <v>0.73491635843347047</v>
      </c>
      <c r="J109" s="13">
        <f t="shared" si="41"/>
        <v>0.72473601635766394</v>
      </c>
      <c r="K109" s="13">
        <f t="shared" si="41"/>
        <v>0.72425135291347309</v>
      </c>
      <c r="L109" s="13">
        <f t="shared" si="41"/>
        <v>0.76460382467094512</v>
      </c>
      <c r="M109" s="13">
        <f t="shared" si="41"/>
        <v>0.75885484593029839</v>
      </c>
      <c r="N109" s="13">
        <f t="shared" si="41"/>
        <v>0.79159716617321307</v>
      </c>
      <c r="O109" s="13">
        <f t="shared" si="41"/>
        <v>0.86222390219253975</v>
      </c>
      <c r="P109" s="13">
        <f t="shared" si="41"/>
        <v>0.74367329629534729</v>
      </c>
      <c r="Q109" s="13">
        <f t="shared" si="41"/>
        <v>0.82987091667882262</v>
      </c>
      <c r="R109" s="13">
        <f t="shared" si="41"/>
        <v>0.88355442650561855</v>
      </c>
      <c r="S109" s="13">
        <f t="shared" ref="S109:AK109" si="42">-S20/(S61+S70+S89)</f>
        <v>0.86097491437602658</v>
      </c>
      <c r="T109" s="13">
        <f t="shared" si="42"/>
        <v>0.74751500405938165</v>
      </c>
      <c r="U109" s="13">
        <f t="shared" si="42"/>
        <v>0.72888547714895802</v>
      </c>
      <c r="V109" s="13">
        <f t="shared" si="42"/>
        <v>0.75256206591380204</v>
      </c>
      <c r="W109" s="13">
        <f t="shared" si="42"/>
        <v>0.69076471472097445</v>
      </c>
      <c r="X109" s="13">
        <f t="shared" si="42"/>
        <v>0.70695724239927848</v>
      </c>
      <c r="Y109" s="13">
        <f t="shared" si="42"/>
        <v>0.72156201407608334</v>
      </c>
      <c r="Z109" s="13">
        <f t="shared" si="42"/>
        <v>0.73785002730685101</v>
      </c>
      <c r="AA109" s="13">
        <f t="shared" si="42"/>
        <v>0.6914984148069484</v>
      </c>
      <c r="AB109" s="13">
        <f t="shared" si="42"/>
        <v>0.69519311628387659</v>
      </c>
      <c r="AC109" s="13">
        <f t="shared" si="42"/>
        <v>0.74907254781530097</v>
      </c>
      <c r="AD109" s="13">
        <f t="shared" si="42"/>
        <v>0.7988084695369011</v>
      </c>
      <c r="AE109" s="13">
        <f t="shared" si="42"/>
        <v>0.83265777693627152</v>
      </c>
      <c r="AF109" s="13">
        <f t="shared" si="42"/>
        <v>0.82837644555308831</v>
      </c>
      <c r="AG109" s="13">
        <f t="shared" si="42"/>
        <v>0.87678819921484907</v>
      </c>
      <c r="AH109" s="13">
        <f t="shared" si="42"/>
        <v>0.87666331684412058</v>
      </c>
      <c r="AI109" s="13">
        <f t="shared" si="42"/>
        <v>0.7889849182188341</v>
      </c>
      <c r="AJ109" s="13">
        <f t="shared" si="42"/>
        <v>0.69551702611830768</v>
      </c>
      <c r="AK109" s="13">
        <f t="shared" si="42"/>
        <v>0.63048280054513239</v>
      </c>
    </row>
    <row r="110" spans="2:37" ht="15" customHeight="1" x14ac:dyDescent="0.25">
      <c r="B110" s="5" t="s">
        <v>52</v>
      </c>
      <c r="C110" s="105"/>
      <c r="D110" s="106"/>
      <c r="E110" s="13">
        <f t="shared" ref="E110:R110" si="43">-E20/(E70+E89)</f>
        <v>1.866739279486346</v>
      </c>
      <c r="F110" s="13">
        <f t="shared" si="43"/>
        <v>1.66595702974214</v>
      </c>
      <c r="G110" s="13">
        <f t="shared" si="43"/>
        <v>1.582761882424409</v>
      </c>
      <c r="H110" s="13">
        <f t="shared" si="43"/>
        <v>1.7065527719242186</v>
      </c>
      <c r="I110" s="13">
        <f t="shared" si="43"/>
        <v>1.8525525078392264</v>
      </c>
      <c r="J110" s="13">
        <f t="shared" si="43"/>
        <v>1.6558151022636833</v>
      </c>
      <c r="K110" s="13">
        <f t="shared" si="43"/>
        <v>1.7038676739590828</v>
      </c>
      <c r="L110" s="13">
        <f t="shared" si="43"/>
        <v>1.6015971020350639</v>
      </c>
      <c r="M110" s="13">
        <f t="shared" si="43"/>
        <v>1.6124287051848398</v>
      </c>
      <c r="N110" s="13">
        <f t="shared" si="43"/>
        <v>1.8502197157652542</v>
      </c>
      <c r="O110" s="13">
        <f t="shared" si="43"/>
        <v>1.8582242337206132</v>
      </c>
      <c r="P110" s="13">
        <f t="shared" si="43"/>
        <v>2.0230144318045626</v>
      </c>
      <c r="Q110" s="13">
        <f t="shared" si="43"/>
        <v>1.8159894118763231</v>
      </c>
      <c r="R110" s="13">
        <f t="shared" si="43"/>
        <v>1.8198243060244066</v>
      </c>
      <c r="S110" s="13">
        <f t="shared" ref="S110:AK110" si="44">-S20/(S70+S89)</f>
        <v>1.5591851526753933</v>
      </c>
      <c r="T110" s="13">
        <f t="shared" si="44"/>
        <v>1.4147697225533751</v>
      </c>
      <c r="U110" s="13">
        <f t="shared" si="44"/>
        <v>1.3078100513169131</v>
      </c>
      <c r="V110" s="13">
        <f t="shared" si="44"/>
        <v>1.4579813043588312</v>
      </c>
      <c r="W110" s="13">
        <f t="shared" si="44"/>
        <v>1.9122883592566278</v>
      </c>
      <c r="X110" s="13">
        <f t="shared" si="44"/>
        <v>1.8198135195432934</v>
      </c>
      <c r="Y110" s="13">
        <f t="shared" si="44"/>
        <v>1.8970392063240429</v>
      </c>
      <c r="Z110" s="13">
        <f t="shared" si="44"/>
        <v>1.8598593283257434</v>
      </c>
      <c r="AA110" s="13">
        <f t="shared" si="44"/>
        <v>1.71891988504677</v>
      </c>
      <c r="AB110" s="13">
        <f t="shared" si="44"/>
        <v>1.6672601835978407</v>
      </c>
      <c r="AC110" s="13">
        <f t="shared" si="44"/>
        <v>1.6171360290102148</v>
      </c>
      <c r="AD110" s="13">
        <f t="shared" si="44"/>
        <v>1.9930610455879221</v>
      </c>
      <c r="AE110" s="13">
        <f t="shared" si="44"/>
        <v>1.9493448197552414</v>
      </c>
      <c r="AF110" s="13">
        <f t="shared" si="44"/>
        <v>1.825175405245979</v>
      </c>
      <c r="AG110" s="13">
        <f t="shared" si="44"/>
        <v>1.8917089737798585</v>
      </c>
      <c r="AH110" s="13">
        <f t="shared" si="44"/>
        <v>1.7686870545941529</v>
      </c>
      <c r="AI110" s="13">
        <f t="shared" si="44"/>
        <v>1.5484577113955784</v>
      </c>
      <c r="AJ110" s="13">
        <f t="shared" si="44"/>
        <v>1.2103093003849306</v>
      </c>
      <c r="AK110" s="13">
        <f t="shared" si="44"/>
        <v>1.2419318427000885</v>
      </c>
    </row>
    <row r="111" spans="2:37" ht="15" customHeight="1" x14ac:dyDescent="0.25">
      <c r="C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2:37" ht="15" customHeight="1" x14ac:dyDescent="0.25">
      <c r="B112" s="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</sheetData>
  <sortState ref="A35:AK48">
    <sortCondition descending="1" ref="E35:E48"/>
  </sortState>
  <customSheetViews>
    <customSheetView guid="{0284F5E2-DB98-486F-B3F7-128FA2A0A465}" showGridLines="0" fitToPage="1">
      <pane ySplit="5" topLeftCell="A6" activePane="bottomLeft" state="frozen"/>
      <selection pane="bottomLeft"/>
      <pageMargins left="0.23622047244094491" right="0.23622047244094491" top="0.74803149606299213" bottom="0.74803149606299213" header="0.31496062992125984" footer="0.31496062992125984"/>
      <pageSetup paperSize="9" scale="15" orientation="portrait" r:id="rId1"/>
    </customSheetView>
    <customSheetView guid="{E4AC4991-F371-4BAF-8335-AD017EF379C0}" showGridLines="0" fitToPage="1">
      <pane ySplit="5" topLeftCell="A6" activePane="bottomLeft" state="frozen"/>
      <selection pane="bottomLeft"/>
      <pageMargins left="0.23622047244094491" right="0.23622047244094491" top="0.74803149606299213" bottom="0.74803149606299213" header="0.31496062992125984" footer="0.31496062992125984"/>
      <pageSetup paperSize="9" scale="15" orientation="portrait" r:id="rId2"/>
    </customSheetView>
  </customSheetViews>
  <mergeCells count="217">
    <mergeCell ref="E25:E26"/>
    <mergeCell ref="E32:E33"/>
    <mergeCell ref="E54:E55"/>
    <mergeCell ref="E77:E78"/>
    <mergeCell ref="E96:E97"/>
    <mergeCell ref="F77:F78"/>
    <mergeCell ref="F96:F97"/>
    <mergeCell ref="H25:H26"/>
    <mergeCell ref="H32:H33"/>
    <mergeCell ref="H54:H55"/>
    <mergeCell ref="H77:H78"/>
    <mergeCell ref="H96:H97"/>
    <mergeCell ref="G25:G26"/>
    <mergeCell ref="G32:G33"/>
    <mergeCell ref="G54:G55"/>
    <mergeCell ref="G77:G78"/>
    <mergeCell ref="G96:G97"/>
    <mergeCell ref="C5:D5"/>
    <mergeCell ref="C96:C97"/>
    <mergeCell ref="D96:D97"/>
    <mergeCell ref="C32:C33"/>
    <mergeCell ref="D32:D33"/>
    <mergeCell ref="C54:C55"/>
    <mergeCell ref="D54:D55"/>
    <mergeCell ref="C77:C78"/>
    <mergeCell ref="D77:D78"/>
    <mergeCell ref="D25:D26"/>
    <mergeCell ref="F7:F8"/>
    <mergeCell ref="F25:F26"/>
    <mergeCell ref="F32:F33"/>
    <mergeCell ref="F54:F55"/>
    <mergeCell ref="AK7:AK8"/>
    <mergeCell ref="AJ7:AJ8"/>
    <mergeCell ref="AI32:AI33"/>
    <mergeCell ref="AI7:AI8"/>
    <mergeCell ref="AK32:AK33"/>
    <mergeCell ref="AJ32:AJ33"/>
    <mergeCell ref="AH32:AH33"/>
    <mergeCell ref="AH7:AH8"/>
    <mergeCell ref="AE7:AE8"/>
    <mergeCell ref="AG7:AG8"/>
    <mergeCell ref="AF32:AF33"/>
    <mergeCell ref="AG32:AG33"/>
    <mergeCell ref="AE32:AE33"/>
    <mergeCell ref="AH25:AH26"/>
    <mergeCell ref="AI25:AI26"/>
    <mergeCell ref="AJ25:AJ26"/>
    <mergeCell ref="AK25:AK26"/>
    <mergeCell ref="AF7:AF8"/>
    <mergeCell ref="V54:V55"/>
    <mergeCell ref="U32:U33"/>
    <mergeCell ref="U54:U55"/>
    <mergeCell ref="B7:B8"/>
    <mergeCell ref="Z7:Z8"/>
    <mergeCell ref="AA7:AA8"/>
    <mergeCell ref="AB7:AB8"/>
    <mergeCell ref="Y7:Y8"/>
    <mergeCell ref="C7:C8"/>
    <mergeCell ref="D7:D8"/>
    <mergeCell ref="X7:X8"/>
    <mergeCell ref="W7:W8"/>
    <mergeCell ref="P7:P8"/>
    <mergeCell ref="I7:I8"/>
    <mergeCell ref="J7:J8"/>
    <mergeCell ref="S7:S8"/>
    <mergeCell ref="T7:T8"/>
    <mergeCell ref="V7:V8"/>
    <mergeCell ref="U7:U8"/>
    <mergeCell ref="H7:H8"/>
    <mergeCell ref="E7:E8"/>
    <mergeCell ref="B25:B26"/>
    <mergeCell ref="C25:C26"/>
    <mergeCell ref="G7:G8"/>
    <mergeCell ref="W25:W26"/>
    <mergeCell ref="X25:X26"/>
    <mergeCell ref="AA32:AA33"/>
    <mergeCell ref="AC32:AC33"/>
    <mergeCell ref="AB32:AB33"/>
    <mergeCell ref="Y32:Y33"/>
    <mergeCell ref="W32:W33"/>
    <mergeCell ref="I25:I26"/>
    <mergeCell ref="I32:I33"/>
    <mergeCell ref="X32:X33"/>
    <mergeCell ref="Y25:Y26"/>
    <mergeCell ref="Z25:Z26"/>
    <mergeCell ref="AA25:AA26"/>
    <mergeCell ref="AB25:AB26"/>
    <mergeCell ref="J25:J26"/>
    <mergeCell ref="J32:J33"/>
    <mergeCell ref="AC25:AC26"/>
    <mergeCell ref="S25:S26"/>
    <mergeCell ref="V25:V26"/>
    <mergeCell ref="U25:U26"/>
    <mergeCell ref="P25:P26"/>
    <mergeCell ref="T25:T26"/>
    <mergeCell ref="T77:T78"/>
    <mergeCell ref="T96:T97"/>
    <mergeCell ref="B32:B33"/>
    <mergeCell ref="Z32:Z33"/>
    <mergeCell ref="B96:B97"/>
    <mergeCell ref="T32:T33"/>
    <mergeCell ref="B54:B55"/>
    <mergeCell ref="B77:B78"/>
    <mergeCell ref="S32:S33"/>
    <mergeCell ref="S54:S55"/>
    <mergeCell ref="S77:S78"/>
    <mergeCell ref="S96:S97"/>
    <mergeCell ref="V32:V33"/>
    <mergeCell ref="L32:L33"/>
    <mergeCell ref="P32:P33"/>
    <mergeCell ref="P54:P55"/>
    <mergeCell ref="P77:P78"/>
    <mergeCell ref="P96:P97"/>
    <mergeCell ref="K54:K55"/>
    <mergeCell ref="K77:K78"/>
    <mergeCell ref="K96:K97"/>
    <mergeCell ref="L54:L55"/>
    <mergeCell ref="L77:L78"/>
    <mergeCell ref="L96:L97"/>
    <mergeCell ref="V77:V78"/>
    <mergeCell ref="W96:W97"/>
    <mergeCell ref="X96:X97"/>
    <mergeCell ref="Y54:Y55"/>
    <mergeCell ref="Y77:Y78"/>
    <mergeCell ref="Y96:Y97"/>
    <mergeCell ref="AH96:AH97"/>
    <mergeCell ref="AG77:AG78"/>
    <mergeCell ref="AG54:AG55"/>
    <mergeCell ref="W77:W78"/>
    <mergeCell ref="AG96:AG97"/>
    <mergeCell ref="AH54:AH55"/>
    <mergeCell ref="W54:W55"/>
    <mergeCell ref="AB54:AB55"/>
    <mergeCell ref="AA54:AA55"/>
    <mergeCell ref="AA77:AA78"/>
    <mergeCell ref="AB77:AB78"/>
    <mergeCell ref="AC54:AC55"/>
    <mergeCell ref="Z54:Z55"/>
    <mergeCell ref="Z77:Z78"/>
    <mergeCell ref="AE77:AE78"/>
    <mergeCell ref="AF54:AF55"/>
    <mergeCell ref="AE54:AE55"/>
    <mergeCell ref="AF77:AF78"/>
    <mergeCell ref="AI96:AI97"/>
    <mergeCell ref="AK54:AK55"/>
    <mergeCell ref="AK77:AK78"/>
    <mergeCell ref="AJ96:AJ97"/>
    <mergeCell ref="AJ77:AJ78"/>
    <mergeCell ref="AK96:AK97"/>
    <mergeCell ref="AJ54:AJ55"/>
    <mergeCell ref="AI54:AI55"/>
    <mergeCell ref="AI77:AI78"/>
    <mergeCell ref="AC7:AC8"/>
    <mergeCell ref="AD25:AD26"/>
    <mergeCell ref="AE25:AE26"/>
    <mergeCell ref="AF25:AF26"/>
    <mergeCell ref="AD32:AD33"/>
    <mergeCell ref="T54:T55"/>
    <mergeCell ref="AD7:AD8"/>
    <mergeCell ref="V96:V97"/>
    <mergeCell ref="AH77:AH78"/>
    <mergeCell ref="AD54:AD55"/>
    <mergeCell ref="AD77:AD78"/>
    <mergeCell ref="AG25:AG26"/>
    <mergeCell ref="U77:U78"/>
    <mergeCell ref="U96:U97"/>
    <mergeCell ref="X54:X55"/>
    <mergeCell ref="X77:X78"/>
    <mergeCell ref="AD96:AD97"/>
    <mergeCell ref="AE96:AE97"/>
    <mergeCell ref="AF96:AF97"/>
    <mergeCell ref="AC96:AC97"/>
    <mergeCell ref="AC77:AC78"/>
    <mergeCell ref="Z96:Z97"/>
    <mergeCell ref="AB96:AB97"/>
    <mergeCell ref="AA96:AA97"/>
    <mergeCell ref="O7:O8"/>
    <mergeCell ref="O25:O26"/>
    <mergeCell ref="O32:O33"/>
    <mergeCell ref="O54:O55"/>
    <mergeCell ref="O77:O78"/>
    <mergeCell ref="O96:O97"/>
    <mergeCell ref="R7:R8"/>
    <mergeCell ref="R25:R26"/>
    <mergeCell ref="R32:R33"/>
    <mergeCell ref="R54:R55"/>
    <mergeCell ref="R77:R78"/>
    <mergeCell ref="R96:R97"/>
    <mergeCell ref="Q7:Q8"/>
    <mergeCell ref="Q25:Q26"/>
    <mergeCell ref="Q32:Q33"/>
    <mergeCell ref="Q54:Q55"/>
    <mergeCell ref="Q77:Q78"/>
    <mergeCell ref="Q96:Q97"/>
    <mergeCell ref="I54:I55"/>
    <mergeCell ref="I77:I78"/>
    <mergeCell ref="I96:I97"/>
    <mergeCell ref="N7:N8"/>
    <mergeCell ref="N25:N26"/>
    <mergeCell ref="N32:N33"/>
    <mergeCell ref="N54:N55"/>
    <mergeCell ref="N77:N78"/>
    <mergeCell ref="N96:N97"/>
    <mergeCell ref="M7:M8"/>
    <mergeCell ref="M25:M26"/>
    <mergeCell ref="M32:M33"/>
    <mergeCell ref="M54:M55"/>
    <mergeCell ref="M77:M78"/>
    <mergeCell ref="M96:M97"/>
    <mergeCell ref="J54:J55"/>
    <mergeCell ref="J77:J78"/>
    <mergeCell ref="J96:J97"/>
    <mergeCell ref="L7:L8"/>
    <mergeCell ref="L25:L26"/>
    <mergeCell ref="K7:K8"/>
    <mergeCell ref="K32:K33"/>
    <mergeCell ref="K25:K26"/>
  </mergeCells>
  <phoneticPr fontId="14" type="noConversion"/>
  <hyperlinks>
    <hyperlink ref="C5" location="Contents!A1" display="Contents!A1"/>
    <hyperlink ref="E5" location="'Key Financials'!A1" display="Key financial and operational results"/>
    <hyperlink ref="F5" location="'Assets and Liabili-s structure'!A1" display="Assets and Liabilities structure"/>
    <hyperlink ref="H5" location="'Customer Deposits'!A1" display="Customer deposits"/>
    <hyperlink ref="I5" location="Capital!A1" display="Capital"/>
    <hyperlink ref="J5" location="'Income and Expenses structure'!A1" display="Income and Expenses structure"/>
  </hyperlinks>
  <pageMargins left="0.23622047244094491" right="0.23622047244094491" top="0.74803149606299213" bottom="0.74803149606299213" header="0.31496062992125984" footer="0.31496062992125984"/>
  <pageSetup paperSize="9" scale="15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EW60"/>
  <sheetViews>
    <sheetView showGridLines="0" zoomScale="85" zoomScaleNormal="85" workbookViewId="0">
      <pane ySplit="5" topLeftCell="A6" activePane="bottomLeft" state="frozen"/>
      <selection activeCell="A5" sqref="A5:XFD5"/>
      <selection pane="bottomLeft"/>
    </sheetView>
  </sheetViews>
  <sheetFormatPr defaultColWidth="9.140625" defaultRowHeight="15" x14ac:dyDescent="0.25"/>
  <cols>
    <col min="1" max="1" width="5.7109375" style="1" customWidth="1"/>
    <col min="2" max="2" width="34.28515625" style="1" customWidth="1"/>
    <col min="3" max="5" width="8.7109375" style="1" customWidth="1"/>
    <col min="6" max="22" width="16.7109375" style="1" customWidth="1"/>
    <col min="23" max="23" width="15.7109375" style="1" customWidth="1"/>
    <col min="24" max="40" width="16.7109375" style="1" customWidth="1"/>
    <col min="41" max="42" width="16.5703125" style="1" customWidth="1"/>
    <col min="43" max="16384" width="9.140625" style="1"/>
  </cols>
  <sheetData>
    <row r="1" spans="1:153" ht="22.5" customHeight="1" x14ac:dyDescent="0.25">
      <c r="A1" s="307">
        <v>1</v>
      </c>
      <c r="B1" s="358">
        <v>2</v>
      </c>
      <c r="C1" s="359">
        <v>3</v>
      </c>
      <c r="D1" s="358">
        <v>4</v>
      </c>
      <c r="E1" s="359">
        <v>5</v>
      </c>
      <c r="F1" s="358">
        <v>6</v>
      </c>
      <c r="G1" s="359">
        <v>7</v>
      </c>
      <c r="H1" s="358">
        <v>8</v>
      </c>
      <c r="I1" s="359">
        <v>9</v>
      </c>
      <c r="J1" s="358">
        <v>10</v>
      </c>
      <c r="K1" s="359">
        <v>11</v>
      </c>
      <c r="L1" s="358">
        <v>12</v>
      </c>
      <c r="M1" s="359">
        <v>13</v>
      </c>
      <c r="N1" s="358">
        <v>14</v>
      </c>
      <c r="O1" s="359">
        <v>15</v>
      </c>
      <c r="P1" s="358">
        <v>16</v>
      </c>
      <c r="Q1" s="359">
        <v>17</v>
      </c>
      <c r="R1" s="358">
        <v>18</v>
      </c>
      <c r="S1" s="359">
        <v>19</v>
      </c>
      <c r="T1" s="358">
        <v>20</v>
      </c>
      <c r="U1" s="359">
        <v>21</v>
      </c>
      <c r="V1" s="358">
        <v>22</v>
      </c>
      <c r="W1" s="359">
        <v>23</v>
      </c>
      <c r="X1" s="358">
        <v>24</v>
      </c>
      <c r="Y1" s="359">
        <v>25</v>
      </c>
      <c r="Z1" s="358">
        <v>26</v>
      </c>
      <c r="AA1" s="359">
        <v>27</v>
      </c>
      <c r="AB1" s="358">
        <v>28</v>
      </c>
      <c r="AC1" s="359">
        <v>29</v>
      </c>
      <c r="AD1" s="358">
        <v>30</v>
      </c>
      <c r="AE1" s="359">
        <v>31</v>
      </c>
      <c r="AF1" s="358">
        <v>32</v>
      </c>
      <c r="AG1" s="359">
        <v>33</v>
      </c>
      <c r="AH1" s="358">
        <v>34</v>
      </c>
      <c r="AI1" s="359">
        <v>35</v>
      </c>
      <c r="AJ1" s="358">
        <v>36</v>
      </c>
      <c r="AK1" s="359">
        <v>37</v>
      </c>
      <c r="AL1" s="358">
        <v>38</v>
      </c>
      <c r="AM1" s="359">
        <v>39</v>
      </c>
      <c r="AN1" s="358">
        <v>40</v>
      </c>
      <c r="AO1" s="359">
        <v>41</v>
      </c>
      <c r="AP1" s="358">
        <v>42</v>
      </c>
      <c r="AQ1" s="359">
        <v>43</v>
      </c>
      <c r="AR1" s="358">
        <v>44</v>
      </c>
      <c r="AS1" s="359">
        <v>45</v>
      </c>
      <c r="AT1" s="358">
        <v>46</v>
      </c>
      <c r="AU1" s="359">
        <v>47</v>
      </c>
      <c r="AV1" s="358">
        <v>48</v>
      </c>
      <c r="AW1" s="359">
        <v>49</v>
      </c>
      <c r="AX1" s="358">
        <v>50</v>
      </c>
      <c r="AY1" s="359">
        <v>51</v>
      </c>
      <c r="AZ1" s="358">
        <v>52</v>
      </c>
      <c r="BA1" s="359">
        <v>53</v>
      </c>
      <c r="BB1" s="358">
        <v>54</v>
      </c>
      <c r="BC1" s="359">
        <v>55</v>
      </c>
      <c r="BD1" s="358">
        <v>56</v>
      </c>
      <c r="BE1" s="359">
        <v>57</v>
      </c>
      <c r="BF1" s="358">
        <v>58</v>
      </c>
      <c r="BG1" s="359">
        <v>59</v>
      </c>
      <c r="BH1" s="358">
        <v>60</v>
      </c>
      <c r="BI1" s="359">
        <v>61</v>
      </c>
      <c r="BJ1" s="358">
        <v>62</v>
      </c>
      <c r="BK1" s="359">
        <v>63</v>
      </c>
      <c r="BL1" s="358">
        <v>64</v>
      </c>
      <c r="BM1" s="359">
        <v>65</v>
      </c>
      <c r="BN1" s="358">
        <v>66</v>
      </c>
      <c r="BO1" s="359">
        <v>67</v>
      </c>
      <c r="BP1" s="358">
        <v>68</v>
      </c>
      <c r="BQ1" s="359">
        <v>69</v>
      </c>
      <c r="BR1" s="358">
        <v>70</v>
      </c>
      <c r="BS1" s="359">
        <v>71</v>
      </c>
      <c r="BT1" s="358">
        <v>72</v>
      </c>
      <c r="BU1" s="359">
        <v>73</v>
      </c>
      <c r="BV1" s="358">
        <v>74</v>
      </c>
      <c r="BW1" s="359">
        <v>75</v>
      </c>
      <c r="BX1" s="358">
        <v>76</v>
      </c>
      <c r="BY1" s="359">
        <v>77</v>
      </c>
      <c r="BZ1" s="358">
        <v>78</v>
      </c>
      <c r="CA1" s="359">
        <v>79</v>
      </c>
      <c r="CB1" s="358">
        <v>80</v>
      </c>
      <c r="CC1" s="359">
        <v>81</v>
      </c>
      <c r="CD1" s="358">
        <v>82</v>
      </c>
      <c r="CE1" s="359">
        <v>83</v>
      </c>
      <c r="CF1" s="358">
        <v>84</v>
      </c>
      <c r="CG1" s="359">
        <v>85</v>
      </c>
      <c r="CH1" s="358">
        <v>86</v>
      </c>
      <c r="CI1" s="359">
        <v>87</v>
      </c>
      <c r="CJ1" s="358">
        <v>88</v>
      </c>
      <c r="CK1" s="359">
        <v>89</v>
      </c>
      <c r="CL1" s="358">
        <v>90</v>
      </c>
      <c r="CM1" s="359">
        <v>91</v>
      </c>
      <c r="CN1" s="358">
        <v>92</v>
      </c>
      <c r="CO1" s="359">
        <v>93</v>
      </c>
      <c r="CP1" s="358">
        <v>94</v>
      </c>
      <c r="CQ1" s="359">
        <v>95</v>
      </c>
      <c r="CR1" s="358">
        <v>96</v>
      </c>
      <c r="CS1" s="359">
        <v>97</v>
      </c>
      <c r="CT1" s="358">
        <v>98</v>
      </c>
      <c r="CU1" s="359">
        <v>99</v>
      </c>
      <c r="CV1" s="358">
        <v>100</v>
      </c>
      <c r="CW1" s="359">
        <v>101</v>
      </c>
      <c r="CX1" s="358">
        <v>102</v>
      </c>
      <c r="CY1" s="359">
        <v>103</v>
      </c>
      <c r="CZ1" s="358">
        <v>104</v>
      </c>
      <c r="DA1" s="359">
        <v>105</v>
      </c>
      <c r="DB1" s="358">
        <v>106</v>
      </c>
      <c r="DC1" s="359">
        <v>107</v>
      </c>
      <c r="DD1" s="358">
        <v>108</v>
      </c>
      <c r="DE1" s="359">
        <v>109</v>
      </c>
      <c r="DF1" s="358">
        <v>110</v>
      </c>
      <c r="DG1" s="359">
        <v>111</v>
      </c>
      <c r="DH1" s="358">
        <v>112</v>
      </c>
      <c r="DI1" s="359">
        <v>113</v>
      </c>
      <c r="DJ1" s="358">
        <v>114</v>
      </c>
      <c r="DK1" s="359">
        <v>115</v>
      </c>
      <c r="DL1" s="358">
        <v>116</v>
      </c>
      <c r="DM1" s="359">
        <v>117</v>
      </c>
      <c r="DN1" s="358">
        <v>118</v>
      </c>
      <c r="DO1" s="359">
        <v>119</v>
      </c>
      <c r="DP1" s="358">
        <v>120</v>
      </c>
      <c r="DQ1" s="359">
        <v>121</v>
      </c>
      <c r="DR1" s="358">
        <v>122</v>
      </c>
      <c r="DS1" s="359">
        <v>123</v>
      </c>
      <c r="DT1" s="358">
        <v>124</v>
      </c>
      <c r="DU1" s="359">
        <v>125</v>
      </c>
      <c r="DV1" s="358">
        <v>126</v>
      </c>
      <c r="DW1" s="359">
        <v>127</v>
      </c>
      <c r="DX1" s="358">
        <v>128</v>
      </c>
      <c r="DY1" s="359">
        <v>129</v>
      </c>
      <c r="DZ1" s="358">
        <v>130</v>
      </c>
      <c r="EA1" s="359">
        <v>131</v>
      </c>
      <c r="EB1" s="358">
        <v>132</v>
      </c>
      <c r="EC1" s="359">
        <v>133</v>
      </c>
      <c r="ED1" s="358">
        <v>134</v>
      </c>
      <c r="EE1" s="359">
        <v>135</v>
      </c>
      <c r="EF1" s="358">
        <v>136</v>
      </c>
      <c r="EG1" s="359">
        <v>137</v>
      </c>
      <c r="EH1" s="358">
        <v>138</v>
      </c>
      <c r="EI1" s="359">
        <v>139</v>
      </c>
      <c r="EJ1" s="358">
        <v>140</v>
      </c>
      <c r="EK1" s="359">
        <v>141</v>
      </c>
      <c r="EL1" s="358">
        <v>142</v>
      </c>
      <c r="EM1" s="359">
        <v>143</v>
      </c>
      <c r="EN1" s="358">
        <v>144</v>
      </c>
      <c r="EO1" s="359">
        <v>145</v>
      </c>
      <c r="EP1" s="358">
        <v>146</v>
      </c>
      <c r="EQ1" s="359">
        <v>147</v>
      </c>
      <c r="ER1" s="358">
        <v>148</v>
      </c>
      <c r="ES1" s="359">
        <v>149</v>
      </c>
      <c r="ET1" s="358">
        <v>150</v>
      </c>
      <c r="EU1" s="359">
        <v>151</v>
      </c>
      <c r="EV1" s="358">
        <v>152</v>
      </c>
      <c r="EW1" s="359">
        <v>153</v>
      </c>
    </row>
    <row r="2" spans="1:153" x14ac:dyDescent="0.25">
      <c r="A2" s="72">
        <v>2</v>
      </c>
    </row>
    <row r="3" spans="1:153" x14ac:dyDescent="0.25">
      <c r="A3" s="72">
        <v>3</v>
      </c>
    </row>
    <row r="4" spans="1:153" x14ac:dyDescent="0.25">
      <c r="A4" s="72">
        <v>4</v>
      </c>
      <c r="C4" s="6"/>
      <c r="D4" s="6"/>
    </row>
    <row r="5" spans="1:153" ht="51" customHeight="1" thickBot="1" x14ac:dyDescent="0.3">
      <c r="A5" s="72">
        <v>5</v>
      </c>
      <c r="B5" s="121" t="s">
        <v>1</v>
      </c>
      <c r="C5" s="454" t="s">
        <v>3</v>
      </c>
      <c r="D5" s="454"/>
      <c r="E5" s="454"/>
      <c r="F5" s="7" t="s">
        <v>0</v>
      </c>
      <c r="G5" s="47" t="s">
        <v>53</v>
      </c>
      <c r="H5" s="47" t="s">
        <v>56</v>
      </c>
      <c r="I5" s="118" t="s">
        <v>1</v>
      </c>
      <c r="J5" s="119" t="s">
        <v>2</v>
      </c>
      <c r="K5" s="59" t="s">
        <v>63</v>
      </c>
    </row>
    <row r="6" spans="1:153" ht="15.75" thickTop="1" x14ac:dyDescent="0.25">
      <c r="A6" s="72">
        <v>6</v>
      </c>
      <c r="B6" s="60"/>
    </row>
    <row r="7" spans="1:153" ht="15.75" customHeight="1" x14ac:dyDescent="0.25">
      <c r="A7" s="72">
        <v>7</v>
      </c>
      <c r="B7" s="426" t="s">
        <v>370</v>
      </c>
      <c r="C7" s="436" t="s">
        <v>64</v>
      </c>
      <c r="D7" s="438" t="s">
        <v>265</v>
      </c>
      <c r="E7" s="434" t="s">
        <v>79</v>
      </c>
      <c r="F7" s="416">
        <v>45930</v>
      </c>
      <c r="G7" s="416">
        <v>45838</v>
      </c>
      <c r="H7" s="416">
        <v>45747</v>
      </c>
      <c r="I7" s="416">
        <v>45657</v>
      </c>
      <c r="J7" s="416">
        <v>45565</v>
      </c>
      <c r="K7" s="416">
        <v>45473</v>
      </c>
      <c r="L7" s="416">
        <v>45382</v>
      </c>
      <c r="M7" s="416">
        <v>45291</v>
      </c>
      <c r="N7" s="416">
        <v>45199</v>
      </c>
      <c r="O7" s="416">
        <v>45107</v>
      </c>
      <c r="P7" s="416">
        <v>45016</v>
      </c>
      <c r="Q7" s="416">
        <v>44926</v>
      </c>
      <c r="R7" s="416">
        <v>44834</v>
      </c>
      <c r="S7" s="416">
        <v>44742</v>
      </c>
      <c r="T7" s="416">
        <v>44651</v>
      </c>
      <c r="U7" s="416">
        <v>44561</v>
      </c>
      <c r="V7" s="416">
        <v>44469</v>
      </c>
      <c r="W7" s="416">
        <v>44377</v>
      </c>
      <c r="X7" s="416">
        <v>44286</v>
      </c>
      <c r="Y7" s="416">
        <v>44196</v>
      </c>
      <c r="Z7" s="416">
        <v>44104</v>
      </c>
      <c r="AA7" s="416">
        <v>44012</v>
      </c>
      <c r="AB7" s="416">
        <v>43921</v>
      </c>
      <c r="AC7" s="416">
        <v>43830</v>
      </c>
      <c r="AD7" s="416">
        <v>43738</v>
      </c>
      <c r="AE7" s="416">
        <v>43646</v>
      </c>
      <c r="AF7" s="416">
        <v>43555</v>
      </c>
      <c r="AG7" s="416">
        <v>43465</v>
      </c>
      <c r="AH7" s="416">
        <v>43373</v>
      </c>
      <c r="AI7" s="416">
        <v>43281</v>
      </c>
      <c r="AJ7" s="416">
        <v>43190</v>
      </c>
      <c r="AK7" s="416">
        <v>43100</v>
      </c>
      <c r="AL7" s="416">
        <v>43008</v>
      </c>
      <c r="AM7" s="416">
        <v>42916</v>
      </c>
      <c r="AN7" s="416">
        <v>42825</v>
      </c>
      <c r="AO7" s="416">
        <v>42735</v>
      </c>
      <c r="AP7" s="416">
        <v>42643</v>
      </c>
      <c r="AQ7" s="416">
        <v>42551</v>
      </c>
      <c r="AR7" s="416">
        <v>42460</v>
      </c>
      <c r="AS7" s="416">
        <v>42369</v>
      </c>
      <c r="AT7" s="416">
        <v>42277</v>
      </c>
      <c r="AU7" s="416">
        <v>42185</v>
      </c>
      <c r="AV7" s="416">
        <v>42094</v>
      </c>
      <c r="AW7" s="416">
        <v>42004</v>
      </c>
      <c r="AX7" s="416">
        <v>41912</v>
      </c>
      <c r="AY7" s="416">
        <v>41820</v>
      </c>
      <c r="AZ7" s="416">
        <v>41729</v>
      </c>
      <c r="BA7" s="416">
        <v>41639</v>
      </c>
      <c r="BB7" s="416">
        <v>41547</v>
      </c>
      <c r="BC7" s="416">
        <v>41455</v>
      </c>
      <c r="BD7" s="416">
        <v>41364</v>
      </c>
      <c r="BE7" s="416">
        <v>41274</v>
      </c>
      <c r="BF7" s="416">
        <v>41182</v>
      </c>
      <c r="BG7" s="416">
        <v>41090</v>
      </c>
      <c r="BH7" s="416">
        <v>40999</v>
      </c>
      <c r="BI7" s="416">
        <v>40908</v>
      </c>
      <c r="BJ7" s="416">
        <v>40816</v>
      </c>
      <c r="BK7" s="416">
        <v>40724</v>
      </c>
      <c r="BL7" s="416">
        <v>40633</v>
      </c>
      <c r="BM7" s="1">
        <v>40543</v>
      </c>
      <c r="BN7" s="1">
        <v>40451</v>
      </c>
      <c r="BO7" s="1">
        <v>40359</v>
      </c>
      <c r="BP7" s="1">
        <v>40268</v>
      </c>
      <c r="BQ7" s="1">
        <v>40178</v>
      </c>
      <c r="BR7" s="1" t="s">
        <v>121</v>
      </c>
      <c r="BS7" s="1" t="s">
        <v>121</v>
      </c>
      <c r="BT7" s="1" t="s">
        <v>121</v>
      </c>
      <c r="BU7" s="1" t="s">
        <v>121</v>
      </c>
      <c r="BV7" s="1" t="s">
        <v>121</v>
      </c>
      <c r="BW7" s="1" t="s">
        <v>121</v>
      </c>
      <c r="BX7" s="1" t="s">
        <v>121</v>
      </c>
      <c r="BY7" s="1" t="s">
        <v>121</v>
      </c>
      <c r="BZ7" s="1" t="s">
        <v>121</v>
      </c>
      <c r="CA7" s="1" t="s">
        <v>121</v>
      </c>
      <c r="CB7" s="1" t="s">
        <v>121</v>
      </c>
      <c r="CC7" s="1" t="s">
        <v>121</v>
      </c>
      <c r="CD7" s="1" t="s">
        <v>121</v>
      </c>
      <c r="CE7" s="1" t="s">
        <v>121</v>
      </c>
      <c r="CF7" s="1" t="s">
        <v>121</v>
      </c>
      <c r="CG7" s="1" t="s">
        <v>121</v>
      </c>
      <c r="CH7" s="1" t="s">
        <v>121</v>
      </c>
      <c r="CI7" s="1" t="s">
        <v>121</v>
      </c>
      <c r="CJ7" s="1" t="s">
        <v>121</v>
      </c>
      <c r="CK7" s="1" t="s">
        <v>121</v>
      </c>
      <c r="CL7" s="1" t="s">
        <v>121</v>
      </c>
      <c r="CM7" s="1" t="s">
        <v>121</v>
      </c>
      <c r="CN7" s="1" t="s">
        <v>121</v>
      </c>
      <c r="CO7" s="1" t="s">
        <v>121</v>
      </c>
      <c r="CP7" s="1" t="s">
        <v>121</v>
      </c>
      <c r="CQ7" s="1" t="s">
        <v>121</v>
      </c>
      <c r="CR7" s="1" t="s">
        <v>121</v>
      </c>
      <c r="CS7" s="1" t="s">
        <v>121</v>
      </c>
      <c r="CT7" s="1" t="s">
        <v>121</v>
      </c>
      <c r="CU7" s="1" t="s">
        <v>121</v>
      </c>
      <c r="CV7" s="1" t="s">
        <v>121</v>
      </c>
      <c r="CW7" s="1" t="s">
        <v>121</v>
      </c>
      <c r="CX7" s="1" t="s">
        <v>121</v>
      </c>
      <c r="CY7" s="1" t="s">
        <v>121</v>
      </c>
      <c r="CZ7" s="1" t="s">
        <v>121</v>
      </c>
      <c r="DA7" s="1" t="s">
        <v>121</v>
      </c>
      <c r="DB7" s="1" t="s">
        <v>121</v>
      </c>
      <c r="DC7" s="1" t="s">
        <v>121</v>
      </c>
      <c r="DD7" s="1" t="s">
        <v>121</v>
      </c>
      <c r="DE7" s="1" t="s">
        <v>121</v>
      </c>
      <c r="DF7" s="1" t="s">
        <v>121</v>
      </c>
      <c r="DG7" s="1" t="s">
        <v>121</v>
      </c>
      <c r="DH7" s="1" t="s">
        <v>121</v>
      </c>
      <c r="DI7" s="1" t="s">
        <v>121</v>
      </c>
      <c r="DJ7" s="1" t="s">
        <v>121</v>
      </c>
      <c r="DK7" s="1" t="s">
        <v>121</v>
      </c>
      <c r="DL7" s="1" t="s">
        <v>121</v>
      </c>
      <c r="DM7" s="1" t="s">
        <v>121</v>
      </c>
      <c r="DN7" s="1" t="s">
        <v>121</v>
      </c>
      <c r="DO7" s="1" t="s">
        <v>121</v>
      </c>
      <c r="DP7" s="1" t="s">
        <v>121</v>
      </c>
      <c r="DQ7" s="1" t="s">
        <v>121</v>
      </c>
      <c r="DR7" s="1" t="s">
        <v>121</v>
      </c>
      <c r="DS7" s="1" t="s">
        <v>121</v>
      </c>
      <c r="DT7" s="1" t="s">
        <v>121</v>
      </c>
      <c r="DU7" s="1" t="s">
        <v>121</v>
      </c>
      <c r="DV7" s="1" t="s">
        <v>121</v>
      </c>
      <c r="DW7" s="1" t="s">
        <v>121</v>
      </c>
      <c r="DX7" s="1" t="s">
        <v>121</v>
      </c>
      <c r="DY7" s="1" t="s">
        <v>121</v>
      </c>
      <c r="DZ7" s="1" t="s">
        <v>121</v>
      </c>
      <c r="EA7" s="1" t="s">
        <v>121</v>
      </c>
      <c r="EB7" s="1" t="s">
        <v>121</v>
      </c>
      <c r="EC7" s="1" t="s">
        <v>121</v>
      </c>
      <c r="ED7" s="1" t="s">
        <v>121</v>
      </c>
      <c r="EE7" s="1" t="s">
        <v>121</v>
      </c>
      <c r="EF7" s="1" t="s">
        <v>121</v>
      </c>
      <c r="EG7" s="1" t="s">
        <v>121</v>
      </c>
      <c r="EH7" s="1" t="s">
        <v>121</v>
      </c>
      <c r="EI7" s="1" t="s">
        <v>121</v>
      </c>
      <c r="EJ7" s="1" t="s">
        <v>121</v>
      </c>
      <c r="EK7" s="1" t="s">
        <v>121</v>
      </c>
      <c r="EL7" s="1" t="s">
        <v>121</v>
      </c>
      <c r="EM7" s="1" t="s">
        <v>121</v>
      </c>
      <c r="EN7" s="1" t="s">
        <v>121</v>
      </c>
      <c r="EO7" s="1" t="s">
        <v>121</v>
      </c>
      <c r="EP7" s="1" t="s">
        <v>121</v>
      </c>
      <c r="EQ7" s="1" t="s">
        <v>121</v>
      </c>
      <c r="ER7" s="1" t="s">
        <v>121</v>
      </c>
      <c r="ES7" s="1" t="s">
        <v>121</v>
      </c>
      <c r="ET7" s="1" t="s">
        <v>121</v>
      </c>
      <c r="EU7" s="1" t="s">
        <v>121</v>
      </c>
    </row>
    <row r="8" spans="1:153" x14ac:dyDescent="0.25">
      <c r="A8" s="72">
        <v>8</v>
      </c>
      <c r="B8" s="427"/>
      <c r="C8" s="437"/>
      <c r="D8" s="451"/>
      <c r="E8" s="444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8"/>
      <c r="V8" s="418"/>
      <c r="W8" s="418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417"/>
      <c r="AN8" s="417"/>
      <c r="AO8" s="417"/>
      <c r="AP8" s="417"/>
      <c r="AQ8" s="417"/>
      <c r="AR8" s="417"/>
      <c r="AS8" s="418"/>
      <c r="AT8" s="417"/>
      <c r="AU8" s="417"/>
      <c r="AV8" s="417"/>
      <c r="AW8" s="417"/>
      <c r="AX8" s="417"/>
      <c r="AY8" s="417"/>
      <c r="AZ8" s="417"/>
      <c r="BA8" s="417"/>
      <c r="BB8" s="417"/>
      <c r="BC8" s="417"/>
      <c r="BD8" s="417"/>
      <c r="BE8" s="417"/>
      <c r="BF8" s="417"/>
      <c r="BG8" s="417"/>
      <c r="BH8" s="417"/>
      <c r="BI8" s="417"/>
      <c r="BJ8" s="417"/>
      <c r="BK8" s="417"/>
      <c r="BL8" s="417"/>
    </row>
    <row r="9" spans="1:153" ht="9.75" customHeight="1" x14ac:dyDescent="0.25">
      <c r="A9" s="72">
        <v>9</v>
      </c>
      <c r="B9" s="8" t="s">
        <v>4</v>
      </c>
      <c r="C9" s="87" t="s">
        <v>121</v>
      </c>
      <c r="D9" s="56" t="s">
        <v>121</v>
      </c>
      <c r="E9" s="88" t="s">
        <v>121</v>
      </c>
      <c r="F9" s="56" t="s">
        <v>121</v>
      </c>
      <c r="G9" s="56" t="s">
        <v>121</v>
      </c>
      <c r="H9" s="56" t="s">
        <v>121</v>
      </c>
      <c r="I9" s="56" t="s">
        <v>121</v>
      </c>
      <c r="J9" s="56" t="s">
        <v>121</v>
      </c>
      <c r="K9" s="56" t="s">
        <v>121</v>
      </c>
      <c r="L9" s="56" t="s">
        <v>121</v>
      </c>
      <c r="M9" s="56" t="s">
        <v>121</v>
      </c>
      <c r="N9" s="56" t="s">
        <v>121</v>
      </c>
      <c r="O9" s="56" t="s">
        <v>121</v>
      </c>
      <c r="P9" s="56" t="s">
        <v>121</v>
      </c>
      <c r="Q9" s="56" t="s">
        <v>121</v>
      </c>
      <c r="R9" s="56" t="s">
        <v>121</v>
      </c>
      <c r="S9" s="56" t="s">
        <v>121</v>
      </c>
      <c r="T9" s="56" t="s">
        <v>121</v>
      </c>
      <c r="U9" s="56" t="s">
        <v>121</v>
      </c>
      <c r="V9" s="56" t="s">
        <v>121</v>
      </c>
      <c r="W9" s="56" t="s">
        <v>121</v>
      </c>
      <c r="X9" s="56" t="s">
        <v>121</v>
      </c>
      <c r="Y9" s="56" t="s">
        <v>121</v>
      </c>
      <c r="Z9" s="56" t="s">
        <v>121</v>
      </c>
      <c r="AA9" s="56" t="s">
        <v>121</v>
      </c>
      <c r="AB9" s="56" t="s">
        <v>121</v>
      </c>
      <c r="AC9" s="56" t="s">
        <v>121</v>
      </c>
      <c r="AD9" s="56" t="s">
        <v>121</v>
      </c>
      <c r="AE9" s="56" t="s">
        <v>121</v>
      </c>
      <c r="AF9" s="56" t="s">
        <v>121</v>
      </c>
      <c r="AG9" s="56" t="s">
        <v>121</v>
      </c>
      <c r="AH9" s="56" t="s">
        <v>121</v>
      </c>
      <c r="AI9" s="56" t="s">
        <v>121</v>
      </c>
      <c r="AJ9" s="56" t="s">
        <v>121</v>
      </c>
      <c r="AK9" s="56" t="s">
        <v>121</v>
      </c>
      <c r="AL9" s="56" t="s">
        <v>121</v>
      </c>
      <c r="AM9" s="56" t="s">
        <v>121</v>
      </c>
      <c r="AN9" s="56" t="s">
        <v>121</v>
      </c>
      <c r="AO9" s="56" t="s">
        <v>121</v>
      </c>
      <c r="AP9" s="56" t="s">
        <v>121</v>
      </c>
      <c r="AQ9" s="56" t="s">
        <v>121</v>
      </c>
      <c r="AR9" s="56" t="s">
        <v>121</v>
      </c>
      <c r="AS9" s="56" t="s">
        <v>121</v>
      </c>
      <c r="AT9" s="56" t="s">
        <v>121</v>
      </c>
      <c r="AU9" s="56" t="s">
        <v>121</v>
      </c>
      <c r="AV9" s="56" t="s">
        <v>121</v>
      </c>
      <c r="AW9" s="56" t="s">
        <v>121</v>
      </c>
      <c r="AX9" s="56" t="s">
        <v>121</v>
      </c>
      <c r="AY9" s="56" t="s">
        <v>121</v>
      </c>
      <c r="AZ9" s="8" t="s">
        <v>121</v>
      </c>
      <c r="BA9" s="1" t="s">
        <v>121</v>
      </c>
      <c r="BB9" s="1" t="s">
        <v>121</v>
      </c>
      <c r="BC9" s="1" t="s">
        <v>121</v>
      </c>
      <c r="BD9" s="1" t="s">
        <v>121</v>
      </c>
      <c r="BE9" s="1" t="s">
        <v>121</v>
      </c>
      <c r="BF9" s="1" t="s">
        <v>121</v>
      </c>
      <c r="BG9" s="1" t="s">
        <v>121</v>
      </c>
      <c r="BH9" s="1" t="s">
        <v>121</v>
      </c>
      <c r="BI9" s="1" t="s">
        <v>121</v>
      </c>
      <c r="BJ9" s="1" t="s">
        <v>121</v>
      </c>
      <c r="BK9" s="1" t="s">
        <v>121</v>
      </c>
      <c r="BL9" s="1" t="s">
        <v>121</v>
      </c>
      <c r="BM9" s="1" t="s">
        <v>121</v>
      </c>
      <c r="BN9" s="1" t="s">
        <v>121</v>
      </c>
      <c r="BO9" s="1" t="s">
        <v>121</v>
      </c>
      <c r="BP9" s="1" t="s">
        <v>121</v>
      </c>
      <c r="BQ9" s="1" t="s">
        <v>121</v>
      </c>
      <c r="BR9" s="1" t="s">
        <v>121</v>
      </c>
      <c r="BS9" s="1" t="s">
        <v>121</v>
      </c>
      <c r="BT9" s="1" t="s">
        <v>121</v>
      </c>
      <c r="BU9" s="1" t="s">
        <v>121</v>
      </c>
      <c r="BV9" s="1" t="s">
        <v>121</v>
      </c>
      <c r="BW9" s="1" t="s">
        <v>121</v>
      </c>
      <c r="BX9" s="1" t="s">
        <v>121</v>
      </c>
      <c r="BY9" s="1" t="s">
        <v>121</v>
      </c>
      <c r="BZ9" s="1" t="s">
        <v>121</v>
      </c>
      <c r="CA9" s="1" t="s">
        <v>121</v>
      </c>
      <c r="CB9" s="1" t="s">
        <v>121</v>
      </c>
      <c r="CC9" s="1" t="s">
        <v>121</v>
      </c>
      <c r="CD9" s="1" t="s">
        <v>121</v>
      </c>
      <c r="CE9" s="1" t="s">
        <v>121</v>
      </c>
      <c r="CF9" s="1" t="s">
        <v>121</v>
      </c>
      <c r="CG9" s="1" t="s">
        <v>121</v>
      </c>
      <c r="CH9" s="1" t="s">
        <v>121</v>
      </c>
      <c r="CI9" s="1" t="s">
        <v>121</v>
      </c>
      <c r="CJ9" s="1" t="s">
        <v>121</v>
      </c>
      <c r="CK9" s="1" t="s">
        <v>121</v>
      </c>
      <c r="CL9" s="1" t="s">
        <v>121</v>
      </c>
      <c r="CM9" s="1" t="s">
        <v>121</v>
      </c>
      <c r="CN9" s="1" t="s">
        <v>121</v>
      </c>
      <c r="CO9" s="1" t="s">
        <v>121</v>
      </c>
      <c r="CP9" s="1" t="s">
        <v>121</v>
      </c>
      <c r="CQ9" s="1" t="s">
        <v>121</v>
      </c>
      <c r="CR9" s="1" t="s">
        <v>121</v>
      </c>
      <c r="CS9" s="1" t="s">
        <v>121</v>
      </c>
      <c r="CT9" s="1" t="s">
        <v>121</v>
      </c>
      <c r="CU9" s="1" t="s">
        <v>121</v>
      </c>
      <c r="CV9" s="1" t="s">
        <v>121</v>
      </c>
      <c r="CW9" s="1" t="s">
        <v>121</v>
      </c>
      <c r="CX9" s="1" t="s">
        <v>121</v>
      </c>
      <c r="CY9" s="1" t="s">
        <v>121</v>
      </c>
      <c r="CZ9" s="1" t="s">
        <v>121</v>
      </c>
      <c r="DA9" s="1" t="s">
        <v>121</v>
      </c>
      <c r="DB9" s="1" t="s">
        <v>121</v>
      </c>
      <c r="DC9" s="1" t="s">
        <v>121</v>
      </c>
      <c r="DD9" s="1" t="s">
        <v>121</v>
      </c>
      <c r="DE9" s="1" t="s">
        <v>121</v>
      </c>
      <c r="DF9" s="1" t="s">
        <v>121</v>
      </c>
      <c r="DG9" s="1" t="s">
        <v>121</v>
      </c>
      <c r="DH9" s="1" t="s">
        <v>121</v>
      </c>
      <c r="DI9" s="1" t="s">
        <v>121</v>
      </c>
      <c r="DJ9" s="1" t="s">
        <v>121</v>
      </c>
      <c r="DK9" s="1" t="s">
        <v>121</v>
      </c>
      <c r="DL9" s="1" t="s">
        <v>121</v>
      </c>
      <c r="DM9" s="1" t="s">
        <v>121</v>
      </c>
      <c r="DN9" s="1" t="s">
        <v>121</v>
      </c>
      <c r="DO9" s="1" t="s">
        <v>121</v>
      </c>
      <c r="DP9" s="1" t="s">
        <v>121</v>
      </c>
      <c r="DQ9" s="1" t="s">
        <v>121</v>
      </c>
      <c r="DR9" s="1" t="s">
        <v>121</v>
      </c>
      <c r="DS9" s="1" t="s">
        <v>121</v>
      </c>
      <c r="DT9" s="1" t="s">
        <v>121</v>
      </c>
      <c r="DU9" s="1" t="s">
        <v>121</v>
      </c>
      <c r="DV9" s="1" t="s">
        <v>121</v>
      </c>
      <c r="DW9" s="1" t="s">
        <v>121</v>
      </c>
      <c r="DX9" s="1" t="s">
        <v>121</v>
      </c>
      <c r="DY9" s="1" t="s">
        <v>121</v>
      </c>
      <c r="DZ9" s="1" t="s">
        <v>121</v>
      </c>
      <c r="EA9" s="1" t="s">
        <v>121</v>
      </c>
      <c r="EB9" s="1" t="s">
        <v>121</v>
      </c>
      <c r="EC9" s="1" t="s">
        <v>121</v>
      </c>
      <c r="ED9" s="1" t="s">
        <v>121</v>
      </c>
      <c r="EE9" s="1" t="s">
        <v>121</v>
      </c>
      <c r="EF9" s="1" t="s">
        <v>121</v>
      </c>
      <c r="EG9" s="1" t="s">
        <v>121</v>
      </c>
      <c r="EH9" s="1" t="s">
        <v>121</v>
      </c>
      <c r="EI9" s="1" t="s">
        <v>121</v>
      </c>
      <c r="EJ9" s="1" t="s">
        <v>121</v>
      </c>
      <c r="EK9" s="1" t="s">
        <v>121</v>
      </c>
      <c r="EL9" s="1" t="s">
        <v>121</v>
      </c>
      <c r="EM9" s="1" t="s">
        <v>121</v>
      </c>
      <c r="EN9" s="1" t="s">
        <v>121</v>
      </c>
      <c r="EO9" s="1" t="s">
        <v>121</v>
      </c>
      <c r="EP9" s="1" t="s">
        <v>121</v>
      </c>
      <c r="EQ9" s="1" t="s">
        <v>121</v>
      </c>
      <c r="ER9" s="1" t="s">
        <v>121</v>
      </c>
      <c r="ES9" s="1" t="s">
        <v>121</v>
      </c>
      <c r="ET9" s="1" t="s">
        <v>121</v>
      </c>
      <c r="EU9" s="1" t="s">
        <v>121</v>
      </c>
    </row>
    <row r="10" spans="1:153" ht="15" customHeight="1" x14ac:dyDescent="0.25">
      <c r="A10" s="72">
        <v>10</v>
      </c>
      <c r="B10" s="17" t="s">
        <v>371</v>
      </c>
      <c r="C10" s="89" t="s">
        <v>121</v>
      </c>
      <c r="D10" s="122" t="s">
        <v>121</v>
      </c>
      <c r="E10" s="90" t="s">
        <v>121</v>
      </c>
      <c r="F10" s="122" t="s">
        <v>121</v>
      </c>
      <c r="G10" s="122" t="s">
        <v>121</v>
      </c>
      <c r="H10" s="122" t="s">
        <v>121</v>
      </c>
      <c r="I10" s="122" t="s">
        <v>121</v>
      </c>
      <c r="J10" s="122" t="s">
        <v>121</v>
      </c>
      <c r="K10" s="122" t="s">
        <v>121</v>
      </c>
      <c r="L10" s="122" t="s">
        <v>121</v>
      </c>
      <c r="M10" s="122" t="s">
        <v>121</v>
      </c>
      <c r="N10" s="122" t="s">
        <v>121</v>
      </c>
      <c r="O10" s="122" t="s">
        <v>121</v>
      </c>
      <c r="P10" s="122" t="s">
        <v>121</v>
      </c>
      <c r="Q10" s="122" t="s">
        <v>121</v>
      </c>
      <c r="R10" s="122" t="s">
        <v>121</v>
      </c>
      <c r="S10" s="122" t="s">
        <v>121</v>
      </c>
      <c r="T10" s="122" t="s">
        <v>121</v>
      </c>
      <c r="U10" s="293" t="s">
        <v>121</v>
      </c>
      <c r="V10" s="293" t="s">
        <v>121</v>
      </c>
      <c r="W10" s="293" t="s">
        <v>121</v>
      </c>
      <c r="X10" s="122" t="s">
        <v>121</v>
      </c>
      <c r="Y10" s="122" t="s">
        <v>121</v>
      </c>
      <c r="Z10" s="122" t="s">
        <v>121</v>
      </c>
      <c r="AA10" s="122" t="s">
        <v>121</v>
      </c>
      <c r="AB10" s="122" t="s">
        <v>121</v>
      </c>
      <c r="AC10" s="122" t="s">
        <v>121</v>
      </c>
      <c r="AD10" s="122" t="s">
        <v>121</v>
      </c>
      <c r="AE10" s="122" t="s">
        <v>121</v>
      </c>
      <c r="AF10" s="122" t="s">
        <v>121</v>
      </c>
      <c r="AG10" s="122" t="s">
        <v>121</v>
      </c>
      <c r="AH10" s="122" t="s">
        <v>121</v>
      </c>
      <c r="AI10" s="122" t="s">
        <v>121</v>
      </c>
      <c r="AJ10" s="122" t="s">
        <v>121</v>
      </c>
      <c r="AK10" s="122" t="s">
        <v>121</v>
      </c>
      <c r="AL10" s="122" t="s">
        <v>121</v>
      </c>
      <c r="AM10" s="122" t="s">
        <v>121</v>
      </c>
      <c r="AN10" s="122" t="s">
        <v>121</v>
      </c>
      <c r="AO10" s="122" t="s">
        <v>121</v>
      </c>
      <c r="AP10" s="122" t="s">
        <v>121</v>
      </c>
      <c r="AQ10" s="122" t="s">
        <v>121</v>
      </c>
      <c r="AR10" s="122" t="s">
        <v>121</v>
      </c>
      <c r="AS10" s="122" t="s">
        <v>121</v>
      </c>
      <c r="AT10" s="122" t="s">
        <v>121</v>
      </c>
      <c r="AU10" s="122" t="s">
        <v>121</v>
      </c>
      <c r="AV10" s="122" t="s">
        <v>121</v>
      </c>
      <c r="AW10" s="122" t="s">
        <v>121</v>
      </c>
      <c r="AX10" s="122" t="s">
        <v>121</v>
      </c>
      <c r="AY10" s="122" t="s">
        <v>121</v>
      </c>
      <c r="AZ10" s="17" t="s">
        <v>121</v>
      </c>
      <c r="BA10" s="11" t="s">
        <v>121</v>
      </c>
      <c r="BB10" s="11" t="s">
        <v>121</v>
      </c>
      <c r="BC10" s="11" t="s">
        <v>121</v>
      </c>
      <c r="BD10" s="11" t="s">
        <v>121</v>
      </c>
      <c r="BE10" s="11" t="s">
        <v>121</v>
      </c>
      <c r="BF10" s="11" t="s">
        <v>121</v>
      </c>
      <c r="BG10" s="11" t="s">
        <v>121</v>
      </c>
      <c r="BH10" s="11" t="s">
        <v>121</v>
      </c>
      <c r="BI10" s="11" t="s">
        <v>121</v>
      </c>
      <c r="BJ10" s="11" t="s">
        <v>121</v>
      </c>
      <c r="BK10" s="11" t="s">
        <v>121</v>
      </c>
      <c r="BL10" s="1" t="s">
        <v>121</v>
      </c>
      <c r="BM10" s="1" t="s">
        <v>121</v>
      </c>
      <c r="BN10" s="1" t="s">
        <v>121</v>
      </c>
      <c r="BO10" s="1" t="s">
        <v>121</v>
      </c>
      <c r="BP10" s="1" t="s">
        <v>121</v>
      </c>
      <c r="BQ10" s="1" t="s">
        <v>121</v>
      </c>
      <c r="BR10" s="1" t="s">
        <v>121</v>
      </c>
      <c r="BS10" s="1" t="s">
        <v>121</v>
      </c>
      <c r="BT10" s="1" t="s">
        <v>121</v>
      </c>
      <c r="BU10" s="1" t="s">
        <v>121</v>
      </c>
      <c r="BV10" s="1" t="s">
        <v>121</v>
      </c>
      <c r="BW10" s="1" t="s">
        <v>121</v>
      </c>
      <c r="BX10" s="1" t="s">
        <v>121</v>
      </c>
      <c r="BY10" s="1" t="s">
        <v>121</v>
      </c>
      <c r="BZ10" s="1" t="s">
        <v>121</v>
      </c>
      <c r="CA10" s="1" t="s">
        <v>121</v>
      </c>
      <c r="CB10" s="1" t="s">
        <v>121</v>
      </c>
      <c r="CC10" s="1" t="s">
        <v>121</v>
      </c>
      <c r="CD10" s="1" t="s">
        <v>121</v>
      </c>
      <c r="CE10" s="1" t="s">
        <v>121</v>
      </c>
      <c r="CF10" s="1" t="s">
        <v>121</v>
      </c>
      <c r="CG10" s="1" t="s">
        <v>121</v>
      </c>
      <c r="CH10" s="1" t="s">
        <v>121</v>
      </c>
      <c r="CI10" s="1" t="s">
        <v>121</v>
      </c>
      <c r="CJ10" s="1" t="s">
        <v>121</v>
      </c>
      <c r="CK10" s="1" t="s">
        <v>121</v>
      </c>
      <c r="CL10" s="1" t="s">
        <v>121</v>
      </c>
      <c r="CM10" s="1" t="s">
        <v>121</v>
      </c>
      <c r="CN10" s="1" t="s">
        <v>121</v>
      </c>
      <c r="CO10" s="1" t="s">
        <v>121</v>
      </c>
      <c r="CP10" s="1" t="s">
        <v>121</v>
      </c>
      <c r="CQ10" s="1" t="s">
        <v>121</v>
      </c>
      <c r="CR10" s="1" t="s">
        <v>121</v>
      </c>
      <c r="CS10" s="1" t="s">
        <v>121</v>
      </c>
      <c r="CT10" s="1" t="s">
        <v>121</v>
      </c>
      <c r="CU10" s="1" t="s">
        <v>121</v>
      </c>
      <c r="CV10" s="1" t="s">
        <v>121</v>
      </c>
      <c r="CW10" s="1" t="s">
        <v>121</v>
      </c>
      <c r="CX10" s="1" t="s">
        <v>121</v>
      </c>
      <c r="CY10" s="1" t="s">
        <v>121</v>
      </c>
      <c r="CZ10" s="1" t="s">
        <v>121</v>
      </c>
      <c r="DA10" s="1" t="s">
        <v>121</v>
      </c>
      <c r="DB10" s="1" t="s">
        <v>121</v>
      </c>
      <c r="DC10" s="1" t="s">
        <v>121</v>
      </c>
      <c r="DD10" s="1" t="s">
        <v>121</v>
      </c>
      <c r="DE10" s="1" t="s">
        <v>121</v>
      </c>
      <c r="DF10" s="1" t="s">
        <v>121</v>
      </c>
      <c r="DG10" s="1" t="s">
        <v>121</v>
      </c>
      <c r="DH10" s="1" t="s">
        <v>121</v>
      </c>
      <c r="DI10" s="1" t="s">
        <v>121</v>
      </c>
      <c r="DJ10" s="1" t="s">
        <v>121</v>
      </c>
      <c r="DK10" s="1" t="s">
        <v>121</v>
      </c>
      <c r="DL10" s="1" t="s">
        <v>121</v>
      </c>
      <c r="DM10" s="1" t="s">
        <v>121</v>
      </c>
      <c r="DN10" s="1" t="s">
        <v>121</v>
      </c>
      <c r="DO10" s="1" t="s">
        <v>121</v>
      </c>
      <c r="DP10" s="1" t="s">
        <v>121</v>
      </c>
      <c r="DQ10" s="1" t="s">
        <v>121</v>
      </c>
      <c r="DR10" s="1" t="s">
        <v>121</v>
      </c>
      <c r="DS10" s="1" t="s">
        <v>121</v>
      </c>
      <c r="DT10" s="1" t="s">
        <v>121</v>
      </c>
      <c r="DU10" s="1" t="s">
        <v>121</v>
      </c>
      <c r="DV10" s="1" t="s">
        <v>121</v>
      </c>
      <c r="DW10" s="1" t="s">
        <v>121</v>
      </c>
      <c r="DX10" s="1" t="s">
        <v>121</v>
      </c>
      <c r="DY10" s="1" t="s">
        <v>121</v>
      </c>
      <c r="DZ10" s="1" t="s">
        <v>121</v>
      </c>
      <c r="EA10" s="1" t="s">
        <v>121</v>
      </c>
      <c r="EB10" s="1" t="s">
        <v>121</v>
      </c>
      <c r="EC10" s="1" t="s">
        <v>121</v>
      </c>
      <c r="ED10" s="1" t="s">
        <v>121</v>
      </c>
      <c r="EE10" s="1" t="s">
        <v>121</v>
      </c>
      <c r="EF10" s="1" t="s">
        <v>121</v>
      </c>
      <c r="EG10" s="1" t="s">
        <v>121</v>
      </c>
      <c r="EH10" s="1" t="s">
        <v>121</v>
      </c>
      <c r="EI10" s="1" t="s">
        <v>121</v>
      </c>
      <c r="EJ10" s="1" t="s">
        <v>121</v>
      </c>
      <c r="EK10" s="1" t="s">
        <v>121</v>
      </c>
      <c r="EL10" s="1" t="s">
        <v>121</v>
      </c>
      <c r="EM10" s="1" t="s">
        <v>121</v>
      </c>
      <c r="EN10" s="1" t="s">
        <v>121</v>
      </c>
      <c r="EO10" s="1" t="s">
        <v>121</v>
      </c>
      <c r="EP10" s="1" t="s">
        <v>121</v>
      </c>
      <c r="EQ10" s="1" t="s">
        <v>121</v>
      </c>
      <c r="ER10" s="1" t="s">
        <v>121</v>
      </c>
      <c r="ES10" s="1" t="s">
        <v>121</v>
      </c>
      <c r="ET10" s="1" t="s">
        <v>121</v>
      </c>
      <c r="EU10" s="1" t="s">
        <v>121</v>
      </c>
    </row>
    <row r="11" spans="1:153" ht="15" customHeight="1" x14ac:dyDescent="0.25">
      <c r="A11" s="72">
        <v>11</v>
      </c>
      <c r="B11" s="14" t="s">
        <v>372</v>
      </c>
      <c r="C11" s="150" t="s">
        <v>121</v>
      </c>
      <c r="D11" s="86" t="s">
        <v>121</v>
      </c>
      <c r="E11" s="92" t="s">
        <v>121</v>
      </c>
      <c r="F11" s="255">
        <v>79</v>
      </c>
      <c r="G11" s="255">
        <v>75</v>
      </c>
      <c r="H11" s="255">
        <v>50</v>
      </c>
      <c r="I11" s="255" t="s">
        <v>121</v>
      </c>
      <c r="J11" s="255">
        <v>92</v>
      </c>
      <c r="K11" s="255">
        <v>43</v>
      </c>
      <c r="L11" s="255">
        <v>79</v>
      </c>
      <c r="M11" s="255" t="s">
        <v>121</v>
      </c>
      <c r="N11" s="255">
        <v>66</v>
      </c>
      <c r="O11" s="255">
        <v>61</v>
      </c>
      <c r="P11" s="255">
        <v>66</v>
      </c>
      <c r="Q11" s="255">
        <v>1</v>
      </c>
      <c r="R11" s="405"/>
      <c r="S11" s="405"/>
      <c r="T11" s="405"/>
      <c r="U11" s="255">
        <v>45</v>
      </c>
      <c r="V11" s="255">
        <v>13.375999999999999</v>
      </c>
      <c r="W11" s="255">
        <v>14.013999999999999</v>
      </c>
      <c r="X11" s="22">
        <v>15.547000000000001</v>
      </c>
      <c r="Y11" s="22">
        <v>0.85399999999999998</v>
      </c>
      <c r="Z11" s="22">
        <v>22.318000000000001</v>
      </c>
      <c r="AA11" s="22">
        <v>14.746</v>
      </c>
      <c r="AB11" s="22">
        <v>9.5890000000000004</v>
      </c>
      <c r="AC11" s="22">
        <v>32.009</v>
      </c>
      <c r="AD11" s="22">
        <v>20.254000000000001</v>
      </c>
      <c r="AE11" s="22">
        <v>31.766999999999999</v>
      </c>
      <c r="AF11" s="22">
        <v>22.274999999999999</v>
      </c>
      <c r="AG11" s="22">
        <v>1.4999999999999999E-2</v>
      </c>
      <c r="AH11" s="22">
        <v>18.437999999999999</v>
      </c>
      <c r="AI11" s="11">
        <v>18.263999999999999</v>
      </c>
      <c r="AJ11" s="22">
        <v>33.514000000000003</v>
      </c>
      <c r="AK11" s="11">
        <v>0.17100000000000001</v>
      </c>
      <c r="AL11" s="11">
        <v>14.135</v>
      </c>
      <c r="AM11" s="11">
        <v>19.994</v>
      </c>
      <c r="AN11" s="11">
        <v>21.468</v>
      </c>
      <c r="AO11" s="11">
        <v>8.3719999999999999</v>
      </c>
      <c r="AP11" s="11">
        <v>102.113</v>
      </c>
      <c r="AQ11" s="11">
        <v>164.55699999999999</v>
      </c>
      <c r="AR11" s="11">
        <v>120.568</v>
      </c>
      <c r="AS11" s="11">
        <v>119.06399999999999</v>
      </c>
      <c r="AT11" s="11">
        <v>351.84199999999998</v>
      </c>
      <c r="AU11" s="11">
        <v>349.61200000000002</v>
      </c>
      <c r="AV11" s="11">
        <v>506.346</v>
      </c>
      <c r="AW11" s="11">
        <v>635.96699999999998</v>
      </c>
      <c r="AX11" s="11">
        <v>974.16200000000003</v>
      </c>
      <c r="AY11" s="11">
        <v>1466.5650000000001</v>
      </c>
      <c r="AZ11" s="11">
        <v>1002.525</v>
      </c>
      <c r="BA11" s="11">
        <v>905.60400000000004</v>
      </c>
      <c r="BB11" s="11">
        <v>1054.7070000000001</v>
      </c>
      <c r="BC11" s="11">
        <v>1003.813</v>
      </c>
      <c r="BD11" s="11">
        <v>1049.325</v>
      </c>
      <c r="BE11" s="11">
        <v>835.46199999999999</v>
      </c>
      <c r="BF11" s="11">
        <v>918.44399999999996</v>
      </c>
      <c r="BG11" s="11">
        <v>843.59900000000005</v>
      </c>
      <c r="BH11" s="11">
        <v>799.94299999999998</v>
      </c>
      <c r="BI11" s="11">
        <v>674.61500000000001</v>
      </c>
      <c r="BJ11" s="11">
        <v>807.85</v>
      </c>
      <c r="BK11" s="11">
        <v>775.27200000000005</v>
      </c>
      <c r="BL11" s="11">
        <v>747.38699999999994</v>
      </c>
      <c r="BM11" s="1">
        <v>1698.396</v>
      </c>
      <c r="BN11" s="1">
        <v>1277.4639999999999</v>
      </c>
      <c r="BO11" s="1">
        <v>1806.8979999999999</v>
      </c>
      <c r="BP11" s="1">
        <v>1425.4929999999999</v>
      </c>
      <c r="BQ11" s="1">
        <v>1133.7190000000001</v>
      </c>
      <c r="BR11" s="1" t="s">
        <v>121</v>
      </c>
      <c r="BS11" s="1" t="s">
        <v>121</v>
      </c>
      <c r="BT11" s="1" t="s">
        <v>121</v>
      </c>
      <c r="BU11" s="1" t="s">
        <v>121</v>
      </c>
      <c r="BV11" s="1" t="s">
        <v>121</v>
      </c>
      <c r="BW11" s="1" t="s">
        <v>121</v>
      </c>
      <c r="BX11" s="1" t="s">
        <v>121</v>
      </c>
      <c r="BY11" s="1" t="s">
        <v>121</v>
      </c>
      <c r="BZ11" s="1" t="s">
        <v>121</v>
      </c>
      <c r="CA11" s="1" t="s">
        <v>121</v>
      </c>
      <c r="CB11" s="1" t="s">
        <v>121</v>
      </c>
      <c r="CC11" s="1" t="s">
        <v>121</v>
      </c>
      <c r="CD11" s="1" t="s">
        <v>121</v>
      </c>
      <c r="CE11" s="1" t="s">
        <v>121</v>
      </c>
      <c r="CF11" s="1" t="s">
        <v>121</v>
      </c>
      <c r="CG11" s="1" t="s">
        <v>121</v>
      </c>
      <c r="CH11" s="1" t="s">
        <v>121</v>
      </c>
      <c r="CI11" s="1" t="s">
        <v>121</v>
      </c>
      <c r="CJ11" s="1" t="s">
        <v>121</v>
      </c>
      <c r="CK11" s="1" t="s">
        <v>121</v>
      </c>
      <c r="CL11" s="1" t="s">
        <v>121</v>
      </c>
      <c r="CM11" s="1" t="s">
        <v>121</v>
      </c>
      <c r="CN11" s="1" t="s">
        <v>121</v>
      </c>
      <c r="CO11" s="1" t="s">
        <v>121</v>
      </c>
      <c r="CP11" s="1" t="s">
        <v>121</v>
      </c>
      <c r="CQ11" s="1" t="s">
        <v>121</v>
      </c>
      <c r="CR11" s="1" t="s">
        <v>121</v>
      </c>
      <c r="CS11" s="1" t="s">
        <v>121</v>
      </c>
      <c r="CT11" s="1" t="s">
        <v>121</v>
      </c>
      <c r="CU11" s="1" t="s">
        <v>121</v>
      </c>
      <c r="CV11" s="1" t="s">
        <v>121</v>
      </c>
      <c r="CW11" s="1" t="s">
        <v>121</v>
      </c>
      <c r="CX11" s="1" t="s">
        <v>121</v>
      </c>
      <c r="CY11" s="1" t="s">
        <v>121</v>
      </c>
      <c r="CZ11" s="1" t="s">
        <v>121</v>
      </c>
      <c r="DA11" s="1" t="s">
        <v>121</v>
      </c>
      <c r="DB11" s="1" t="s">
        <v>121</v>
      </c>
      <c r="DC11" s="1" t="s">
        <v>121</v>
      </c>
      <c r="DD11" s="1" t="s">
        <v>121</v>
      </c>
      <c r="DE11" s="1" t="s">
        <v>121</v>
      </c>
      <c r="DF11" s="1" t="s">
        <v>121</v>
      </c>
      <c r="DG11" s="1" t="s">
        <v>121</v>
      </c>
      <c r="DH11" s="1" t="s">
        <v>121</v>
      </c>
      <c r="DI11" s="1" t="s">
        <v>121</v>
      </c>
      <c r="DJ11" s="1" t="s">
        <v>121</v>
      </c>
      <c r="DK11" s="1" t="s">
        <v>121</v>
      </c>
      <c r="DL11" s="1" t="s">
        <v>121</v>
      </c>
      <c r="DM11" s="1" t="s">
        <v>121</v>
      </c>
      <c r="DN11" s="1" t="s">
        <v>121</v>
      </c>
      <c r="DO11" s="1" t="s">
        <v>121</v>
      </c>
      <c r="DP11" s="1" t="s">
        <v>121</v>
      </c>
      <c r="DQ11" s="1" t="s">
        <v>121</v>
      </c>
      <c r="DR11" s="1" t="s">
        <v>121</v>
      </c>
      <c r="DS11" s="1" t="s">
        <v>121</v>
      </c>
      <c r="DT11" s="1" t="s">
        <v>121</v>
      </c>
      <c r="DU11" s="1" t="s">
        <v>121</v>
      </c>
      <c r="DV11" s="1" t="s">
        <v>121</v>
      </c>
      <c r="DW11" s="1" t="s">
        <v>121</v>
      </c>
      <c r="DX11" s="1" t="s">
        <v>121</v>
      </c>
      <c r="DY11" s="1" t="s">
        <v>121</v>
      </c>
      <c r="DZ11" s="1" t="s">
        <v>121</v>
      </c>
      <c r="EA11" s="1" t="s">
        <v>121</v>
      </c>
      <c r="EB11" s="1" t="s">
        <v>121</v>
      </c>
      <c r="EC11" s="1" t="s">
        <v>121</v>
      </c>
      <c r="ED11" s="1" t="s">
        <v>121</v>
      </c>
      <c r="EE11" s="1" t="s">
        <v>121</v>
      </c>
      <c r="EF11" s="1" t="s">
        <v>121</v>
      </c>
      <c r="EG11" s="1" t="s">
        <v>121</v>
      </c>
      <c r="EH11" s="1" t="s">
        <v>121</v>
      </c>
      <c r="EI11" s="1" t="s">
        <v>121</v>
      </c>
      <c r="EJ11" s="1" t="s">
        <v>121</v>
      </c>
      <c r="EK11" s="1" t="s">
        <v>121</v>
      </c>
      <c r="EL11" s="1" t="s">
        <v>121</v>
      </c>
      <c r="EM11" s="1" t="s">
        <v>121</v>
      </c>
      <c r="EN11" s="1" t="s">
        <v>121</v>
      </c>
      <c r="EO11" s="1" t="s">
        <v>121</v>
      </c>
      <c r="EP11" s="1" t="s">
        <v>121</v>
      </c>
      <c r="EQ11" s="1" t="s">
        <v>121</v>
      </c>
      <c r="ER11" s="1" t="s">
        <v>121</v>
      </c>
      <c r="ES11" s="1" t="s">
        <v>121</v>
      </c>
      <c r="ET11" s="1" t="s">
        <v>121</v>
      </c>
      <c r="EU11" s="1" t="s">
        <v>121</v>
      </c>
    </row>
    <row r="12" spans="1:153" ht="15" customHeight="1" x14ac:dyDescent="0.25">
      <c r="A12" s="72">
        <v>12</v>
      </c>
      <c r="B12" s="14" t="s">
        <v>373</v>
      </c>
      <c r="C12" s="150" t="s">
        <v>121</v>
      </c>
      <c r="D12" s="86" t="s">
        <v>121</v>
      </c>
      <c r="E12" s="92" t="s">
        <v>121</v>
      </c>
      <c r="F12" s="255" t="s">
        <v>121</v>
      </c>
      <c r="G12" s="255" t="s">
        <v>121</v>
      </c>
      <c r="H12" s="255" t="s">
        <v>121</v>
      </c>
      <c r="I12" s="255">
        <v>16520</v>
      </c>
      <c r="J12" s="255">
        <v>3119</v>
      </c>
      <c r="K12" s="255" t="s">
        <v>121</v>
      </c>
      <c r="L12" s="255" t="s">
        <v>121</v>
      </c>
      <c r="M12" s="255" t="s">
        <v>121</v>
      </c>
      <c r="N12" s="255" t="s">
        <v>121</v>
      </c>
      <c r="O12" s="255" t="s">
        <v>121</v>
      </c>
      <c r="P12" s="255" t="s">
        <v>121</v>
      </c>
      <c r="Q12" s="255" t="s">
        <v>121</v>
      </c>
      <c r="R12" s="405"/>
      <c r="S12" s="405"/>
      <c r="T12" s="405"/>
      <c r="U12" s="255" t="s">
        <v>121</v>
      </c>
      <c r="V12" s="255" t="s">
        <v>121</v>
      </c>
      <c r="W12" s="255" t="s">
        <v>121</v>
      </c>
      <c r="X12" s="22" t="s">
        <v>121</v>
      </c>
      <c r="Y12" s="22" t="s">
        <v>121</v>
      </c>
      <c r="Z12" s="22" t="s">
        <v>121</v>
      </c>
      <c r="AA12" s="22" t="s">
        <v>121</v>
      </c>
      <c r="AB12" s="22">
        <v>7773.59</v>
      </c>
      <c r="AC12" s="22" t="s">
        <v>121</v>
      </c>
      <c r="AD12" s="22">
        <v>8024.3689999999997</v>
      </c>
      <c r="AE12" s="22" t="s">
        <v>121</v>
      </c>
      <c r="AF12" s="22">
        <v>3001.7139999999999</v>
      </c>
      <c r="AG12" s="22" t="s">
        <v>121</v>
      </c>
      <c r="AH12" s="22" t="s">
        <v>121</v>
      </c>
      <c r="AI12" s="11">
        <v>7083.0360000000001</v>
      </c>
      <c r="AJ12" s="22">
        <v>7020.7030000000004</v>
      </c>
      <c r="AK12" s="11" t="s">
        <v>121</v>
      </c>
      <c r="AL12" s="11">
        <v>3072.8739999999998</v>
      </c>
      <c r="AM12" s="11">
        <v>40.423999999999999</v>
      </c>
      <c r="AN12" s="11">
        <v>4000.252</v>
      </c>
      <c r="AO12" s="11" t="s">
        <v>121</v>
      </c>
      <c r="AP12" s="11" t="s">
        <v>121</v>
      </c>
      <c r="AQ12" s="11">
        <v>3900</v>
      </c>
      <c r="AR12" s="11" t="s">
        <v>121</v>
      </c>
      <c r="AS12" s="11" t="s">
        <v>121</v>
      </c>
      <c r="AT12" s="11">
        <v>6556.9059999999999</v>
      </c>
      <c r="AU12" s="11">
        <v>4714.0119999999997</v>
      </c>
      <c r="AV12" s="11">
        <v>3.6259999999999999</v>
      </c>
      <c r="AW12" s="11">
        <v>200.11</v>
      </c>
      <c r="AX12" s="11">
        <v>1104.193</v>
      </c>
      <c r="AY12" s="11">
        <v>1003.354</v>
      </c>
      <c r="AZ12" s="11">
        <v>5.1999999999999998E-2</v>
      </c>
      <c r="BA12" s="11">
        <v>5.7000000000000002E-2</v>
      </c>
      <c r="BB12" s="11">
        <v>4428.0730000000003</v>
      </c>
      <c r="BC12" s="11">
        <v>5219.799</v>
      </c>
      <c r="BD12" s="11">
        <v>3529.4270000000001</v>
      </c>
      <c r="BE12" s="11" t="s">
        <v>121</v>
      </c>
      <c r="BF12" s="11">
        <v>7263.8779999999997</v>
      </c>
      <c r="BG12" s="11">
        <v>5308.6170000000002</v>
      </c>
      <c r="BH12" s="11">
        <v>5004.8029999999999</v>
      </c>
      <c r="BI12" s="11">
        <v>5092.5839999999998</v>
      </c>
      <c r="BJ12" s="11">
        <v>10454.529</v>
      </c>
      <c r="BK12" s="11">
        <v>11542.46</v>
      </c>
      <c r="BL12" s="11">
        <v>10614.966</v>
      </c>
      <c r="BM12" s="1" t="s">
        <v>121</v>
      </c>
      <c r="BN12" s="1">
        <v>4420.6989999999996</v>
      </c>
      <c r="BO12" s="1">
        <v>2906.8319999999999</v>
      </c>
      <c r="BP12" s="1">
        <v>4025.2060000000001</v>
      </c>
      <c r="BQ12" s="1">
        <v>3013.377</v>
      </c>
      <c r="BR12" s="1" t="s">
        <v>121</v>
      </c>
      <c r="BS12" s="1" t="s">
        <v>121</v>
      </c>
      <c r="BT12" s="1" t="s">
        <v>121</v>
      </c>
      <c r="BU12" s="1" t="s">
        <v>121</v>
      </c>
      <c r="BV12" s="1" t="s">
        <v>121</v>
      </c>
      <c r="BW12" s="1" t="s">
        <v>121</v>
      </c>
      <c r="BX12" s="1" t="s">
        <v>121</v>
      </c>
      <c r="BY12" s="1" t="s">
        <v>121</v>
      </c>
      <c r="BZ12" s="1" t="s">
        <v>121</v>
      </c>
      <c r="CA12" s="1" t="s">
        <v>121</v>
      </c>
      <c r="CB12" s="1" t="s">
        <v>121</v>
      </c>
      <c r="CC12" s="1" t="s">
        <v>121</v>
      </c>
      <c r="CD12" s="1" t="s">
        <v>121</v>
      </c>
      <c r="CE12" s="1" t="s">
        <v>121</v>
      </c>
      <c r="CF12" s="1" t="s">
        <v>121</v>
      </c>
      <c r="CG12" s="1" t="s">
        <v>121</v>
      </c>
      <c r="CH12" s="1" t="s">
        <v>121</v>
      </c>
      <c r="CI12" s="1" t="s">
        <v>121</v>
      </c>
      <c r="CJ12" s="1" t="s">
        <v>121</v>
      </c>
      <c r="CK12" s="1" t="s">
        <v>121</v>
      </c>
      <c r="CL12" s="1" t="s">
        <v>121</v>
      </c>
      <c r="CM12" s="1" t="s">
        <v>121</v>
      </c>
      <c r="CN12" s="1" t="s">
        <v>121</v>
      </c>
      <c r="CO12" s="1" t="s">
        <v>121</v>
      </c>
      <c r="CP12" s="1" t="s">
        <v>121</v>
      </c>
      <c r="CQ12" s="1" t="s">
        <v>121</v>
      </c>
      <c r="CR12" s="1" t="s">
        <v>121</v>
      </c>
      <c r="CS12" s="1" t="s">
        <v>121</v>
      </c>
      <c r="CT12" s="1" t="s">
        <v>121</v>
      </c>
      <c r="CU12" s="1" t="s">
        <v>121</v>
      </c>
      <c r="CV12" s="1" t="s">
        <v>121</v>
      </c>
      <c r="CW12" s="1" t="s">
        <v>121</v>
      </c>
      <c r="CX12" s="1" t="s">
        <v>121</v>
      </c>
      <c r="CY12" s="1" t="s">
        <v>121</v>
      </c>
      <c r="CZ12" s="1" t="s">
        <v>121</v>
      </c>
      <c r="DA12" s="1" t="s">
        <v>121</v>
      </c>
      <c r="DB12" s="1" t="s">
        <v>121</v>
      </c>
      <c r="DC12" s="1" t="s">
        <v>121</v>
      </c>
      <c r="DD12" s="1" t="s">
        <v>121</v>
      </c>
      <c r="DE12" s="1" t="s">
        <v>121</v>
      </c>
      <c r="DF12" s="1" t="s">
        <v>121</v>
      </c>
      <c r="DG12" s="1" t="s">
        <v>121</v>
      </c>
      <c r="DH12" s="1" t="s">
        <v>121</v>
      </c>
      <c r="DI12" s="1" t="s">
        <v>121</v>
      </c>
      <c r="DJ12" s="1" t="s">
        <v>121</v>
      </c>
      <c r="DK12" s="1" t="s">
        <v>121</v>
      </c>
      <c r="DL12" s="1" t="s">
        <v>121</v>
      </c>
      <c r="DM12" s="1" t="s">
        <v>121</v>
      </c>
      <c r="DN12" s="1" t="s">
        <v>121</v>
      </c>
      <c r="DO12" s="1" t="s">
        <v>121</v>
      </c>
      <c r="DP12" s="1" t="s">
        <v>121</v>
      </c>
      <c r="DQ12" s="1" t="s">
        <v>121</v>
      </c>
      <c r="DR12" s="1" t="s">
        <v>121</v>
      </c>
      <c r="DS12" s="1" t="s">
        <v>121</v>
      </c>
      <c r="DT12" s="1" t="s">
        <v>121</v>
      </c>
      <c r="DU12" s="1" t="s">
        <v>121</v>
      </c>
      <c r="DV12" s="1" t="s">
        <v>121</v>
      </c>
      <c r="DW12" s="1" t="s">
        <v>121</v>
      </c>
      <c r="DX12" s="1" t="s">
        <v>121</v>
      </c>
      <c r="DY12" s="1" t="s">
        <v>121</v>
      </c>
      <c r="DZ12" s="1" t="s">
        <v>121</v>
      </c>
      <c r="EA12" s="1" t="s">
        <v>121</v>
      </c>
      <c r="EB12" s="1" t="s">
        <v>121</v>
      </c>
      <c r="EC12" s="1" t="s">
        <v>121</v>
      </c>
      <c r="ED12" s="1" t="s">
        <v>121</v>
      </c>
      <c r="EE12" s="1" t="s">
        <v>121</v>
      </c>
      <c r="EF12" s="1" t="s">
        <v>121</v>
      </c>
      <c r="EG12" s="1" t="s">
        <v>121</v>
      </c>
      <c r="EH12" s="1" t="s">
        <v>121</v>
      </c>
      <c r="EI12" s="1" t="s">
        <v>121</v>
      </c>
      <c r="EJ12" s="1" t="s">
        <v>121</v>
      </c>
      <c r="EK12" s="1" t="s">
        <v>121</v>
      </c>
      <c r="EL12" s="1" t="s">
        <v>121</v>
      </c>
      <c r="EM12" s="1" t="s">
        <v>121</v>
      </c>
      <c r="EN12" s="1" t="s">
        <v>121</v>
      </c>
      <c r="EO12" s="1" t="s">
        <v>121</v>
      </c>
      <c r="EP12" s="1" t="s">
        <v>121</v>
      </c>
      <c r="EQ12" s="1" t="s">
        <v>121</v>
      </c>
      <c r="ER12" s="1" t="s">
        <v>121</v>
      </c>
      <c r="ES12" s="1" t="s">
        <v>121</v>
      </c>
      <c r="ET12" s="1" t="s">
        <v>121</v>
      </c>
      <c r="EU12" s="1" t="s">
        <v>121</v>
      </c>
    </row>
    <row r="13" spans="1:153" ht="15" customHeight="1" x14ac:dyDescent="0.25">
      <c r="A13" s="72">
        <v>13</v>
      </c>
      <c r="B13" s="17" t="s">
        <v>374</v>
      </c>
      <c r="C13" s="150" t="s">
        <v>121</v>
      </c>
      <c r="D13" s="86" t="s">
        <v>121</v>
      </c>
      <c r="E13" s="92" t="s">
        <v>121</v>
      </c>
      <c r="F13" s="255" t="s">
        <v>121</v>
      </c>
      <c r="G13" s="255" t="s">
        <v>121</v>
      </c>
      <c r="H13" s="255" t="s">
        <v>121</v>
      </c>
      <c r="I13" s="255" t="s">
        <v>121</v>
      </c>
      <c r="J13" s="255" t="s">
        <v>121</v>
      </c>
      <c r="K13" s="255" t="s">
        <v>121</v>
      </c>
      <c r="L13" s="255" t="s">
        <v>121</v>
      </c>
      <c r="M13" s="255" t="s">
        <v>121</v>
      </c>
      <c r="N13" s="255" t="s">
        <v>121</v>
      </c>
      <c r="O13" s="255" t="s">
        <v>121</v>
      </c>
      <c r="P13" s="255" t="s">
        <v>121</v>
      </c>
      <c r="Q13" s="255" t="s">
        <v>121</v>
      </c>
      <c r="R13" s="405"/>
      <c r="S13" s="405"/>
      <c r="T13" s="405"/>
      <c r="U13" s="255" t="s">
        <v>121</v>
      </c>
      <c r="V13" s="255" t="s">
        <v>121</v>
      </c>
      <c r="W13" s="255" t="s">
        <v>121</v>
      </c>
      <c r="X13" s="22" t="s">
        <v>121</v>
      </c>
      <c r="Y13" s="22" t="s">
        <v>121</v>
      </c>
      <c r="Z13" s="22" t="s">
        <v>121</v>
      </c>
      <c r="AA13" s="22" t="s">
        <v>121</v>
      </c>
      <c r="AB13" s="22" t="s">
        <v>121</v>
      </c>
      <c r="AC13" s="22" t="s">
        <v>121</v>
      </c>
      <c r="AD13" s="22" t="s">
        <v>121</v>
      </c>
      <c r="AE13" s="22" t="s">
        <v>121</v>
      </c>
      <c r="AF13" s="22" t="s">
        <v>121</v>
      </c>
      <c r="AG13" s="22" t="s">
        <v>121</v>
      </c>
      <c r="AH13" s="22" t="s">
        <v>121</v>
      </c>
      <c r="AI13" s="11" t="s">
        <v>121</v>
      </c>
      <c r="AJ13" s="22" t="s">
        <v>121</v>
      </c>
      <c r="AK13" s="11" t="s">
        <v>121</v>
      </c>
      <c r="AL13" s="11" t="s">
        <v>121</v>
      </c>
      <c r="AM13" s="11" t="s">
        <v>121</v>
      </c>
      <c r="AN13" s="11" t="s">
        <v>121</v>
      </c>
      <c r="AO13" s="11" t="s">
        <v>121</v>
      </c>
      <c r="AP13" s="11" t="s">
        <v>121</v>
      </c>
      <c r="AQ13" s="11" t="s">
        <v>121</v>
      </c>
      <c r="AR13" s="11" t="s">
        <v>121</v>
      </c>
      <c r="AS13" s="11" t="s">
        <v>121</v>
      </c>
      <c r="AT13" s="11" t="s">
        <v>121</v>
      </c>
      <c r="AU13" s="11" t="s">
        <v>121</v>
      </c>
      <c r="AV13" s="11" t="s">
        <v>121</v>
      </c>
      <c r="AW13" s="11" t="s">
        <v>121</v>
      </c>
      <c r="AX13" s="11" t="s">
        <v>121</v>
      </c>
      <c r="AY13" s="11" t="s">
        <v>121</v>
      </c>
      <c r="AZ13" s="11" t="s">
        <v>121</v>
      </c>
      <c r="BA13" s="11" t="s">
        <v>121</v>
      </c>
      <c r="BB13" s="11" t="s">
        <v>121</v>
      </c>
      <c r="BC13" s="11" t="s">
        <v>121</v>
      </c>
      <c r="BD13" s="11" t="s">
        <v>121</v>
      </c>
      <c r="BE13" s="11" t="s">
        <v>121</v>
      </c>
      <c r="BF13" s="11" t="s">
        <v>121</v>
      </c>
      <c r="BG13" s="11" t="s">
        <v>121</v>
      </c>
      <c r="BH13" s="11" t="s">
        <v>121</v>
      </c>
      <c r="BI13" s="11" t="s">
        <v>121</v>
      </c>
      <c r="BJ13" s="11" t="s">
        <v>121</v>
      </c>
      <c r="BK13" s="11" t="s">
        <v>121</v>
      </c>
      <c r="BL13" s="11" t="s">
        <v>121</v>
      </c>
      <c r="BM13" s="1" t="s">
        <v>121</v>
      </c>
      <c r="BN13" s="1" t="s">
        <v>121</v>
      </c>
      <c r="BO13" s="1" t="s">
        <v>121</v>
      </c>
      <c r="BP13" s="1" t="s">
        <v>121</v>
      </c>
      <c r="BQ13" s="1" t="s">
        <v>121</v>
      </c>
      <c r="BR13" s="1" t="s">
        <v>121</v>
      </c>
      <c r="BS13" s="1" t="s">
        <v>121</v>
      </c>
      <c r="BT13" s="1" t="s">
        <v>121</v>
      </c>
      <c r="BU13" s="1" t="s">
        <v>121</v>
      </c>
      <c r="BV13" s="1" t="s">
        <v>121</v>
      </c>
      <c r="BW13" s="1" t="s">
        <v>121</v>
      </c>
      <c r="BX13" s="1" t="s">
        <v>121</v>
      </c>
      <c r="BY13" s="1" t="s">
        <v>121</v>
      </c>
      <c r="BZ13" s="1" t="s">
        <v>121</v>
      </c>
      <c r="CA13" s="1" t="s">
        <v>121</v>
      </c>
      <c r="CB13" s="1" t="s">
        <v>121</v>
      </c>
      <c r="CC13" s="1" t="s">
        <v>121</v>
      </c>
      <c r="CD13" s="1" t="s">
        <v>121</v>
      </c>
      <c r="CE13" s="1" t="s">
        <v>121</v>
      </c>
      <c r="CF13" s="1" t="s">
        <v>121</v>
      </c>
      <c r="CG13" s="1" t="s">
        <v>121</v>
      </c>
      <c r="CH13" s="1" t="s">
        <v>121</v>
      </c>
      <c r="CI13" s="1" t="s">
        <v>121</v>
      </c>
      <c r="CJ13" s="1" t="s">
        <v>121</v>
      </c>
      <c r="CK13" s="1" t="s">
        <v>121</v>
      </c>
      <c r="CL13" s="1" t="s">
        <v>121</v>
      </c>
      <c r="CM13" s="1" t="s">
        <v>121</v>
      </c>
      <c r="CN13" s="1" t="s">
        <v>121</v>
      </c>
      <c r="CO13" s="1" t="s">
        <v>121</v>
      </c>
      <c r="CP13" s="1" t="s">
        <v>121</v>
      </c>
      <c r="CQ13" s="1" t="s">
        <v>121</v>
      </c>
      <c r="CR13" s="1" t="s">
        <v>121</v>
      </c>
      <c r="CS13" s="1" t="s">
        <v>121</v>
      </c>
      <c r="CT13" s="1" t="s">
        <v>121</v>
      </c>
      <c r="CU13" s="1" t="s">
        <v>121</v>
      </c>
      <c r="CV13" s="1" t="s">
        <v>121</v>
      </c>
      <c r="CW13" s="1" t="s">
        <v>121</v>
      </c>
      <c r="CX13" s="1" t="s">
        <v>121</v>
      </c>
      <c r="CY13" s="1" t="s">
        <v>121</v>
      </c>
      <c r="CZ13" s="1" t="s">
        <v>121</v>
      </c>
      <c r="DA13" s="1" t="s">
        <v>121</v>
      </c>
      <c r="DB13" s="1" t="s">
        <v>121</v>
      </c>
      <c r="DC13" s="1" t="s">
        <v>121</v>
      </c>
      <c r="DD13" s="1" t="s">
        <v>121</v>
      </c>
      <c r="DE13" s="1" t="s">
        <v>121</v>
      </c>
      <c r="DF13" s="1" t="s">
        <v>121</v>
      </c>
      <c r="DG13" s="1" t="s">
        <v>121</v>
      </c>
      <c r="DH13" s="1" t="s">
        <v>121</v>
      </c>
      <c r="DI13" s="1" t="s">
        <v>121</v>
      </c>
      <c r="DJ13" s="1" t="s">
        <v>121</v>
      </c>
      <c r="DK13" s="1" t="s">
        <v>121</v>
      </c>
      <c r="DL13" s="1" t="s">
        <v>121</v>
      </c>
      <c r="DM13" s="1" t="s">
        <v>121</v>
      </c>
      <c r="DN13" s="1" t="s">
        <v>121</v>
      </c>
      <c r="DO13" s="1" t="s">
        <v>121</v>
      </c>
      <c r="DP13" s="1" t="s">
        <v>121</v>
      </c>
      <c r="DQ13" s="1" t="s">
        <v>121</v>
      </c>
      <c r="DR13" s="1" t="s">
        <v>121</v>
      </c>
      <c r="DS13" s="1" t="s">
        <v>121</v>
      </c>
      <c r="DT13" s="1" t="s">
        <v>121</v>
      </c>
      <c r="DU13" s="1" t="s">
        <v>121</v>
      </c>
      <c r="DV13" s="1" t="s">
        <v>121</v>
      </c>
      <c r="DW13" s="1" t="s">
        <v>121</v>
      </c>
      <c r="DX13" s="1" t="s">
        <v>121</v>
      </c>
      <c r="DY13" s="1" t="s">
        <v>121</v>
      </c>
      <c r="DZ13" s="1" t="s">
        <v>121</v>
      </c>
      <c r="EA13" s="1" t="s">
        <v>121</v>
      </c>
      <c r="EB13" s="1" t="s">
        <v>121</v>
      </c>
      <c r="EC13" s="1" t="s">
        <v>121</v>
      </c>
      <c r="ED13" s="1" t="s">
        <v>121</v>
      </c>
      <c r="EE13" s="1" t="s">
        <v>121</v>
      </c>
      <c r="EF13" s="1" t="s">
        <v>121</v>
      </c>
      <c r="EG13" s="1" t="s">
        <v>121</v>
      </c>
      <c r="EH13" s="1" t="s">
        <v>121</v>
      </c>
      <c r="EI13" s="1" t="s">
        <v>121</v>
      </c>
      <c r="EJ13" s="1" t="s">
        <v>121</v>
      </c>
      <c r="EK13" s="1" t="s">
        <v>121</v>
      </c>
      <c r="EL13" s="1" t="s">
        <v>121</v>
      </c>
      <c r="EM13" s="1" t="s">
        <v>121</v>
      </c>
      <c r="EN13" s="1" t="s">
        <v>121</v>
      </c>
      <c r="EO13" s="1" t="s">
        <v>121</v>
      </c>
      <c r="EP13" s="1" t="s">
        <v>121</v>
      </c>
      <c r="EQ13" s="1" t="s">
        <v>121</v>
      </c>
      <c r="ER13" s="1" t="s">
        <v>121</v>
      </c>
      <c r="ES13" s="1" t="s">
        <v>121</v>
      </c>
      <c r="ET13" s="1" t="s">
        <v>121</v>
      </c>
      <c r="EU13" s="1" t="s">
        <v>121</v>
      </c>
    </row>
    <row r="14" spans="1:153" ht="15" customHeight="1" x14ac:dyDescent="0.25">
      <c r="A14" s="72">
        <v>14</v>
      </c>
      <c r="B14" s="14" t="s">
        <v>372</v>
      </c>
      <c r="C14" s="91">
        <v>-7.5305654711993797E-2</v>
      </c>
      <c r="D14" s="86">
        <v>-0.12556260383627849</v>
      </c>
      <c r="E14" s="92">
        <v>0.27654672134762093</v>
      </c>
      <c r="F14" s="255">
        <v>115793</v>
      </c>
      <c r="G14" s="255">
        <v>125223</v>
      </c>
      <c r="H14" s="255">
        <v>123302</v>
      </c>
      <c r="I14" s="255">
        <v>90708</v>
      </c>
      <c r="J14" s="255">
        <v>132420</v>
      </c>
      <c r="K14" s="255">
        <v>139385</v>
      </c>
      <c r="L14" s="255">
        <v>129029</v>
      </c>
      <c r="M14" s="255">
        <v>123448</v>
      </c>
      <c r="N14" s="255">
        <v>145768</v>
      </c>
      <c r="O14" s="255">
        <v>149196</v>
      </c>
      <c r="P14" s="255">
        <v>167236</v>
      </c>
      <c r="Q14" s="255">
        <v>177365</v>
      </c>
      <c r="R14" s="405"/>
      <c r="S14" s="405"/>
      <c r="T14" s="405"/>
      <c r="U14" s="255">
        <v>100721</v>
      </c>
      <c r="V14" s="255">
        <v>126352.815</v>
      </c>
      <c r="W14" s="255">
        <v>127603.166</v>
      </c>
      <c r="X14" s="22">
        <v>127261.041</v>
      </c>
      <c r="Y14" s="22">
        <v>97030.951000000001</v>
      </c>
      <c r="Z14" s="22">
        <v>131141.26800000001</v>
      </c>
      <c r="AA14" s="22">
        <v>91617.26</v>
      </c>
      <c r="AB14" s="22">
        <v>89810.535000000003</v>
      </c>
      <c r="AC14" s="22">
        <v>72545.081999999995</v>
      </c>
      <c r="AD14" s="22">
        <v>90924.150999999998</v>
      </c>
      <c r="AE14" s="22">
        <v>73912.888999999996</v>
      </c>
      <c r="AF14" s="22">
        <v>72764.032999999996</v>
      </c>
      <c r="AG14" s="22">
        <v>61527.231</v>
      </c>
      <c r="AH14" s="22">
        <v>72264.08</v>
      </c>
      <c r="AI14" s="11">
        <v>64718.955999999998</v>
      </c>
      <c r="AJ14" s="22">
        <v>59377.396000000001</v>
      </c>
      <c r="AK14" s="125">
        <v>56902.163999999997</v>
      </c>
      <c r="AL14" s="125">
        <v>63563.353999999999</v>
      </c>
      <c r="AM14" s="125">
        <v>59490.43</v>
      </c>
      <c r="AN14" s="11">
        <v>63544.88</v>
      </c>
      <c r="AO14" s="11">
        <v>58527.163</v>
      </c>
      <c r="AP14" s="11">
        <v>63681.203999999998</v>
      </c>
      <c r="AQ14" s="11">
        <v>65364.298999999999</v>
      </c>
      <c r="AR14" s="11">
        <v>63488.341999999997</v>
      </c>
      <c r="AS14" s="11">
        <v>57858.300999999999</v>
      </c>
      <c r="AT14" s="11">
        <v>61170.622000000003</v>
      </c>
      <c r="AU14" s="11">
        <v>59647.292000000001</v>
      </c>
      <c r="AV14" s="11">
        <v>73891.664999999994</v>
      </c>
      <c r="AW14" s="11">
        <v>69137.524000000005</v>
      </c>
      <c r="AX14" s="11">
        <v>66845.172000000006</v>
      </c>
      <c r="AY14" s="11">
        <v>62201.724000000002</v>
      </c>
      <c r="AZ14" s="11">
        <v>68112.289000000004</v>
      </c>
      <c r="BA14" s="11">
        <v>54979.453000000001</v>
      </c>
      <c r="BB14" s="11">
        <v>60785.298000000003</v>
      </c>
      <c r="BC14" s="11">
        <v>52091.777999999998</v>
      </c>
      <c r="BD14" s="11">
        <v>50172.014000000003</v>
      </c>
      <c r="BE14" s="11">
        <v>51466.052000000003</v>
      </c>
      <c r="BF14" s="11">
        <v>48040.93</v>
      </c>
      <c r="BG14" s="11">
        <v>49325.173000000003</v>
      </c>
      <c r="BH14" s="11">
        <v>52728.923000000003</v>
      </c>
      <c r="BI14" s="11">
        <v>52355.915999999997</v>
      </c>
      <c r="BJ14" s="11">
        <v>51022.650999999998</v>
      </c>
      <c r="BK14" s="11">
        <v>45525.597000000002</v>
      </c>
      <c r="BL14" s="11">
        <v>41995.082000000002</v>
      </c>
      <c r="BM14" s="1">
        <v>43019.597000000002</v>
      </c>
      <c r="BN14" s="1">
        <v>37820.428999999996</v>
      </c>
      <c r="BO14" s="1">
        <v>39204.428</v>
      </c>
      <c r="BP14" s="1">
        <v>32695.195</v>
      </c>
      <c r="BQ14" s="1">
        <v>34111.267</v>
      </c>
      <c r="BR14" s="1" t="s">
        <v>121</v>
      </c>
      <c r="BS14" s="1" t="s">
        <v>121</v>
      </c>
      <c r="BT14" s="1" t="s">
        <v>121</v>
      </c>
      <c r="BU14" s="1" t="s">
        <v>121</v>
      </c>
      <c r="BV14" s="1" t="s">
        <v>121</v>
      </c>
      <c r="BW14" s="1" t="s">
        <v>121</v>
      </c>
      <c r="BX14" s="1" t="s">
        <v>121</v>
      </c>
      <c r="BY14" s="1" t="s">
        <v>121</v>
      </c>
      <c r="BZ14" s="1" t="s">
        <v>121</v>
      </c>
      <c r="CA14" s="1" t="s">
        <v>121</v>
      </c>
      <c r="CB14" s="1" t="s">
        <v>121</v>
      </c>
      <c r="CC14" s="1" t="s">
        <v>121</v>
      </c>
      <c r="CD14" s="1" t="s">
        <v>121</v>
      </c>
      <c r="CE14" s="1" t="s">
        <v>121</v>
      </c>
      <c r="CF14" s="1" t="s">
        <v>121</v>
      </c>
      <c r="CG14" s="1" t="s">
        <v>121</v>
      </c>
      <c r="CH14" s="1" t="s">
        <v>121</v>
      </c>
      <c r="CI14" s="1" t="s">
        <v>121</v>
      </c>
      <c r="CJ14" s="1" t="s">
        <v>121</v>
      </c>
      <c r="CK14" s="1" t="s">
        <v>121</v>
      </c>
      <c r="CL14" s="1" t="s">
        <v>121</v>
      </c>
      <c r="CM14" s="1" t="s">
        <v>121</v>
      </c>
      <c r="CN14" s="1" t="s">
        <v>121</v>
      </c>
      <c r="CO14" s="1" t="s">
        <v>121</v>
      </c>
      <c r="CP14" s="1" t="s">
        <v>121</v>
      </c>
      <c r="CQ14" s="1" t="s">
        <v>121</v>
      </c>
      <c r="CR14" s="1" t="s">
        <v>121</v>
      </c>
      <c r="CS14" s="1" t="s">
        <v>121</v>
      </c>
      <c r="CT14" s="1" t="s">
        <v>121</v>
      </c>
      <c r="CU14" s="1" t="s">
        <v>121</v>
      </c>
      <c r="CV14" s="1" t="s">
        <v>121</v>
      </c>
      <c r="CW14" s="1" t="s">
        <v>121</v>
      </c>
      <c r="CX14" s="1" t="s">
        <v>121</v>
      </c>
      <c r="CY14" s="1" t="s">
        <v>121</v>
      </c>
      <c r="CZ14" s="1" t="s">
        <v>121</v>
      </c>
      <c r="DA14" s="1" t="s">
        <v>121</v>
      </c>
      <c r="DB14" s="1" t="s">
        <v>121</v>
      </c>
      <c r="DC14" s="1" t="s">
        <v>121</v>
      </c>
      <c r="DD14" s="1" t="s">
        <v>121</v>
      </c>
      <c r="DE14" s="1" t="s">
        <v>121</v>
      </c>
      <c r="DF14" s="1" t="s">
        <v>121</v>
      </c>
      <c r="DG14" s="1" t="s">
        <v>121</v>
      </c>
      <c r="DH14" s="1" t="s">
        <v>121</v>
      </c>
      <c r="DI14" s="1" t="s">
        <v>121</v>
      </c>
      <c r="DJ14" s="1" t="s">
        <v>121</v>
      </c>
      <c r="DK14" s="1" t="s">
        <v>121</v>
      </c>
      <c r="DL14" s="1" t="s">
        <v>121</v>
      </c>
      <c r="DM14" s="1" t="s">
        <v>121</v>
      </c>
      <c r="DN14" s="1" t="s">
        <v>121</v>
      </c>
      <c r="DO14" s="1" t="s">
        <v>121</v>
      </c>
      <c r="DP14" s="1" t="s">
        <v>121</v>
      </c>
      <c r="DQ14" s="1" t="s">
        <v>121</v>
      </c>
      <c r="DR14" s="1" t="s">
        <v>121</v>
      </c>
      <c r="DS14" s="1" t="s">
        <v>121</v>
      </c>
      <c r="DT14" s="1" t="s">
        <v>121</v>
      </c>
      <c r="DU14" s="1" t="s">
        <v>121</v>
      </c>
      <c r="DV14" s="1" t="s">
        <v>121</v>
      </c>
      <c r="DW14" s="1" t="s">
        <v>121</v>
      </c>
      <c r="DX14" s="1" t="s">
        <v>121</v>
      </c>
      <c r="DY14" s="1" t="s">
        <v>121</v>
      </c>
      <c r="DZ14" s="1" t="s">
        <v>121</v>
      </c>
      <c r="EA14" s="1" t="s">
        <v>121</v>
      </c>
      <c r="EB14" s="1" t="s">
        <v>121</v>
      </c>
      <c r="EC14" s="1" t="s">
        <v>121</v>
      </c>
      <c r="ED14" s="1" t="s">
        <v>121</v>
      </c>
      <c r="EE14" s="1" t="s">
        <v>121</v>
      </c>
      <c r="EF14" s="1" t="s">
        <v>121</v>
      </c>
      <c r="EG14" s="1" t="s">
        <v>121</v>
      </c>
      <c r="EH14" s="1" t="s">
        <v>121</v>
      </c>
      <c r="EI14" s="1" t="s">
        <v>121</v>
      </c>
      <c r="EJ14" s="1" t="s">
        <v>121</v>
      </c>
      <c r="EK14" s="1" t="s">
        <v>121</v>
      </c>
      <c r="EL14" s="1" t="s">
        <v>121</v>
      </c>
      <c r="EM14" s="1" t="s">
        <v>121</v>
      </c>
      <c r="EN14" s="1" t="s">
        <v>121</v>
      </c>
      <c r="EO14" s="1" t="s">
        <v>121</v>
      </c>
      <c r="EP14" s="1" t="s">
        <v>121</v>
      </c>
      <c r="EQ14" s="1" t="s">
        <v>121</v>
      </c>
      <c r="ER14" s="1" t="s">
        <v>121</v>
      </c>
      <c r="ES14" s="1" t="s">
        <v>121</v>
      </c>
      <c r="ET14" s="1" t="s">
        <v>121</v>
      </c>
      <c r="EU14" s="1" t="s">
        <v>121</v>
      </c>
    </row>
    <row r="15" spans="1:153" ht="15" customHeight="1" x14ac:dyDescent="0.25">
      <c r="A15" s="72">
        <v>15</v>
      </c>
      <c r="B15" s="14" t="s">
        <v>373</v>
      </c>
      <c r="C15" s="150">
        <v>0.7283915648146837</v>
      </c>
      <c r="D15" s="86">
        <v>1.3362750540804411</v>
      </c>
      <c r="E15" s="92">
        <v>0.45766396330757386</v>
      </c>
      <c r="F15" s="255">
        <v>244080</v>
      </c>
      <c r="G15" s="255">
        <v>141218</v>
      </c>
      <c r="H15" s="255">
        <v>135939</v>
      </c>
      <c r="I15" s="255">
        <v>167446</v>
      </c>
      <c r="J15" s="255">
        <v>104474</v>
      </c>
      <c r="K15" s="255">
        <v>116616</v>
      </c>
      <c r="L15" s="255">
        <v>114271</v>
      </c>
      <c r="M15" s="255">
        <v>127410</v>
      </c>
      <c r="N15" s="255">
        <v>95423</v>
      </c>
      <c r="O15" s="255">
        <v>82882</v>
      </c>
      <c r="P15" s="255">
        <v>85457</v>
      </c>
      <c r="Q15" s="255">
        <v>135608</v>
      </c>
      <c r="R15" s="405"/>
      <c r="S15" s="405"/>
      <c r="T15" s="405"/>
      <c r="U15" s="255">
        <v>103489</v>
      </c>
      <c r="V15" s="255">
        <v>76935.808999999994</v>
      </c>
      <c r="W15" s="255">
        <v>87553.476999999999</v>
      </c>
      <c r="X15" s="22">
        <v>86644.31</v>
      </c>
      <c r="Y15" s="22">
        <v>97861.247000000003</v>
      </c>
      <c r="Z15" s="22">
        <v>68654.418000000005</v>
      </c>
      <c r="AA15" s="22">
        <v>81626.240999999995</v>
      </c>
      <c r="AB15" s="22">
        <v>72322.62</v>
      </c>
      <c r="AC15" s="22">
        <v>88798.834000000003</v>
      </c>
      <c r="AD15" s="22">
        <v>68208.578999999998</v>
      </c>
      <c r="AE15" s="22">
        <v>70930.660999999993</v>
      </c>
      <c r="AF15" s="22">
        <v>68900.013000000006</v>
      </c>
      <c r="AG15" s="22">
        <v>86818.615000000005</v>
      </c>
      <c r="AH15" s="22">
        <v>61869.491000000002</v>
      </c>
      <c r="AI15" s="11">
        <v>67200.016000000003</v>
      </c>
      <c r="AJ15" s="22">
        <v>73843.955000000002</v>
      </c>
      <c r="AK15" s="125">
        <v>90482.623000000007</v>
      </c>
      <c r="AL15" s="125">
        <v>69642.671000000002</v>
      </c>
      <c r="AM15" s="125">
        <v>57558.194000000003</v>
      </c>
      <c r="AN15" s="11">
        <v>67078.171000000002</v>
      </c>
      <c r="AO15" s="11">
        <v>87481.282999999996</v>
      </c>
      <c r="AP15" s="11">
        <v>63660.47</v>
      </c>
      <c r="AQ15" s="11">
        <v>74578.91</v>
      </c>
      <c r="AR15" s="11">
        <v>65780.184999999998</v>
      </c>
      <c r="AS15" s="11">
        <v>79487.385999999999</v>
      </c>
      <c r="AT15" s="11">
        <v>72959.388000000006</v>
      </c>
      <c r="AU15" s="11">
        <v>73759.767999999996</v>
      </c>
      <c r="AV15" s="11">
        <v>72432.993000000002</v>
      </c>
      <c r="AW15" s="11">
        <v>82499.771999999997</v>
      </c>
      <c r="AX15" s="11">
        <v>61178.837</v>
      </c>
      <c r="AY15" s="11">
        <v>59665.809000000001</v>
      </c>
      <c r="AZ15" s="11">
        <v>61102.764999999999</v>
      </c>
      <c r="BA15" s="11">
        <v>71936.160000000003</v>
      </c>
      <c r="BB15" s="11">
        <v>64501.858999999997</v>
      </c>
      <c r="BC15" s="11">
        <v>66611.452999999994</v>
      </c>
      <c r="BD15" s="11">
        <v>72472.758000000002</v>
      </c>
      <c r="BE15" s="11">
        <v>68966.816999999995</v>
      </c>
      <c r="BF15" s="11">
        <v>65992.775999999998</v>
      </c>
      <c r="BG15" s="11">
        <v>65510.86</v>
      </c>
      <c r="BH15" s="11">
        <v>68407.464000000007</v>
      </c>
      <c r="BI15" s="11">
        <v>81179.316999999995</v>
      </c>
      <c r="BJ15" s="11">
        <v>65020.305999999997</v>
      </c>
      <c r="BK15" s="11">
        <v>68164.565000000002</v>
      </c>
      <c r="BL15" s="11">
        <v>62352.402000000002</v>
      </c>
      <c r="BM15" s="1">
        <v>74237.327999999994</v>
      </c>
      <c r="BN15" s="1">
        <v>57063.029000000002</v>
      </c>
      <c r="BO15" s="1">
        <v>53517.569000000003</v>
      </c>
      <c r="BP15" s="1">
        <v>65782.684999999998</v>
      </c>
      <c r="BQ15" s="1">
        <v>75896.998000000007</v>
      </c>
      <c r="BR15" s="1" t="s">
        <v>121</v>
      </c>
      <c r="BS15" s="1" t="s">
        <v>121</v>
      </c>
      <c r="BT15" s="1" t="s">
        <v>121</v>
      </c>
      <c r="BU15" s="1" t="s">
        <v>121</v>
      </c>
      <c r="BV15" s="1" t="s">
        <v>121</v>
      </c>
      <c r="BW15" s="1" t="s">
        <v>121</v>
      </c>
      <c r="BX15" s="1" t="s">
        <v>121</v>
      </c>
      <c r="BY15" s="1" t="s">
        <v>121</v>
      </c>
      <c r="BZ15" s="1" t="s">
        <v>121</v>
      </c>
      <c r="CA15" s="1" t="s">
        <v>121</v>
      </c>
      <c r="CB15" s="1" t="s">
        <v>121</v>
      </c>
      <c r="CC15" s="1" t="s">
        <v>121</v>
      </c>
      <c r="CD15" s="1" t="s">
        <v>121</v>
      </c>
      <c r="CE15" s="1" t="s">
        <v>121</v>
      </c>
      <c r="CF15" s="1" t="s">
        <v>121</v>
      </c>
      <c r="CG15" s="1" t="s">
        <v>121</v>
      </c>
      <c r="CH15" s="1" t="s">
        <v>121</v>
      </c>
      <c r="CI15" s="1" t="s">
        <v>121</v>
      </c>
      <c r="CJ15" s="1" t="s">
        <v>121</v>
      </c>
      <c r="CK15" s="1" t="s">
        <v>121</v>
      </c>
      <c r="CL15" s="1" t="s">
        <v>121</v>
      </c>
      <c r="CM15" s="1" t="s">
        <v>121</v>
      </c>
      <c r="CN15" s="1" t="s">
        <v>121</v>
      </c>
      <c r="CO15" s="1" t="s">
        <v>121</v>
      </c>
      <c r="CP15" s="1" t="s">
        <v>121</v>
      </c>
      <c r="CQ15" s="1" t="s">
        <v>121</v>
      </c>
      <c r="CR15" s="1" t="s">
        <v>121</v>
      </c>
      <c r="CS15" s="1" t="s">
        <v>121</v>
      </c>
      <c r="CT15" s="1" t="s">
        <v>121</v>
      </c>
      <c r="CU15" s="1" t="s">
        <v>121</v>
      </c>
      <c r="CV15" s="1" t="s">
        <v>121</v>
      </c>
      <c r="CW15" s="1" t="s">
        <v>121</v>
      </c>
      <c r="CX15" s="1" t="s">
        <v>121</v>
      </c>
      <c r="CY15" s="1" t="s">
        <v>121</v>
      </c>
      <c r="CZ15" s="1" t="s">
        <v>121</v>
      </c>
      <c r="DA15" s="1" t="s">
        <v>121</v>
      </c>
      <c r="DB15" s="1" t="s">
        <v>121</v>
      </c>
      <c r="DC15" s="1" t="s">
        <v>121</v>
      </c>
      <c r="DD15" s="1" t="s">
        <v>121</v>
      </c>
      <c r="DE15" s="1" t="s">
        <v>121</v>
      </c>
      <c r="DF15" s="1" t="s">
        <v>121</v>
      </c>
      <c r="DG15" s="1" t="s">
        <v>121</v>
      </c>
      <c r="DH15" s="1" t="s">
        <v>121</v>
      </c>
      <c r="DI15" s="1" t="s">
        <v>121</v>
      </c>
      <c r="DJ15" s="1" t="s">
        <v>121</v>
      </c>
      <c r="DK15" s="1" t="s">
        <v>121</v>
      </c>
      <c r="DL15" s="1" t="s">
        <v>121</v>
      </c>
      <c r="DM15" s="1" t="s">
        <v>121</v>
      </c>
      <c r="DN15" s="1" t="s">
        <v>121</v>
      </c>
      <c r="DO15" s="1" t="s">
        <v>121</v>
      </c>
      <c r="DP15" s="1" t="s">
        <v>121</v>
      </c>
      <c r="DQ15" s="1" t="s">
        <v>121</v>
      </c>
      <c r="DR15" s="1" t="s">
        <v>121</v>
      </c>
      <c r="DS15" s="1" t="s">
        <v>121</v>
      </c>
      <c r="DT15" s="1" t="s">
        <v>121</v>
      </c>
      <c r="DU15" s="1" t="s">
        <v>121</v>
      </c>
      <c r="DV15" s="1" t="s">
        <v>121</v>
      </c>
      <c r="DW15" s="1" t="s">
        <v>121</v>
      </c>
      <c r="DX15" s="1" t="s">
        <v>121</v>
      </c>
      <c r="DY15" s="1" t="s">
        <v>121</v>
      </c>
      <c r="DZ15" s="1" t="s">
        <v>121</v>
      </c>
      <c r="EA15" s="1" t="s">
        <v>121</v>
      </c>
      <c r="EB15" s="1" t="s">
        <v>121</v>
      </c>
      <c r="EC15" s="1" t="s">
        <v>121</v>
      </c>
      <c r="ED15" s="1" t="s">
        <v>121</v>
      </c>
      <c r="EE15" s="1" t="s">
        <v>121</v>
      </c>
      <c r="EF15" s="1" t="s">
        <v>121</v>
      </c>
      <c r="EG15" s="1" t="s">
        <v>121</v>
      </c>
      <c r="EH15" s="1" t="s">
        <v>121</v>
      </c>
      <c r="EI15" s="1" t="s">
        <v>121</v>
      </c>
      <c r="EJ15" s="1" t="s">
        <v>121</v>
      </c>
      <c r="EK15" s="1" t="s">
        <v>121</v>
      </c>
      <c r="EL15" s="1" t="s">
        <v>121</v>
      </c>
      <c r="EM15" s="1" t="s">
        <v>121</v>
      </c>
      <c r="EN15" s="1" t="s">
        <v>121</v>
      </c>
      <c r="EO15" s="1" t="s">
        <v>121</v>
      </c>
      <c r="EP15" s="1" t="s">
        <v>121</v>
      </c>
      <c r="EQ15" s="1" t="s">
        <v>121</v>
      </c>
      <c r="ER15" s="1" t="s">
        <v>121</v>
      </c>
      <c r="ES15" s="1" t="s">
        <v>121</v>
      </c>
      <c r="ET15" s="1" t="s">
        <v>121</v>
      </c>
      <c r="EU15" s="1" t="s">
        <v>121</v>
      </c>
    </row>
    <row r="16" spans="1:153" ht="15" customHeight="1" x14ac:dyDescent="0.25">
      <c r="A16" s="72">
        <v>16</v>
      </c>
      <c r="B16" s="14" t="s">
        <v>375</v>
      </c>
      <c r="C16" s="150" t="s">
        <v>121</v>
      </c>
      <c r="D16" s="86" t="s">
        <v>121</v>
      </c>
      <c r="E16" s="92" t="s">
        <v>121</v>
      </c>
      <c r="F16" s="255" t="s">
        <v>121</v>
      </c>
      <c r="G16" s="255" t="s">
        <v>121</v>
      </c>
      <c r="H16" s="255" t="s">
        <v>121</v>
      </c>
      <c r="I16" s="255" t="s">
        <v>121</v>
      </c>
      <c r="J16" s="255" t="s">
        <v>121</v>
      </c>
      <c r="K16" s="255" t="s">
        <v>121</v>
      </c>
      <c r="L16" s="255" t="s">
        <v>121</v>
      </c>
      <c r="M16" s="255" t="s">
        <v>121</v>
      </c>
      <c r="N16" s="255" t="s">
        <v>121</v>
      </c>
      <c r="O16" s="255" t="s">
        <v>121</v>
      </c>
      <c r="P16" s="255" t="s">
        <v>121</v>
      </c>
      <c r="Q16" s="255" t="s">
        <v>121</v>
      </c>
      <c r="R16" s="405"/>
      <c r="S16" s="405"/>
      <c r="T16" s="405"/>
      <c r="U16" s="255" t="s">
        <v>121</v>
      </c>
      <c r="V16" s="255" t="s">
        <v>121</v>
      </c>
      <c r="W16" s="255" t="s">
        <v>121</v>
      </c>
      <c r="X16" s="22">
        <v>201.15299999999999</v>
      </c>
      <c r="Y16" s="22" t="s">
        <v>121</v>
      </c>
      <c r="Z16" s="22">
        <v>10.108000000000001</v>
      </c>
      <c r="AA16" s="22" t="s">
        <v>121</v>
      </c>
      <c r="AB16" s="22" t="s">
        <v>121</v>
      </c>
      <c r="AC16" s="22" t="s">
        <v>121</v>
      </c>
      <c r="AD16" s="22" t="s">
        <v>121</v>
      </c>
      <c r="AE16" s="22" t="s">
        <v>121</v>
      </c>
      <c r="AF16" s="22">
        <v>10544.603999999999</v>
      </c>
      <c r="AG16" s="22">
        <v>9345.9689999999991</v>
      </c>
      <c r="AH16" s="22">
        <v>13194.06</v>
      </c>
      <c r="AI16" s="11" t="s">
        <v>121</v>
      </c>
      <c r="AJ16" s="22" t="s">
        <v>121</v>
      </c>
      <c r="AK16" s="125" t="s">
        <v>121</v>
      </c>
      <c r="AL16" s="125" t="s">
        <v>121</v>
      </c>
      <c r="AM16" s="125">
        <v>9.8610000000000007</v>
      </c>
      <c r="AN16" s="11">
        <v>2101.5970000000002</v>
      </c>
      <c r="AO16" s="11">
        <v>16508.702000000001</v>
      </c>
      <c r="AP16" s="11" t="s">
        <v>121</v>
      </c>
      <c r="AQ16" s="11" t="s">
        <v>121</v>
      </c>
      <c r="AR16" s="11" t="s">
        <v>121</v>
      </c>
      <c r="AS16" s="11">
        <v>51.790999999999997</v>
      </c>
      <c r="AT16" s="11" t="s">
        <v>121</v>
      </c>
      <c r="AU16" s="11">
        <v>21.623999999999999</v>
      </c>
      <c r="AV16" s="11">
        <v>132.86099999999999</v>
      </c>
      <c r="AW16" s="11" t="s">
        <v>121</v>
      </c>
      <c r="AX16" s="11">
        <v>444.46899999999999</v>
      </c>
      <c r="AY16" s="11">
        <v>421.12299999999999</v>
      </c>
      <c r="AZ16" s="11">
        <v>869.53</v>
      </c>
      <c r="BA16" s="11">
        <v>1.8839999999999999</v>
      </c>
      <c r="BB16" s="11">
        <v>1783.4880000000001</v>
      </c>
      <c r="BC16" s="11">
        <v>144.91499999999999</v>
      </c>
      <c r="BD16" s="11" t="s">
        <v>121</v>
      </c>
      <c r="BE16" s="11">
        <v>308.25900000000001</v>
      </c>
      <c r="BF16" s="11">
        <v>8.9999999999999993E-3</v>
      </c>
      <c r="BG16" s="11">
        <v>51.704000000000001</v>
      </c>
      <c r="BH16" s="11">
        <v>924.16700000000003</v>
      </c>
      <c r="BI16" s="11">
        <v>8.4990000000000006</v>
      </c>
      <c r="BJ16" s="11">
        <v>1212.0930000000001</v>
      </c>
      <c r="BK16" s="11">
        <v>1324.855</v>
      </c>
      <c r="BL16" s="11">
        <v>1103.146</v>
      </c>
      <c r="BM16" s="1">
        <v>426.73500000000001</v>
      </c>
      <c r="BN16" s="1">
        <v>2480.3580000000002</v>
      </c>
      <c r="BO16" s="1">
        <v>2893.7429999999999</v>
      </c>
      <c r="BP16" s="1">
        <v>1046.932</v>
      </c>
      <c r="BQ16" s="1">
        <v>1104.665</v>
      </c>
      <c r="BR16" s="1" t="s">
        <v>121</v>
      </c>
      <c r="BS16" s="1" t="s">
        <v>121</v>
      </c>
      <c r="BT16" s="1" t="s">
        <v>121</v>
      </c>
      <c r="BU16" s="1" t="s">
        <v>121</v>
      </c>
      <c r="BV16" s="1" t="s">
        <v>121</v>
      </c>
      <c r="BW16" s="1" t="s">
        <v>121</v>
      </c>
      <c r="BX16" s="1" t="s">
        <v>121</v>
      </c>
      <c r="BY16" s="1" t="s">
        <v>121</v>
      </c>
      <c r="BZ16" s="1" t="s">
        <v>121</v>
      </c>
      <c r="CA16" s="1" t="s">
        <v>121</v>
      </c>
      <c r="CB16" s="1" t="s">
        <v>121</v>
      </c>
      <c r="CC16" s="1" t="s">
        <v>121</v>
      </c>
      <c r="CD16" s="1" t="s">
        <v>121</v>
      </c>
      <c r="CE16" s="1" t="s">
        <v>121</v>
      </c>
      <c r="CF16" s="1" t="s">
        <v>121</v>
      </c>
      <c r="CG16" s="1" t="s">
        <v>121</v>
      </c>
      <c r="CH16" s="1" t="s">
        <v>121</v>
      </c>
      <c r="CI16" s="1" t="s">
        <v>121</v>
      </c>
      <c r="CJ16" s="1" t="s">
        <v>121</v>
      </c>
      <c r="CK16" s="1" t="s">
        <v>121</v>
      </c>
      <c r="CL16" s="1" t="s">
        <v>121</v>
      </c>
      <c r="CM16" s="1" t="s">
        <v>121</v>
      </c>
      <c r="CN16" s="1" t="s">
        <v>121</v>
      </c>
      <c r="CO16" s="1" t="s">
        <v>121</v>
      </c>
      <c r="CP16" s="1" t="s">
        <v>121</v>
      </c>
      <c r="CQ16" s="1" t="s">
        <v>121</v>
      </c>
      <c r="CR16" s="1" t="s">
        <v>121</v>
      </c>
      <c r="CS16" s="1" t="s">
        <v>121</v>
      </c>
      <c r="CT16" s="1" t="s">
        <v>121</v>
      </c>
      <c r="CU16" s="1" t="s">
        <v>121</v>
      </c>
      <c r="CV16" s="1" t="s">
        <v>121</v>
      </c>
      <c r="CW16" s="1" t="s">
        <v>121</v>
      </c>
      <c r="CX16" s="1" t="s">
        <v>121</v>
      </c>
      <c r="CY16" s="1" t="s">
        <v>121</v>
      </c>
      <c r="CZ16" s="1" t="s">
        <v>121</v>
      </c>
      <c r="DA16" s="1" t="s">
        <v>121</v>
      </c>
      <c r="DB16" s="1" t="s">
        <v>121</v>
      </c>
      <c r="DC16" s="1" t="s">
        <v>121</v>
      </c>
      <c r="DD16" s="1" t="s">
        <v>121</v>
      </c>
      <c r="DE16" s="1" t="s">
        <v>121</v>
      </c>
      <c r="DF16" s="1" t="s">
        <v>121</v>
      </c>
      <c r="DG16" s="1" t="s">
        <v>121</v>
      </c>
      <c r="DH16" s="1" t="s">
        <v>121</v>
      </c>
      <c r="DI16" s="1" t="s">
        <v>121</v>
      </c>
      <c r="DJ16" s="1" t="s">
        <v>121</v>
      </c>
      <c r="DK16" s="1" t="s">
        <v>121</v>
      </c>
      <c r="DL16" s="1" t="s">
        <v>121</v>
      </c>
      <c r="DM16" s="1" t="s">
        <v>121</v>
      </c>
      <c r="DN16" s="1" t="s">
        <v>121</v>
      </c>
      <c r="DO16" s="1" t="s">
        <v>121</v>
      </c>
      <c r="DP16" s="1" t="s">
        <v>121</v>
      </c>
      <c r="DQ16" s="1" t="s">
        <v>121</v>
      </c>
      <c r="DR16" s="1" t="s">
        <v>121</v>
      </c>
      <c r="DS16" s="1" t="s">
        <v>121</v>
      </c>
      <c r="DT16" s="1" t="s">
        <v>121</v>
      </c>
      <c r="DU16" s="1" t="s">
        <v>121</v>
      </c>
      <c r="DV16" s="1" t="s">
        <v>121</v>
      </c>
      <c r="DW16" s="1" t="s">
        <v>121</v>
      </c>
      <c r="DX16" s="1" t="s">
        <v>121</v>
      </c>
      <c r="DY16" s="1" t="s">
        <v>121</v>
      </c>
      <c r="DZ16" s="1" t="s">
        <v>121</v>
      </c>
      <c r="EA16" s="1" t="s">
        <v>121</v>
      </c>
      <c r="EB16" s="1" t="s">
        <v>121</v>
      </c>
      <c r="EC16" s="1" t="s">
        <v>121</v>
      </c>
      <c r="ED16" s="1" t="s">
        <v>121</v>
      </c>
      <c r="EE16" s="1" t="s">
        <v>121</v>
      </c>
      <c r="EF16" s="1" t="s">
        <v>121</v>
      </c>
      <c r="EG16" s="1" t="s">
        <v>121</v>
      </c>
      <c r="EH16" s="1" t="s">
        <v>121</v>
      </c>
      <c r="EI16" s="1" t="s">
        <v>121</v>
      </c>
      <c r="EJ16" s="1" t="s">
        <v>121</v>
      </c>
      <c r="EK16" s="1" t="s">
        <v>121</v>
      </c>
      <c r="EL16" s="1" t="s">
        <v>121</v>
      </c>
      <c r="EM16" s="1" t="s">
        <v>121</v>
      </c>
      <c r="EN16" s="1" t="s">
        <v>121</v>
      </c>
      <c r="EO16" s="1" t="s">
        <v>121</v>
      </c>
      <c r="EP16" s="1" t="s">
        <v>121</v>
      </c>
      <c r="EQ16" s="1" t="s">
        <v>121</v>
      </c>
      <c r="ER16" s="1" t="s">
        <v>121</v>
      </c>
      <c r="ES16" s="1" t="s">
        <v>121</v>
      </c>
      <c r="ET16" s="1" t="s">
        <v>121</v>
      </c>
      <c r="EU16" s="1" t="s">
        <v>121</v>
      </c>
    </row>
    <row r="17" spans="1:151" ht="15" customHeight="1" x14ac:dyDescent="0.25">
      <c r="A17" s="72">
        <v>17</v>
      </c>
      <c r="B17" s="17" t="s">
        <v>6</v>
      </c>
      <c r="C17" s="150" t="s">
        <v>121</v>
      </c>
      <c r="D17" s="86" t="s">
        <v>121</v>
      </c>
      <c r="E17" s="92" t="s">
        <v>121</v>
      </c>
      <c r="F17" s="255" t="s">
        <v>121</v>
      </c>
      <c r="G17" s="255" t="s">
        <v>121</v>
      </c>
      <c r="H17" s="255" t="s">
        <v>121</v>
      </c>
      <c r="I17" s="255" t="s">
        <v>121</v>
      </c>
      <c r="J17" s="255" t="s">
        <v>121</v>
      </c>
      <c r="K17" s="255" t="s">
        <v>121</v>
      </c>
      <c r="L17" s="255" t="s">
        <v>121</v>
      </c>
      <c r="M17" s="255" t="s">
        <v>121</v>
      </c>
      <c r="N17" s="255" t="s">
        <v>121</v>
      </c>
      <c r="O17" s="255" t="s">
        <v>121</v>
      </c>
      <c r="P17" s="255" t="s">
        <v>121</v>
      </c>
      <c r="Q17" s="255" t="s">
        <v>121</v>
      </c>
      <c r="R17" s="405"/>
      <c r="S17" s="405"/>
      <c r="T17" s="405"/>
      <c r="U17" s="255" t="s">
        <v>121</v>
      </c>
      <c r="V17" s="255" t="s">
        <v>121</v>
      </c>
      <c r="W17" s="255" t="s">
        <v>121</v>
      </c>
      <c r="X17" s="22" t="s">
        <v>121</v>
      </c>
      <c r="Y17" s="22" t="s">
        <v>121</v>
      </c>
      <c r="Z17" s="22" t="s">
        <v>121</v>
      </c>
      <c r="AA17" s="22" t="s">
        <v>121</v>
      </c>
      <c r="AB17" s="22" t="s">
        <v>121</v>
      </c>
      <c r="AC17" s="22" t="s">
        <v>121</v>
      </c>
      <c r="AD17" s="22" t="s">
        <v>121</v>
      </c>
      <c r="AE17" s="22" t="s">
        <v>121</v>
      </c>
      <c r="AF17" s="22" t="s">
        <v>121</v>
      </c>
      <c r="AG17" s="22" t="s">
        <v>121</v>
      </c>
      <c r="AH17" s="22" t="s">
        <v>121</v>
      </c>
      <c r="AI17" s="11" t="s">
        <v>121</v>
      </c>
      <c r="AJ17" s="22" t="s">
        <v>121</v>
      </c>
      <c r="AK17" s="125" t="s">
        <v>121</v>
      </c>
      <c r="AL17" s="125" t="s">
        <v>121</v>
      </c>
      <c r="AM17" s="125" t="s">
        <v>121</v>
      </c>
      <c r="AN17" s="11" t="s">
        <v>121</v>
      </c>
      <c r="AO17" s="11" t="s">
        <v>121</v>
      </c>
      <c r="AP17" s="11" t="s">
        <v>121</v>
      </c>
      <c r="AQ17" s="11" t="s">
        <v>121</v>
      </c>
      <c r="AR17" s="11" t="s">
        <v>121</v>
      </c>
      <c r="AS17" s="11" t="s">
        <v>121</v>
      </c>
      <c r="AT17" s="11" t="s">
        <v>121</v>
      </c>
      <c r="AU17" s="11" t="s">
        <v>121</v>
      </c>
      <c r="AV17" s="11" t="s">
        <v>121</v>
      </c>
      <c r="AW17" s="11" t="s">
        <v>121</v>
      </c>
      <c r="AX17" s="11" t="s">
        <v>121</v>
      </c>
      <c r="AY17" s="11" t="s">
        <v>121</v>
      </c>
      <c r="AZ17" s="11" t="s">
        <v>121</v>
      </c>
      <c r="BA17" s="11" t="s">
        <v>121</v>
      </c>
      <c r="BB17" s="11" t="s">
        <v>121</v>
      </c>
      <c r="BC17" s="11" t="s">
        <v>121</v>
      </c>
      <c r="BD17" s="11" t="s">
        <v>121</v>
      </c>
      <c r="BE17" s="11" t="s">
        <v>121</v>
      </c>
      <c r="BF17" s="11" t="s">
        <v>121</v>
      </c>
      <c r="BG17" s="11" t="s">
        <v>121</v>
      </c>
      <c r="BH17" s="11" t="s">
        <v>121</v>
      </c>
      <c r="BI17" s="11" t="s">
        <v>121</v>
      </c>
      <c r="BJ17" s="11" t="s">
        <v>121</v>
      </c>
      <c r="BK17" s="11" t="s">
        <v>121</v>
      </c>
      <c r="BL17" s="11" t="s">
        <v>121</v>
      </c>
      <c r="BM17" s="1" t="s">
        <v>121</v>
      </c>
      <c r="BN17" s="1" t="s">
        <v>121</v>
      </c>
      <c r="BO17" s="1" t="s">
        <v>121</v>
      </c>
      <c r="BP17" s="1" t="s">
        <v>121</v>
      </c>
      <c r="BQ17" s="1" t="s">
        <v>121</v>
      </c>
      <c r="BR17" s="1" t="s">
        <v>121</v>
      </c>
      <c r="BS17" s="1" t="s">
        <v>121</v>
      </c>
      <c r="BT17" s="1" t="s">
        <v>121</v>
      </c>
      <c r="BU17" s="1" t="s">
        <v>121</v>
      </c>
      <c r="BV17" s="1" t="s">
        <v>121</v>
      </c>
      <c r="BW17" s="1" t="s">
        <v>121</v>
      </c>
      <c r="BX17" s="1" t="s">
        <v>121</v>
      </c>
      <c r="BY17" s="1" t="s">
        <v>121</v>
      </c>
      <c r="BZ17" s="1" t="s">
        <v>121</v>
      </c>
      <c r="CA17" s="1" t="s">
        <v>121</v>
      </c>
      <c r="CB17" s="1" t="s">
        <v>121</v>
      </c>
      <c r="CC17" s="1" t="s">
        <v>121</v>
      </c>
      <c r="CD17" s="1" t="s">
        <v>121</v>
      </c>
      <c r="CE17" s="1" t="s">
        <v>121</v>
      </c>
      <c r="CF17" s="1" t="s">
        <v>121</v>
      </c>
      <c r="CG17" s="1" t="s">
        <v>121</v>
      </c>
      <c r="CH17" s="1" t="s">
        <v>121</v>
      </c>
      <c r="CI17" s="1" t="s">
        <v>121</v>
      </c>
      <c r="CJ17" s="1" t="s">
        <v>121</v>
      </c>
      <c r="CK17" s="1" t="s">
        <v>121</v>
      </c>
      <c r="CL17" s="1" t="s">
        <v>121</v>
      </c>
      <c r="CM17" s="1" t="s">
        <v>121</v>
      </c>
      <c r="CN17" s="1" t="s">
        <v>121</v>
      </c>
      <c r="CO17" s="1" t="s">
        <v>121</v>
      </c>
      <c r="CP17" s="1" t="s">
        <v>121</v>
      </c>
      <c r="CQ17" s="1" t="s">
        <v>121</v>
      </c>
      <c r="CR17" s="1" t="s">
        <v>121</v>
      </c>
      <c r="CS17" s="1" t="s">
        <v>121</v>
      </c>
      <c r="CT17" s="1" t="s">
        <v>121</v>
      </c>
      <c r="CU17" s="1" t="s">
        <v>121</v>
      </c>
      <c r="CV17" s="1" t="s">
        <v>121</v>
      </c>
      <c r="CW17" s="1" t="s">
        <v>121</v>
      </c>
      <c r="CX17" s="1" t="s">
        <v>121</v>
      </c>
      <c r="CY17" s="1" t="s">
        <v>121</v>
      </c>
      <c r="CZ17" s="1" t="s">
        <v>121</v>
      </c>
      <c r="DA17" s="1" t="s">
        <v>121</v>
      </c>
      <c r="DB17" s="1" t="s">
        <v>121</v>
      </c>
      <c r="DC17" s="1" t="s">
        <v>121</v>
      </c>
      <c r="DD17" s="1" t="s">
        <v>121</v>
      </c>
      <c r="DE17" s="1" t="s">
        <v>121</v>
      </c>
      <c r="DF17" s="1" t="s">
        <v>121</v>
      </c>
      <c r="DG17" s="1" t="s">
        <v>121</v>
      </c>
      <c r="DH17" s="1" t="s">
        <v>121</v>
      </c>
      <c r="DI17" s="1" t="s">
        <v>121</v>
      </c>
      <c r="DJ17" s="1" t="s">
        <v>121</v>
      </c>
      <c r="DK17" s="1" t="s">
        <v>121</v>
      </c>
      <c r="DL17" s="1" t="s">
        <v>121</v>
      </c>
      <c r="DM17" s="1" t="s">
        <v>121</v>
      </c>
      <c r="DN17" s="1" t="s">
        <v>121</v>
      </c>
      <c r="DO17" s="1" t="s">
        <v>121</v>
      </c>
      <c r="DP17" s="1" t="s">
        <v>121</v>
      </c>
      <c r="DQ17" s="1" t="s">
        <v>121</v>
      </c>
      <c r="DR17" s="1" t="s">
        <v>121</v>
      </c>
      <c r="DS17" s="1" t="s">
        <v>121</v>
      </c>
      <c r="DT17" s="1" t="s">
        <v>121</v>
      </c>
      <c r="DU17" s="1" t="s">
        <v>121</v>
      </c>
      <c r="DV17" s="1" t="s">
        <v>121</v>
      </c>
      <c r="DW17" s="1" t="s">
        <v>121</v>
      </c>
      <c r="DX17" s="1" t="s">
        <v>121</v>
      </c>
      <c r="DY17" s="1" t="s">
        <v>121</v>
      </c>
      <c r="DZ17" s="1" t="s">
        <v>121</v>
      </c>
      <c r="EA17" s="1" t="s">
        <v>121</v>
      </c>
      <c r="EB17" s="1" t="s">
        <v>121</v>
      </c>
      <c r="EC17" s="1" t="s">
        <v>121</v>
      </c>
      <c r="ED17" s="1" t="s">
        <v>121</v>
      </c>
      <c r="EE17" s="1" t="s">
        <v>121</v>
      </c>
      <c r="EF17" s="1" t="s">
        <v>121</v>
      </c>
      <c r="EG17" s="1" t="s">
        <v>121</v>
      </c>
      <c r="EH17" s="1" t="s">
        <v>121</v>
      </c>
      <c r="EI17" s="1" t="s">
        <v>121</v>
      </c>
      <c r="EJ17" s="1" t="s">
        <v>121</v>
      </c>
      <c r="EK17" s="1" t="s">
        <v>121</v>
      </c>
      <c r="EL17" s="1" t="s">
        <v>121</v>
      </c>
      <c r="EM17" s="1" t="s">
        <v>121</v>
      </c>
      <c r="EN17" s="1" t="s">
        <v>121</v>
      </c>
      <c r="EO17" s="1" t="s">
        <v>121</v>
      </c>
      <c r="EP17" s="1" t="s">
        <v>121</v>
      </c>
      <c r="EQ17" s="1" t="s">
        <v>121</v>
      </c>
      <c r="ER17" s="1" t="s">
        <v>121</v>
      </c>
      <c r="ES17" s="1" t="s">
        <v>121</v>
      </c>
      <c r="ET17" s="1" t="s">
        <v>121</v>
      </c>
      <c r="EU17" s="1" t="s">
        <v>121</v>
      </c>
    </row>
    <row r="18" spans="1:151" ht="15" customHeight="1" x14ac:dyDescent="0.25">
      <c r="A18" s="72">
        <v>18</v>
      </c>
      <c r="B18" s="14" t="s">
        <v>376</v>
      </c>
      <c r="C18" s="150">
        <v>-0.1679506795067951</v>
      </c>
      <c r="D18" s="86">
        <v>-7.2414603015904633E-2</v>
      </c>
      <c r="E18" s="92">
        <v>-0.10700590184203151</v>
      </c>
      <c r="F18" s="255">
        <v>92449</v>
      </c>
      <c r="G18" s="255">
        <v>111110</v>
      </c>
      <c r="H18" s="255">
        <v>113120</v>
      </c>
      <c r="I18" s="255">
        <v>103527</v>
      </c>
      <c r="J18" s="255">
        <v>99666.295201050001</v>
      </c>
      <c r="K18" s="255">
        <v>131056.56419552</v>
      </c>
      <c r="L18" s="255">
        <v>136728.39956701</v>
      </c>
      <c r="M18" s="255">
        <v>141505</v>
      </c>
      <c r="N18" s="255">
        <v>131563.64146249995</v>
      </c>
      <c r="O18" s="255">
        <v>117823.27784141999</v>
      </c>
      <c r="P18" s="255">
        <v>111516.41135545992</v>
      </c>
      <c r="Q18" s="255">
        <v>114554.88809314997</v>
      </c>
      <c r="R18" s="405"/>
      <c r="S18" s="405"/>
      <c r="T18" s="405"/>
      <c r="U18" s="255">
        <v>114014.89821092</v>
      </c>
      <c r="V18" s="255">
        <v>103559.05620262999</v>
      </c>
      <c r="W18" s="255">
        <v>97419.03534912999</v>
      </c>
      <c r="X18" s="22">
        <v>86151.029870810002</v>
      </c>
      <c r="Y18" s="22">
        <v>97844.092561969999</v>
      </c>
      <c r="Z18" s="22">
        <v>85523.416252759998</v>
      </c>
      <c r="AA18" s="22">
        <v>75929.083327369997</v>
      </c>
      <c r="AB18" s="22">
        <v>74018.743674780009</v>
      </c>
      <c r="AC18" s="22">
        <v>73138.926328460002</v>
      </c>
      <c r="AD18" s="22">
        <v>60380.483572160003</v>
      </c>
      <c r="AE18" s="22">
        <v>64166.816945930004</v>
      </c>
      <c r="AF18" s="22">
        <v>59515.125999999997</v>
      </c>
      <c r="AG18" s="22">
        <v>65669.585999999996</v>
      </c>
      <c r="AH18" s="22">
        <v>59204.875999999997</v>
      </c>
      <c r="AI18" s="11">
        <v>55718.898000000001</v>
      </c>
      <c r="AJ18" s="22">
        <v>50122.116999999998</v>
      </c>
      <c r="AK18" s="125">
        <v>52331.101000000002</v>
      </c>
      <c r="AL18" s="125">
        <v>44427.92</v>
      </c>
      <c r="AM18" s="125">
        <v>47135.811000000002</v>
      </c>
      <c r="AN18" s="11">
        <v>41599.860999999997</v>
      </c>
      <c r="AO18" s="11">
        <v>45663.538999999997</v>
      </c>
      <c r="AP18" s="11">
        <v>41863.485000000001</v>
      </c>
      <c r="AQ18" s="11">
        <v>43879.633000000002</v>
      </c>
      <c r="AR18" s="11">
        <v>41492.652999999998</v>
      </c>
      <c r="AS18" s="11">
        <v>41787.504999999997</v>
      </c>
      <c r="AT18" s="11">
        <v>36099.591</v>
      </c>
      <c r="AU18" s="11">
        <v>35852.714999999997</v>
      </c>
      <c r="AV18" s="11">
        <v>35471.152000000002</v>
      </c>
      <c r="AW18" s="11">
        <v>39946.167000000001</v>
      </c>
      <c r="AX18" s="11">
        <v>33989.256000000001</v>
      </c>
      <c r="AY18" s="11">
        <v>34845.955999999998</v>
      </c>
      <c r="AZ18" s="11">
        <v>33227.521999999997</v>
      </c>
      <c r="BA18" s="11">
        <v>30461.432000000001</v>
      </c>
      <c r="BB18" s="11">
        <v>27281.923999999999</v>
      </c>
      <c r="BC18" s="11">
        <v>25678.217000000001</v>
      </c>
      <c r="BD18" s="11">
        <v>23510.807000000001</v>
      </c>
      <c r="BE18" s="11">
        <v>23381.94</v>
      </c>
      <c r="BF18" s="11">
        <v>20179.582999999999</v>
      </c>
      <c r="BG18" s="11">
        <v>19899.3</v>
      </c>
      <c r="BH18" s="11">
        <v>17494.452000000001</v>
      </c>
      <c r="BI18" s="11">
        <v>17918.256000000001</v>
      </c>
      <c r="BJ18" s="11">
        <v>15426.697</v>
      </c>
      <c r="BK18" s="11">
        <v>15357.269</v>
      </c>
      <c r="BL18" s="11">
        <v>13957.922</v>
      </c>
      <c r="BM18" s="1">
        <v>14086.23</v>
      </c>
      <c r="BN18" s="1">
        <v>12702.296</v>
      </c>
      <c r="BO18" s="1">
        <v>12349.878000000001</v>
      </c>
      <c r="BP18" s="1">
        <v>11105.035</v>
      </c>
      <c r="BQ18" s="1">
        <v>11318.855</v>
      </c>
      <c r="BR18" s="1" t="s">
        <v>121</v>
      </c>
      <c r="BS18" s="1" t="s">
        <v>121</v>
      </c>
      <c r="BT18" s="1" t="s">
        <v>121</v>
      </c>
      <c r="BU18" s="1" t="s">
        <v>121</v>
      </c>
      <c r="BV18" s="1" t="s">
        <v>121</v>
      </c>
      <c r="BW18" s="1" t="s">
        <v>121</v>
      </c>
      <c r="BX18" s="1" t="s">
        <v>121</v>
      </c>
      <c r="BY18" s="1" t="s">
        <v>121</v>
      </c>
      <c r="BZ18" s="1" t="s">
        <v>121</v>
      </c>
      <c r="CA18" s="1" t="s">
        <v>121</v>
      </c>
      <c r="CB18" s="1" t="s">
        <v>121</v>
      </c>
      <c r="CC18" s="1" t="s">
        <v>121</v>
      </c>
      <c r="CD18" s="1" t="s">
        <v>121</v>
      </c>
      <c r="CE18" s="1" t="s">
        <v>121</v>
      </c>
      <c r="CF18" s="1" t="s">
        <v>121</v>
      </c>
      <c r="CG18" s="1" t="s">
        <v>121</v>
      </c>
      <c r="CH18" s="1" t="s">
        <v>121</v>
      </c>
      <c r="CI18" s="1" t="s">
        <v>121</v>
      </c>
      <c r="CJ18" s="1" t="s">
        <v>121</v>
      </c>
      <c r="CK18" s="1" t="s">
        <v>121</v>
      </c>
      <c r="CL18" s="1" t="s">
        <v>121</v>
      </c>
      <c r="CM18" s="1" t="s">
        <v>121</v>
      </c>
      <c r="CN18" s="1" t="s">
        <v>121</v>
      </c>
      <c r="CO18" s="1" t="s">
        <v>121</v>
      </c>
      <c r="CP18" s="1" t="s">
        <v>121</v>
      </c>
      <c r="CQ18" s="1" t="s">
        <v>121</v>
      </c>
      <c r="CR18" s="1" t="s">
        <v>121</v>
      </c>
      <c r="CS18" s="1" t="s">
        <v>121</v>
      </c>
      <c r="CT18" s="1" t="s">
        <v>121</v>
      </c>
      <c r="CU18" s="1" t="s">
        <v>121</v>
      </c>
      <c r="CV18" s="1" t="s">
        <v>121</v>
      </c>
      <c r="CW18" s="1" t="s">
        <v>121</v>
      </c>
      <c r="CX18" s="1" t="s">
        <v>121</v>
      </c>
      <c r="CY18" s="1" t="s">
        <v>121</v>
      </c>
      <c r="CZ18" s="1" t="s">
        <v>121</v>
      </c>
      <c r="DA18" s="1" t="s">
        <v>121</v>
      </c>
      <c r="DB18" s="1" t="s">
        <v>121</v>
      </c>
      <c r="DC18" s="1" t="s">
        <v>121</v>
      </c>
      <c r="DD18" s="1" t="s">
        <v>121</v>
      </c>
      <c r="DE18" s="1" t="s">
        <v>121</v>
      </c>
      <c r="DF18" s="1" t="s">
        <v>121</v>
      </c>
      <c r="DG18" s="1" t="s">
        <v>121</v>
      </c>
      <c r="DH18" s="1" t="s">
        <v>121</v>
      </c>
      <c r="DI18" s="1" t="s">
        <v>121</v>
      </c>
      <c r="DJ18" s="1" t="s">
        <v>121</v>
      </c>
      <c r="DK18" s="1" t="s">
        <v>121</v>
      </c>
      <c r="DL18" s="1" t="s">
        <v>121</v>
      </c>
      <c r="DM18" s="1" t="s">
        <v>121</v>
      </c>
      <c r="DN18" s="1" t="s">
        <v>121</v>
      </c>
      <c r="DO18" s="1" t="s">
        <v>121</v>
      </c>
      <c r="DP18" s="1" t="s">
        <v>121</v>
      </c>
      <c r="DQ18" s="1" t="s">
        <v>121</v>
      </c>
      <c r="DR18" s="1" t="s">
        <v>121</v>
      </c>
      <c r="DS18" s="1" t="s">
        <v>121</v>
      </c>
      <c r="DT18" s="1" t="s">
        <v>121</v>
      </c>
      <c r="DU18" s="1" t="s">
        <v>121</v>
      </c>
      <c r="DV18" s="1" t="s">
        <v>121</v>
      </c>
      <c r="DW18" s="1" t="s">
        <v>121</v>
      </c>
      <c r="DX18" s="1" t="s">
        <v>121</v>
      </c>
      <c r="DY18" s="1" t="s">
        <v>121</v>
      </c>
      <c r="DZ18" s="1" t="s">
        <v>121</v>
      </c>
      <c r="EA18" s="1" t="s">
        <v>121</v>
      </c>
      <c r="EB18" s="1" t="s">
        <v>121</v>
      </c>
      <c r="EC18" s="1" t="s">
        <v>121</v>
      </c>
      <c r="ED18" s="1" t="s">
        <v>121</v>
      </c>
      <c r="EE18" s="1" t="s">
        <v>121</v>
      </c>
      <c r="EF18" s="1" t="s">
        <v>121</v>
      </c>
      <c r="EG18" s="1" t="s">
        <v>121</v>
      </c>
      <c r="EH18" s="1" t="s">
        <v>121</v>
      </c>
      <c r="EI18" s="1" t="s">
        <v>121</v>
      </c>
      <c r="EJ18" s="1" t="s">
        <v>121</v>
      </c>
      <c r="EK18" s="1" t="s">
        <v>121</v>
      </c>
      <c r="EL18" s="1" t="s">
        <v>121</v>
      </c>
      <c r="EM18" s="1" t="s">
        <v>121</v>
      </c>
      <c r="EN18" s="1" t="s">
        <v>121</v>
      </c>
      <c r="EO18" s="1" t="s">
        <v>121</v>
      </c>
      <c r="EP18" s="1" t="s">
        <v>121</v>
      </c>
      <c r="EQ18" s="1" t="s">
        <v>121</v>
      </c>
      <c r="ER18" s="1" t="s">
        <v>121</v>
      </c>
      <c r="ES18" s="1" t="s">
        <v>121</v>
      </c>
      <c r="ET18" s="1" t="s">
        <v>121</v>
      </c>
      <c r="EU18" s="1" t="s">
        <v>121</v>
      </c>
    </row>
    <row r="19" spans="1:151" ht="15" customHeight="1" x14ac:dyDescent="0.25">
      <c r="A19" s="72">
        <v>19</v>
      </c>
      <c r="B19" s="14" t="s">
        <v>373</v>
      </c>
      <c r="C19" s="150">
        <v>6.3952373852478317E-2</v>
      </c>
      <c r="D19" s="86">
        <v>0.45222780188090339</v>
      </c>
      <c r="E19" s="92">
        <v>0.20038569793603545</v>
      </c>
      <c r="F19" s="255">
        <v>399612</v>
      </c>
      <c r="G19" s="255">
        <v>375592</v>
      </c>
      <c r="H19" s="255">
        <v>349009</v>
      </c>
      <c r="I19" s="255">
        <v>332903</v>
      </c>
      <c r="J19" s="255">
        <v>275171.70479895</v>
      </c>
      <c r="K19" s="255">
        <v>263274.43580447999</v>
      </c>
      <c r="L19" s="255">
        <v>263696.60043299</v>
      </c>
      <c r="M19" s="255">
        <v>254084</v>
      </c>
      <c r="N19" s="255">
        <v>234738.35853750005</v>
      </c>
      <c r="O19" s="255">
        <v>224388.72215858003</v>
      </c>
      <c r="P19" s="255">
        <v>218763.58864454008</v>
      </c>
      <c r="Q19" s="255">
        <v>213697.11190685001</v>
      </c>
      <c r="R19" s="405"/>
      <c r="S19" s="405"/>
      <c r="T19" s="405"/>
      <c r="U19" s="255">
        <v>181098.10178908001</v>
      </c>
      <c r="V19" s="255">
        <v>179707.37079737001</v>
      </c>
      <c r="W19" s="255">
        <v>173968.89565086999</v>
      </c>
      <c r="X19" s="22">
        <v>177396.03712918999</v>
      </c>
      <c r="Y19" s="22">
        <v>178184.60643802999</v>
      </c>
      <c r="Z19" s="22">
        <v>181021.18174723999</v>
      </c>
      <c r="AA19" s="22">
        <v>174062.28967263</v>
      </c>
      <c r="AB19" s="22">
        <v>181949.39332522001</v>
      </c>
      <c r="AC19" s="22">
        <v>175828.49667153999</v>
      </c>
      <c r="AD19" s="22">
        <v>182033.98142784002</v>
      </c>
      <c r="AE19" s="22">
        <v>184210.39105407</v>
      </c>
      <c r="AF19" s="22">
        <v>182288.25399999999</v>
      </c>
      <c r="AG19" s="22">
        <v>183427.41699999999</v>
      </c>
      <c r="AH19" s="22">
        <v>166428.29</v>
      </c>
      <c r="AI19" s="11">
        <v>159929.64600000001</v>
      </c>
      <c r="AJ19" s="22">
        <v>155995.61600000001</v>
      </c>
      <c r="AK19" s="125">
        <v>153256.08900000001</v>
      </c>
      <c r="AL19" s="125">
        <v>148435.614</v>
      </c>
      <c r="AM19" s="125">
        <v>151151.26199999999</v>
      </c>
      <c r="AN19" s="11">
        <v>142887.43</v>
      </c>
      <c r="AO19" s="11">
        <v>141755.80900000001</v>
      </c>
      <c r="AP19" s="11">
        <v>147084.092</v>
      </c>
      <c r="AQ19" s="11">
        <v>143946.10699999999</v>
      </c>
      <c r="AR19" s="11">
        <v>142995.38399999999</v>
      </c>
      <c r="AS19" s="11">
        <v>146279.90299999999</v>
      </c>
      <c r="AT19" s="11">
        <v>135252.63699999999</v>
      </c>
      <c r="AU19" s="11">
        <v>124161.129</v>
      </c>
      <c r="AV19" s="11">
        <v>117323.815</v>
      </c>
      <c r="AW19" s="11">
        <v>116062.19100000001</v>
      </c>
      <c r="AX19" s="11">
        <v>107819.749</v>
      </c>
      <c r="AY19" s="11">
        <v>99798.615000000005</v>
      </c>
      <c r="AZ19" s="11">
        <v>98234.907000000007</v>
      </c>
      <c r="BA19" s="11">
        <v>94842.701000000001</v>
      </c>
      <c r="BB19" s="11">
        <v>93024.107000000004</v>
      </c>
      <c r="BC19" s="11">
        <v>91488.334000000003</v>
      </c>
      <c r="BD19" s="11">
        <v>81094.322</v>
      </c>
      <c r="BE19" s="11">
        <v>77838.203999999998</v>
      </c>
      <c r="BF19" s="11">
        <v>75181.210999999996</v>
      </c>
      <c r="BG19" s="11">
        <v>76926.510999999999</v>
      </c>
      <c r="BH19" s="11">
        <v>70791.019</v>
      </c>
      <c r="BI19" s="11">
        <v>69473.702999999994</v>
      </c>
      <c r="BJ19" s="11">
        <v>65288.317000000003</v>
      </c>
      <c r="BK19" s="11">
        <v>59252.118000000002</v>
      </c>
      <c r="BL19" s="11">
        <v>57478.067999999999</v>
      </c>
      <c r="BM19" s="1">
        <v>58339.39</v>
      </c>
      <c r="BN19" s="1">
        <v>53709.828999999998</v>
      </c>
      <c r="BO19" s="1">
        <v>53496.192000000003</v>
      </c>
      <c r="BP19" s="1">
        <v>51539.821000000004</v>
      </c>
      <c r="BQ19" s="1">
        <v>49411.402999999998</v>
      </c>
      <c r="BR19" s="1" t="s">
        <v>121</v>
      </c>
      <c r="BS19" s="1" t="s">
        <v>121</v>
      </c>
      <c r="BT19" s="1" t="s">
        <v>121</v>
      </c>
      <c r="BU19" s="1" t="s">
        <v>121</v>
      </c>
      <c r="BV19" s="1" t="s">
        <v>121</v>
      </c>
      <c r="BW19" s="1" t="s">
        <v>121</v>
      </c>
      <c r="BX19" s="1" t="s">
        <v>121</v>
      </c>
      <c r="BY19" s="1" t="s">
        <v>121</v>
      </c>
      <c r="BZ19" s="1" t="s">
        <v>121</v>
      </c>
      <c r="CA19" s="1" t="s">
        <v>121</v>
      </c>
      <c r="CB19" s="1" t="s">
        <v>121</v>
      </c>
      <c r="CC19" s="1" t="s">
        <v>121</v>
      </c>
      <c r="CD19" s="1" t="s">
        <v>121</v>
      </c>
      <c r="CE19" s="1" t="s">
        <v>121</v>
      </c>
      <c r="CF19" s="1" t="s">
        <v>121</v>
      </c>
      <c r="CG19" s="1" t="s">
        <v>121</v>
      </c>
      <c r="CH19" s="1" t="s">
        <v>121</v>
      </c>
      <c r="CI19" s="1" t="s">
        <v>121</v>
      </c>
      <c r="CJ19" s="1" t="s">
        <v>121</v>
      </c>
      <c r="CK19" s="1" t="s">
        <v>121</v>
      </c>
      <c r="CL19" s="1" t="s">
        <v>121</v>
      </c>
      <c r="CM19" s="1" t="s">
        <v>121</v>
      </c>
      <c r="CN19" s="1" t="s">
        <v>121</v>
      </c>
      <c r="CO19" s="1" t="s">
        <v>121</v>
      </c>
      <c r="CP19" s="1" t="s">
        <v>121</v>
      </c>
      <c r="CQ19" s="1" t="s">
        <v>121</v>
      </c>
      <c r="CR19" s="1" t="s">
        <v>121</v>
      </c>
      <c r="CS19" s="1" t="s">
        <v>121</v>
      </c>
      <c r="CT19" s="1" t="s">
        <v>121</v>
      </c>
      <c r="CU19" s="1" t="s">
        <v>121</v>
      </c>
      <c r="CV19" s="1" t="s">
        <v>121</v>
      </c>
      <c r="CW19" s="1" t="s">
        <v>121</v>
      </c>
      <c r="CX19" s="1" t="s">
        <v>121</v>
      </c>
      <c r="CY19" s="1" t="s">
        <v>121</v>
      </c>
      <c r="CZ19" s="1" t="s">
        <v>121</v>
      </c>
      <c r="DA19" s="1" t="s">
        <v>121</v>
      </c>
      <c r="DB19" s="1" t="s">
        <v>121</v>
      </c>
      <c r="DC19" s="1" t="s">
        <v>121</v>
      </c>
      <c r="DD19" s="1" t="s">
        <v>121</v>
      </c>
      <c r="DE19" s="1" t="s">
        <v>121</v>
      </c>
      <c r="DF19" s="1" t="s">
        <v>121</v>
      </c>
      <c r="DG19" s="1" t="s">
        <v>121</v>
      </c>
      <c r="DH19" s="1" t="s">
        <v>121</v>
      </c>
      <c r="DI19" s="1" t="s">
        <v>121</v>
      </c>
      <c r="DJ19" s="1" t="s">
        <v>121</v>
      </c>
      <c r="DK19" s="1" t="s">
        <v>121</v>
      </c>
      <c r="DL19" s="1" t="s">
        <v>121</v>
      </c>
      <c r="DM19" s="1" t="s">
        <v>121</v>
      </c>
      <c r="DN19" s="1" t="s">
        <v>121</v>
      </c>
      <c r="DO19" s="1" t="s">
        <v>121</v>
      </c>
      <c r="DP19" s="1" t="s">
        <v>121</v>
      </c>
      <c r="DQ19" s="1" t="s">
        <v>121</v>
      </c>
      <c r="DR19" s="1" t="s">
        <v>121</v>
      </c>
      <c r="DS19" s="1" t="s">
        <v>121</v>
      </c>
      <c r="DT19" s="1" t="s">
        <v>121</v>
      </c>
      <c r="DU19" s="1" t="s">
        <v>121</v>
      </c>
      <c r="DV19" s="1" t="s">
        <v>121</v>
      </c>
      <c r="DW19" s="1" t="s">
        <v>121</v>
      </c>
      <c r="DX19" s="1" t="s">
        <v>121</v>
      </c>
      <c r="DY19" s="1" t="s">
        <v>121</v>
      </c>
      <c r="DZ19" s="1" t="s">
        <v>121</v>
      </c>
      <c r="EA19" s="1" t="s">
        <v>121</v>
      </c>
      <c r="EB19" s="1" t="s">
        <v>121</v>
      </c>
      <c r="EC19" s="1" t="s">
        <v>121</v>
      </c>
      <c r="ED19" s="1" t="s">
        <v>121</v>
      </c>
      <c r="EE19" s="1" t="s">
        <v>121</v>
      </c>
      <c r="EF19" s="1" t="s">
        <v>121</v>
      </c>
      <c r="EG19" s="1" t="s">
        <v>121</v>
      </c>
      <c r="EH19" s="1" t="s">
        <v>121</v>
      </c>
      <c r="EI19" s="1" t="s">
        <v>121</v>
      </c>
      <c r="EJ19" s="1" t="s">
        <v>121</v>
      </c>
      <c r="EK19" s="1" t="s">
        <v>121</v>
      </c>
      <c r="EL19" s="1" t="s">
        <v>121</v>
      </c>
      <c r="EM19" s="1" t="s">
        <v>121</v>
      </c>
      <c r="EN19" s="1" t="s">
        <v>121</v>
      </c>
      <c r="EO19" s="1" t="s">
        <v>121</v>
      </c>
      <c r="EP19" s="1" t="s">
        <v>121</v>
      </c>
      <c r="EQ19" s="1" t="s">
        <v>121</v>
      </c>
      <c r="ER19" s="1" t="s">
        <v>121</v>
      </c>
      <c r="ES19" s="1" t="s">
        <v>121</v>
      </c>
      <c r="ET19" s="1" t="s">
        <v>121</v>
      </c>
      <c r="EU19" s="1" t="s">
        <v>121</v>
      </c>
    </row>
    <row r="20" spans="1:151" s="36" customFormat="1" ht="26.1" customHeight="1" x14ac:dyDescent="0.25">
      <c r="A20" s="72">
        <v>20</v>
      </c>
      <c r="B20" s="19" t="s">
        <v>377</v>
      </c>
      <c r="C20" s="182">
        <v>0.13116388615248176</v>
      </c>
      <c r="D20" s="123">
        <v>0.38551540549286689</v>
      </c>
      <c r="E20" s="94">
        <v>0.19815526280262796</v>
      </c>
      <c r="F20" s="65">
        <v>852013</v>
      </c>
      <c r="G20" s="65">
        <v>753218</v>
      </c>
      <c r="H20" s="65">
        <v>721420</v>
      </c>
      <c r="I20" s="65">
        <v>711104</v>
      </c>
      <c r="J20" s="65">
        <v>614943</v>
      </c>
      <c r="K20" s="65">
        <v>650375</v>
      </c>
      <c r="L20" s="65">
        <v>643804</v>
      </c>
      <c r="M20" s="65">
        <v>646447</v>
      </c>
      <c r="N20" s="65">
        <v>607559</v>
      </c>
      <c r="O20" s="65">
        <v>574351</v>
      </c>
      <c r="P20" s="65">
        <v>583039</v>
      </c>
      <c r="Q20" s="65">
        <v>641226</v>
      </c>
      <c r="R20" s="405"/>
      <c r="S20" s="405"/>
      <c r="T20" s="405"/>
      <c r="U20" s="65">
        <v>499368</v>
      </c>
      <c r="V20" s="65">
        <v>486568.42700000003</v>
      </c>
      <c r="W20" s="65">
        <v>486558.58799999999</v>
      </c>
      <c r="X20" s="65">
        <v>477669.11799999996</v>
      </c>
      <c r="Y20" s="65">
        <v>470921.75100000005</v>
      </c>
      <c r="Z20" s="65">
        <v>466372.70999999996</v>
      </c>
      <c r="AA20" s="65">
        <v>423249.62</v>
      </c>
      <c r="AB20" s="65">
        <v>425884.47100000002</v>
      </c>
      <c r="AC20" s="65">
        <v>410343.348</v>
      </c>
      <c r="AD20" s="65">
        <v>409591.81800000003</v>
      </c>
      <c r="AE20" s="65">
        <v>393252.52500000002</v>
      </c>
      <c r="AF20" s="65">
        <v>397036.01899999997</v>
      </c>
      <c r="AG20" s="65">
        <v>406788.83299999998</v>
      </c>
      <c r="AH20" s="65">
        <v>372979.23499999999</v>
      </c>
      <c r="AI20" s="20">
        <v>354668.81599999999</v>
      </c>
      <c r="AJ20" s="65">
        <v>346393.30099999998</v>
      </c>
      <c r="AK20" s="153">
        <v>352972.14800000004</v>
      </c>
      <c r="AL20" s="153">
        <v>329156.56799999997</v>
      </c>
      <c r="AM20" s="153">
        <v>315405.97600000002</v>
      </c>
      <c r="AN20" s="20">
        <v>321233.65899999999</v>
      </c>
      <c r="AO20" s="20">
        <v>349944.86800000002</v>
      </c>
      <c r="AP20" s="20">
        <v>316391.364</v>
      </c>
      <c r="AQ20" s="20">
        <v>331833.50599999999</v>
      </c>
      <c r="AR20" s="20">
        <v>313877.13199999998</v>
      </c>
      <c r="AS20" s="20">
        <v>325583.94999999995</v>
      </c>
      <c r="AT20" s="20">
        <v>312390.98599999998</v>
      </c>
      <c r="AU20" s="20">
        <v>298506.152</v>
      </c>
      <c r="AV20" s="20">
        <v>299762.45799999998</v>
      </c>
      <c r="AW20" s="20">
        <v>308481.73100000003</v>
      </c>
      <c r="AX20" s="20">
        <v>272355.83799999999</v>
      </c>
      <c r="AY20" s="20">
        <v>259403.14600000001</v>
      </c>
      <c r="AZ20" s="20">
        <v>262549.59000000003</v>
      </c>
      <c r="BA20" s="20">
        <v>253127.29100000003</v>
      </c>
      <c r="BB20" s="20">
        <v>252859.45600000001</v>
      </c>
      <c r="BC20" s="20">
        <v>242238.30899999998</v>
      </c>
      <c r="BD20" s="20">
        <v>231828.65299999999</v>
      </c>
      <c r="BE20" s="20">
        <v>222796.734</v>
      </c>
      <c r="BF20" s="20">
        <v>217576.83100000001</v>
      </c>
      <c r="BG20" s="20">
        <v>217865.764</v>
      </c>
      <c r="BH20" s="20">
        <v>216150.77100000001</v>
      </c>
      <c r="BI20" s="20">
        <v>226702.89</v>
      </c>
      <c r="BJ20" s="20">
        <v>209232.443</v>
      </c>
      <c r="BK20" s="20">
        <v>201942.136</v>
      </c>
      <c r="BL20" s="20">
        <v>188248.973</v>
      </c>
      <c r="BM20" s="36">
        <v>191807.67599999998</v>
      </c>
      <c r="BN20" s="36">
        <v>169474.10399999999</v>
      </c>
      <c r="BO20" s="36">
        <v>166175.54</v>
      </c>
      <c r="BP20" s="36">
        <v>167620.367</v>
      </c>
      <c r="BQ20" s="36">
        <v>175990.28399999999</v>
      </c>
      <c r="BR20" s="36" t="s">
        <v>121</v>
      </c>
      <c r="BS20" s="36" t="s">
        <v>121</v>
      </c>
      <c r="BT20" s="36" t="s">
        <v>121</v>
      </c>
      <c r="BU20" s="36" t="s">
        <v>121</v>
      </c>
      <c r="BV20" s="36" t="s">
        <v>121</v>
      </c>
      <c r="BW20" s="36" t="s">
        <v>121</v>
      </c>
      <c r="BX20" s="36" t="s">
        <v>121</v>
      </c>
      <c r="BY20" s="36" t="s">
        <v>121</v>
      </c>
      <c r="BZ20" s="36" t="s">
        <v>121</v>
      </c>
      <c r="CA20" s="36" t="s">
        <v>121</v>
      </c>
      <c r="CB20" s="36" t="s">
        <v>121</v>
      </c>
      <c r="CC20" s="36" t="s">
        <v>121</v>
      </c>
      <c r="CD20" s="36" t="s">
        <v>121</v>
      </c>
      <c r="CE20" s="36" t="s">
        <v>121</v>
      </c>
      <c r="CF20" s="36" t="s">
        <v>121</v>
      </c>
      <c r="CG20" s="36" t="s">
        <v>121</v>
      </c>
      <c r="CH20" s="36" t="s">
        <v>121</v>
      </c>
      <c r="CI20" s="36" t="s">
        <v>121</v>
      </c>
      <c r="CJ20" s="36" t="s">
        <v>121</v>
      </c>
      <c r="CK20" s="36" t="s">
        <v>121</v>
      </c>
      <c r="CL20" s="36" t="s">
        <v>121</v>
      </c>
      <c r="CM20" s="36" t="s">
        <v>121</v>
      </c>
      <c r="CN20" s="36" t="s">
        <v>121</v>
      </c>
      <c r="CO20" s="36" t="s">
        <v>121</v>
      </c>
      <c r="CP20" s="36" t="s">
        <v>121</v>
      </c>
      <c r="CQ20" s="36" t="s">
        <v>121</v>
      </c>
      <c r="CR20" s="36" t="s">
        <v>121</v>
      </c>
      <c r="CS20" s="36" t="s">
        <v>121</v>
      </c>
      <c r="CT20" s="36" t="s">
        <v>121</v>
      </c>
      <c r="CU20" s="36" t="s">
        <v>121</v>
      </c>
      <c r="CV20" s="36" t="s">
        <v>121</v>
      </c>
      <c r="CW20" s="36" t="s">
        <v>121</v>
      </c>
      <c r="CX20" s="36" t="s">
        <v>121</v>
      </c>
      <c r="CY20" s="36" t="s">
        <v>121</v>
      </c>
      <c r="CZ20" s="36" t="s">
        <v>121</v>
      </c>
      <c r="DA20" s="36" t="s">
        <v>121</v>
      </c>
      <c r="DB20" s="36" t="s">
        <v>121</v>
      </c>
      <c r="DC20" s="36" t="s">
        <v>121</v>
      </c>
      <c r="DD20" s="36" t="s">
        <v>121</v>
      </c>
      <c r="DE20" s="36" t="s">
        <v>121</v>
      </c>
      <c r="DF20" s="36" t="s">
        <v>121</v>
      </c>
      <c r="DG20" s="36" t="s">
        <v>121</v>
      </c>
      <c r="DH20" s="36" t="s">
        <v>121</v>
      </c>
      <c r="DI20" s="36" t="s">
        <v>121</v>
      </c>
      <c r="DJ20" s="36" t="s">
        <v>121</v>
      </c>
      <c r="DK20" s="36" t="s">
        <v>121</v>
      </c>
      <c r="DL20" s="36" t="s">
        <v>121</v>
      </c>
      <c r="DM20" s="36" t="s">
        <v>121</v>
      </c>
      <c r="DN20" s="36" t="s">
        <v>121</v>
      </c>
      <c r="DO20" s="36" t="s">
        <v>121</v>
      </c>
      <c r="DP20" s="36" t="s">
        <v>121</v>
      </c>
      <c r="DQ20" s="36" t="s">
        <v>121</v>
      </c>
      <c r="DR20" s="36" t="s">
        <v>121</v>
      </c>
      <c r="DS20" s="36" t="s">
        <v>121</v>
      </c>
      <c r="DT20" s="36" t="s">
        <v>121</v>
      </c>
      <c r="DU20" s="36" t="s">
        <v>121</v>
      </c>
      <c r="DV20" s="36" t="s">
        <v>121</v>
      </c>
      <c r="DW20" s="36" t="s">
        <v>121</v>
      </c>
      <c r="DX20" s="36" t="s">
        <v>121</v>
      </c>
      <c r="DY20" s="36" t="s">
        <v>121</v>
      </c>
      <c r="DZ20" s="36" t="s">
        <v>121</v>
      </c>
      <c r="EA20" s="36" t="s">
        <v>121</v>
      </c>
      <c r="EB20" s="36" t="s">
        <v>121</v>
      </c>
      <c r="EC20" s="36" t="s">
        <v>121</v>
      </c>
      <c r="ED20" s="36" t="s">
        <v>121</v>
      </c>
      <c r="EE20" s="36" t="s">
        <v>121</v>
      </c>
      <c r="EF20" s="36" t="s">
        <v>121</v>
      </c>
      <c r="EG20" s="36" t="s">
        <v>121</v>
      </c>
      <c r="EH20" s="36" t="s">
        <v>121</v>
      </c>
      <c r="EI20" s="36" t="s">
        <v>121</v>
      </c>
      <c r="EJ20" s="36" t="s">
        <v>121</v>
      </c>
      <c r="EK20" s="36" t="s">
        <v>121</v>
      </c>
      <c r="EL20" s="36" t="s">
        <v>121</v>
      </c>
      <c r="EM20" s="36" t="s">
        <v>121</v>
      </c>
      <c r="EN20" s="36" t="s">
        <v>121</v>
      </c>
      <c r="EO20" s="36" t="s">
        <v>121</v>
      </c>
      <c r="EP20" s="36" t="s">
        <v>121</v>
      </c>
      <c r="EQ20" s="36" t="s">
        <v>121</v>
      </c>
      <c r="ER20" s="36" t="s">
        <v>121</v>
      </c>
      <c r="ES20" s="36" t="s">
        <v>121</v>
      </c>
      <c r="ET20" s="36" t="s">
        <v>121</v>
      </c>
      <c r="EU20" s="36" t="s">
        <v>121</v>
      </c>
    </row>
    <row r="21" spans="1:151" ht="26.1" customHeight="1" x14ac:dyDescent="0.25">
      <c r="A21" s="72">
        <v>21</v>
      </c>
      <c r="B21" s="5" t="s">
        <v>294</v>
      </c>
      <c r="C21" s="150">
        <v>0.10396164521826901</v>
      </c>
      <c r="D21" s="86">
        <v>-2.365543405489845E-2</v>
      </c>
      <c r="E21" s="92">
        <v>-5.138768430182139E-2</v>
      </c>
      <c r="F21" s="210">
        <v>4375</v>
      </c>
      <c r="G21" s="210">
        <v>3963</v>
      </c>
      <c r="H21" s="210">
        <v>6913</v>
      </c>
      <c r="I21" s="210">
        <v>4612</v>
      </c>
      <c r="J21" s="210">
        <v>4481</v>
      </c>
      <c r="K21" s="210">
        <v>4056</v>
      </c>
      <c r="L21" s="210">
        <v>4622</v>
      </c>
      <c r="M21" s="210">
        <v>4651</v>
      </c>
      <c r="N21" s="210">
        <v>4716</v>
      </c>
      <c r="O21" s="210">
        <v>5107</v>
      </c>
      <c r="P21" s="210">
        <v>4821</v>
      </c>
      <c r="Q21" s="210">
        <v>5337</v>
      </c>
      <c r="R21" s="405"/>
      <c r="S21" s="405"/>
      <c r="T21" s="405"/>
      <c r="U21" s="210">
        <v>5798</v>
      </c>
      <c r="V21" s="210">
        <v>5956.9269999999997</v>
      </c>
      <c r="W21" s="210">
        <v>6074.4279999999999</v>
      </c>
      <c r="X21" s="210">
        <v>7739.91</v>
      </c>
      <c r="Y21" s="210">
        <v>8150</v>
      </c>
      <c r="Z21" s="210">
        <v>8465.2029999999995</v>
      </c>
      <c r="AA21" s="210">
        <v>8997.8680000000004</v>
      </c>
      <c r="AB21" s="210">
        <v>8812.3459999999995</v>
      </c>
      <c r="AC21" s="210">
        <v>7231.2330000000002</v>
      </c>
      <c r="AD21" s="210">
        <v>7403.1180000000004</v>
      </c>
      <c r="AE21" s="210">
        <v>6559.7150000000001</v>
      </c>
      <c r="AF21" s="210">
        <v>8290.8240000000005</v>
      </c>
      <c r="AG21" s="210">
        <v>7977.0649999999996</v>
      </c>
      <c r="AH21" s="210">
        <v>7137.4830000000002</v>
      </c>
      <c r="AI21" s="130">
        <v>7257.7950000000001</v>
      </c>
      <c r="AJ21" s="210">
        <v>7022.2879999999996</v>
      </c>
      <c r="AK21" s="178">
        <v>7253.3450000000003</v>
      </c>
      <c r="AL21" s="178">
        <v>6530.0129999999999</v>
      </c>
      <c r="AM21" s="178">
        <v>7350.8760000000002</v>
      </c>
      <c r="AN21" s="130">
        <v>6966.8119999999999</v>
      </c>
      <c r="AO21" s="130">
        <v>7882.2839999999997</v>
      </c>
      <c r="AP21" s="130">
        <v>17335.918000000001</v>
      </c>
      <c r="AQ21" s="130">
        <v>7397.8119999999999</v>
      </c>
      <c r="AR21" s="130">
        <v>16193.317999999999</v>
      </c>
      <c r="AS21" s="130">
        <v>17441.146000000001</v>
      </c>
      <c r="AT21" s="130">
        <v>16001.814</v>
      </c>
      <c r="AU21" s="130">
        <v>15768.761</v>
      </c>
      <c r="AV21" s="130">
        <v>17598.036</v>
      </c>
      <c r="AW21" s="130">
        <v>16405.964</v>
      </c>
      <c r="AX21" s="130">
        <v>12087.833000000001</v>
      </c>
      <c r="AY21" s="130">
        <v>8054.23</v>
      </c>
      <c r="AZ21" s="130">
        <v>10458.544</v>
      </c>
      <c r="BA21" s="130">
        <v>8507.34</v>
      </c>
      <c r="BB21" s="130">
        <v>9505.7839999999997</v>
      </c>
      <c r="BC21" s="130">
        <v>6366.915</v>
      </c>
      <c r="BD21" s="130">
        <v>4309.4579999999996</v>
      </c>
      <c r="BE21" s="130">
        <v>5244.3339999999998</v>
      </c>
      <c r="BF21" s="130">
        <v>7133.741</v>
      </c>
      <c r="BG21" s="130">
        <v>8995.6489999999994</v>
      </c>
      <c r="BH21" s="130">
        <v>8318.5669999999991</v>
      </c>
      <c r="BI21" s="130">
        <v>9356.4439999999995</v>
      </c>
      <c r="BJ21" s="130">
        <v>12719.817999999999</v>
      </c>
      <c r="BK21" s="130">
        <v>10286.663</v>
      </c>
      <c r="BL21" s="130">
        <v>11760.227999999999</v>
      </c>
      <c r="BM21" s="1">
        <v>10365.23</v>
      </c>
      <c r="BN21" s="1">
        <v>9568.9920000000002</v>
      </c>
      <c r="BO21" s="1">
        <v>9052.5789999999997</v>
      </c>
      <c r="BP21" s="1">
        <v>5326.326</v>
      </c>
      <c r="BQ21" s="1">
        <v>5150.7740000000003</v>
      </c>
      <c r="BR21" s="1" t="s">
        <v>121</v>
      </c>
      <c r="BS21" s="1" t="s">
        <v>121</v>
      </c>
      <c r="BT21" s="1" t="s">
        <v>121</v>
      </c>
      <c r="BU21" s="1" t="s">
        <v>121</v>
      </c>
      <c r="BV21" s="1" t="s">
        <v>121</v>
      </c>
      <c r="BW21" s="1" t="s">
        <v>121</v>
      </c>
      <c r="BX21" s="1" t="s">
        <v>121</v>
      </c>
      <c r="BY21" s="1" t="s">
        <v>121</v>
      </c>
      <c r="BZ21" s="1" t="s">
        <v>121</v>
      </c>
      <c r="CA21" s="1" t="s">
        <v>121</v>
      </c>
      <c r="CB21" s="1" t="s">
        <v>121</v>
      </c>
      <c r="CC21" s="1" t="s">
        <v>121</v>
      </c>
      <c r="CD21" s="1" t="s">
        <v>121</v>
      </c>
      <c r="CE21" s="1" t="s">
        <v>121</v>
      </c>
      <c r="CF21" s="1" t="s">
        <v>121</v>
      </c>
      <c r="CG21" s="1" t="s">
        <v>121</v>
      </c>
      <c r="CH21" s="1" t="s">
        <v>121</v>
      </c>
      <c r="CI21" s="1" t="s">
        <v>121</v>
      </c>
      <c r="CJ21" s="1" t="s">
        <v>121</v>
      </c>
      <c r="CK21" s="1" t="s">
        <v>121</v>
      </c>
      <c r="CL21" s="1" t="s">
        <v>121</v>
      </c>
      <c r="CM21" s="1" t="s">
        <v>121</v>
      </c>
      <c r="CN21" s="1" t="s">
        <v>121</v>
      </c>
      <c r="CO21" s="1" t="s">
        <v>121</v>
      </c>
      <c r="CP21" s="1" t="s">
        <v>121</v>
      </c>
      <c r="CQ21" s="1" t="s">
        <v>121</v>
      </c>
      <c r="CR21" s="1" t="s">
        <v>121</v>
      </c>
      <c r="CS21" s="1" t="s">
        <v>121</v>
      </c>
      <c r="CT21" s="1" t="s">
        <v>121</v>
      </c>
      <c r="CU21" s="1" t="s">
        <v>121</v>
      </c>
      <c r="CV21" s="1" t="s">
        <v>121</v>
      </c>
      <c r="CW21" s="1" t="s">
        <v>121</v>
      </c>
      <c r="CX21" s="1" t="s">
        <v>121</v>
      </c>
      <c r="CY21" s="1" t="s">
        <v>121</v>
      </c>
      <c r="CZ21" s="1" t="s">
        <v>121</v>
      </c>
      <c r="DA21" s="1" t="s">
        <v>121</v>
      </c>
      <c r="DB21" s="1" t="s">
        <v>121</v>
      </c>
      <c r="DC21" s="1" t="s">
        <v>121</v>
      </c>
      <c r="DD21" s="1" t="s">
        <v>121</v>
      </c>
      <c r="DE21" s="1" t="s">
        <v>121</v>
      </c>
      <c r="DF21" s="1" t="s">
        <v>121</v>
      </c>
      <c r="DG21" s="1" t="s">
        <v>121</v>
      </c>
      <c r="DH21" s="1" t="s">
        <v>121</v>
      </c>
      <c r="DI21" s="1" t="s">
        <v>121</v>
      </c>
      <c r="DJ21" s="1" t="s">
        <v>121</v>
      </c>
      <c r="DK21" s="1" t="s">
        <v>121</v>
      </c>
      <c r="DL21" s="1" t="s">
        <v>121</v>
      </c>
      <c r="DM21" s="1" t="s">
        <v>121</v>
      </c>
      <c r="DN21" s="1" t="s">
        <v>121</v>
      </c>
      <c r="DO21" s="1" t="s">
        <v>121</v>
      </c>
      <c r="DP21" s="1" t="s">
        <v>121</v>
      </c>
      <c r="DQ21" s="1" t="s">
        <v>121</v>
      </c>
      <c r="DR21" s="1" t="s">
        <v>121</v>
      </c>
      <c r="DS21" s="1" t="s">
        <v>121</v>
      </c>
      <c r="DT21" s="1" t="s">
        <v>121</v>
      </c>
      <c r="DU21" s="1" t="s">
        <v>121</v>
      </c>
      <c r="DV21" s="1" t="s">
        <v>121</v>
      </c>
      <c r="DW21" s="1" t="s">
        <v>121</v>
      </c>
      <c r="DX21" s="1" t="s">
        <v>121</v>
      </c>
      <c r="DY21" s="1" t="s">
        <v>121</v>
      </c>
      <c r="DZ21" s="1" t="s">
        <v>121</v>
      </c>
      <c r="EA21" s="1" t="s">
        <v>121</v>
      </c>
      <c r="EB21" s="1" t="s">
        <v>121</v>
      </c>
      <c r="EC21" s="1" t="s">
        <v>121</v>
      </c>
      <c r="ED21" s="1" t="s">
        <v>121</v>
      </c>
      <c r="EE21" s="1" t="s">
        <v>121</v>
      </c>
      <c r="EF21" s="1" t="s">
        <v>121</v>
      </c>
      <c r="EG21" s="1" t="s">
        <v>121</v>
      </c>
      <c r="EH21" s="1" t="s">
        <v>121</v>
      </c>
      <c r="EI21" s="1" t="s">
        <v>121</v>
      </c>
      <c r="EJ21" s="1" t="s">
        <v>121</v>
      </c>
      <c r="EK21" s="1" t="s">
        <v>121</v>
      </c>
      <c r="EL21" s="1" t="s">
        <v>121</v>
      </c>
      <c r="EM21" s="1" t="s">
        <v>121</v>
      </c>
      <c r="EN21" s="1" t="s">
        <v>121</v>
      </c>
      <c r="EO21" s="1" t="s">
        <v>121</v>
      </c>
      <c r="EP21" s="1" t="s">
        <v>121</v>
      </c>
      <c r="EQ21" s="1" t="s">
        <v>121</v>
      </c>
      <c r="ER21" s="1" t="s">
        <v>121</v>
      </c>
      <c r="ES21" s="1" t="s">
        <v>121</v>
      </c>
      <c r="ET21" s="1" t="s">
        <v>121</v>
      </c>
      <c r="EU21" s="1" t="s">
        <v>121</v>
      </c>
    </row>
    <row r="22" spans="1:151" s="19" customFormat="1" ht="26.1" customHeight="1" x14ac:dyDescent="0.25">
      <c r="A22" s="72">
        <v>22</v>
      </c>
      <c r="B22" s="19" t="s">
        <v>378</v>
      </c>
      <c r="C22" s="182">
        <v>0.13102151268983242</v>
      </c>
      <c r="D22" s="123">
        <v>0.3825554063129617</v>
      </c>
      <c r="E22" s="94">
        <v>0.19654723381900085</v>
      </c>
      <c r="F22" s="65">
        <v>856388</v>
      </c>
      <c r="G22" s="65">
        <v>757181</v>
      </c>
      <c r="H22" s="65">
        <v>728333</v>
      </c>
      <c r="I22" s="65">
        <v>715716</v>
      </c>
      <c r="J22" s="65">
        <v>619424</v>
      </c>
      <c r="K22" s="65">
        <v>654431</v>
      </c>
      <c r="L22" s="65">
        <v>648426</v>
      </c>
      <c r="M22" s="65">
        <v>651098</v>
      </c>
      <c r="N22" s="65">
        <v>612275</v>
      </c>
      <c r="O22" s="65">
        <v>579458</v>
      </c>
      <c r="P22" s="65">
        <v>587860</v>
      </c>
      <c r="Q22" s="65">
        <v>646563</v>
      </c>
      <c r="R22" s="405"/>
      <c r="S22" s="405"/>
      <c r="T22" s="405"/>
      <c r="U22" s="65">
        <v>505166</v>
      </c>
      <c r="V22" s="65">
        <v>492525.35400000005</v>
      </c>
      <c r="W22" s="65">
        <v>492633.016</v>
      </c>
      <c r="X22" s="65">
        <v>485409.02799999993</v>
      </c>
      <c r="Y22" s="65">
        <v>479071.75100000005</v>
      </c>
      <c r="Z22" s="65">
        <v>474837.91299999994</v>
      </c>
      <c r="AA22" s="65">
        <v>432247.48800000001</v>
      </c>
      <c r="AB22" s="65">
        <v>434696.81700000004</v>
      </c>
      <c r="AC22" s="65">
        <v>417574.58100000001</v>
      </c>
      <c r="AD22" s="65">
        <v>416994.93600000005</v>
      </c>
      <c r="AE22" s="65">
        <v>399812.24000000005</v>
      </c>
      <c r="AF22" s="65">
        <v>405326.84299999999</v>
      </c>
      <c r="AG22" s="65">
        <v>414765.89799999999</v>
      </c>
      <c r="AH22" s="65">
        <v>380116.71799999999</v>
      </c>
      <c r="AI22" s="20">
        <v>361926.61099999998</v>
      </c>
      <c r="AJ22" s="65">
        <v>353415.58899999998</v>
      </c>
      <c r="AK22" s="153">
        <v>360225.49300000002</v>
      </c>
      <c r="AL22" s="153">
        <v>335686.58099999995</v>
      </c>
      <c r="AM22" s="153">
        <v>322756.85200000001</v>
      </c>
      <c r="AN22" s="20">
        <v>328200.47099999996</v>
      </c>
      <c r="AO22" s="20">
        <v>357827.152</v>
      </c>
      <c r="AP22" s="20">
        <v>333727.28200000001</v>
      </c>
      <c r="AQ22" s="20">
        <v>339231.31799999997</v>
      </c>
      <c r="AR22" s="20">
        <v>330070.44999999995</v>
      </c>
      <c r="AS22" s="20">
        <v>343025.09599999996</v>
      </c>
      <c r="AT22" s="20">
        <v>328392.8</v>
      </c>
      <c r="AU22" s="20">
        <v>314274.913</v>
      </c>
      <c r="AV22" s="20">
        <v>317360.49400000001</v>
      </c>
      <c r="AW22" s="20">
        <v>324887.69500000001</v>
      </c>
      <c r="AX22" s="20">
        <v>284443.67099999997</v>
      </c>
      <c r="AY22" s="20">
        <v>267457.37599999999</v>
      </c>
      <c r="AZ22" s="20">
        <v>273008.13400000002</v>
      </c>
      <c r="BA22" s="20">
        <v>261634.63100000002</v>
      </c>
      <c r="BB22" s="20">
        <v>262365.24</v>
      </c>
      <c r="BC22" s="20">
        <v>248605.22399999999</v>
      </c>
      <c r="BD22" s="20">
        <v>236138.111</v>
      </c>
      <c r="BE22" s="20">
        <v>228041.068</v>
      </c>
      <c r="BF22" s="20">
        <v>224710.57200000001</v>
      </c>
      <c r="BG22" s="20">
        <v>226861.413</v>
      </c>
      <c r="BH22" s="20">
        <v>224469.33800000002</v>
      </c>
      <c r="BI22" s="20">
        <v>236059.334</v>
      </c>
      <c r="BJ22" s="20">
        <v>221952.261</v>
      </c>
      <c r="BK22" s="20">
        <v>212228.799</v>
      </c>
      <c r="BL22" s="20">
        <v>200009.201</v>
      </c>
      <c r="BM22" s="19">
        <v>202172.90599999999</v>
      </c>
      <c r="BN22" s="19">
        <v>179043.09599999999</v>
      </c>
      <c r="BO22" s="19">
        <v>175228.11900000001</v>
      </c>
      <c r="BP22" s="19">
        <v>172946.693</v>
      </c>
      <c r="BQ22" s="19">
        <v>181141.05799999999</v>
      </c>
      <c r="BR22" s="19" t="s">
        <v>121</v>
      </c>
      <c r="BS22" s="19" t="s">
        <v>121</v>
      </c>
      <c r="BT22" s="19" t="s">
        <v>121</v>
      </c>
      <c r="BU22" s="19" t="s">
        <v>121</v>
      </c>
      <c r="BV22" s="19" t="s">
        <v>121</v>
      </c>
      <c r="BW22" s="19" t="s">
        <v>121</v>
      </c>
      <c r="BX22" s="19" t="s">
        <v>121</v>
      </c>
      <c r="BY22" s="19" t="s">
        <v>121</v>
      </c>
      <c r="BZ22" s="19" t="s">
        <v>121</v>
      </c>
      <c r="CA22" s="19" t="s">
        <v>121</v>
      </c>
      <c r="CB22" s="19" t="s">
        <v>121</v>
      </c>
      <c r="CC22" s="19" t="s">
        <v>121</v>
      </c>
      <c r="CD22" s="19" t="s">
        <v>121</v>
      </c>
      <c r="CE22" s="19" t="s">
        <v>121</v>
      </c>
      <c r="CF22" s="19" t="s">
        <v>121</v>
      </c>
      <c r="CG22" s="19" t="s">
        <v>121</v>
      </c>
      <c r="CH22" s="19" t="s">
        <v>121</v>
      </c>
      <c r="CI22" s="19" t="s">
        <v>121</v>
      </c>
      <c r="CJ22" s="19" t="s">
        <v>121</v>
      </c>
      <c r="CK22" s="19" t="s">
        <v>121</v>
      </c>
      <c r="CL22" s="19" t="s">
        <v>121</v>
      </c>
      <c r="CM22" s="19" t="s">
        <v>121</v>
      </c>
      <c r="CN22" s="19" t="s">
        <v>121</v>
      </c>
      <c r="CO22" s="19" t="s">
        <v>121</v>
      </c>
      <c r="CP22" s="19" t="s">
        <v>121</v>
      </c>
      <c r="CQ22" s="19" t="s">
        <v>121</v>
      </c>
      <c r="CR22" s="19" t="s">
        <v>121</v>
      </c>
      <c r="CS22" s="19" t="s">
        <v>121</v>
      </c>
      <c r="CT22" s="19" t="s">
        <v>121</v>
      </c>
      <c r="CU22" s="19" t="s">
        <v>121</v>
      </c>
      <c r="CV22" s="19" t="s">
        <v>121</v>
      </c>
      <c r="CW22" s="19" t="s">
        <v>121</v>
      </c>
      <c r="CX22" s="19" t="s">
        <v>121</v>
      </c>
      <c r="CY22" s="19" t="s">
        <v>121</v>
      </c>
      <c r="CZ22" s="19" t="s">
        <v>121</v>
      </c>
      <c r="DA22" s="19" t="s">
        <v>121</v>
      </c>
      <c r="DB22" s="19" t="s">
        <v>121</v>
      </c>
      <c r="DC22" s="19" t="s">
        <v>121</v>
      </c>
      <c r="DD22" s="19" t="s">
        <v>121</v>
      </c>
      <c r="DE22" s="19" t="s">
        <v>121</v>
      </c>
      <c r="DF22" s="19" t="s">
        <v>121</v>
      </c>
      <c r="DG22" s="19" t="s">
        <v>121</v>
      </c>
      <c r="DH22" s="19" t="s">
        <v>121</v>
      </c>
      <c r="DI22" s="19" t="s">
        <v>121</v>
      </c>
      <c r="DJ22" s="19" t="s">
        <v>121</v>
      </c>
      <c r="DK22" s="19" t="s">
        <v>121</v>
      </c>
      <c r="DL22" s="19" t="s">
        <v>121</v>
      </c>
      <c r="DM22" s="19" t="s">
        <v>121</v>
      </c>
      <c r="DN22" s="19" t="s">
        <v>121</v>
      </c>
      <c r="DO22" s="19" t="s">
        <v>121</v>
      </c>
      <c r="DP22" s="19" t="s">
        <v>121</v>
      </c>
      <c r="DQ22" s="19" t="s">
        <v>121</v>
      </c>
      <c r="DR22" s="19" t="s">
        <v>121</v>
      </c>
      <c r="DS22" s="19" t="s">
        <v>121</v>
      </c>
      <c r="DT22" s="19" t="s">
        <v>121</v>
      </c>
      <c r="DU22" s="19" t="s">
        <v>121</v>
      </c>
      <c r="DV22" s="19" t="s">
        <v>121</v>
      </c>
      <c r="DW22" s="19" t="s">
        <v>121</v>
      </c>
      <c r="DX22" s="19" t="s">
        <v>121</v>
      </c>
      <c r="DY22" s="19" t="s">
        <v>121</v>
      </c>
      <c r="DZ22" s="19" t="s">
        <v>121</v>
      </c>
      <c r="EA22" s="19" t="s">
        <v>121</v>
      </c>
      <c r="EB22" s="19" t="s">
        <v>121</v>
      </c>
      <c r="EC22" s="19" t="s">
        <v>121</v>
      </c>
      <c r="ED22" s="19" t="s">
        <v>121</v>
      </c>
      <c r="EE22" s="19" t="s">
        <v>121</v>
      </c>
      <c r="EF22" s="19" t="s">
        <v>121</v>
      </c>
      <c r="EG22" s="19" t="s">
        <v>121</v>
      </c>
      <c r="EH22" s="19" t="s">
        <v>121</v>
      </c>
      <c r="EI22" s="19" t="s">
        <v>121</v>
      </c>
      <c r="EJ22" s="19" t="s">
        <v>121</v>
      </c>
      <c r="EK22" s="19" t="s">
        <v>121</v>
      </c>
      <c r="EL22" s="19" t="s">
        <v>121</v>
      </c>
      <c r="EM22" s="19" t="s">
        <v>121</v>
      </c>
      <c r="EN22" s="19" t="s">
        <v>121</v>
      </c>
      <c r="EO22" s="19" t="s">
        <v>121</v>
      </c>
      <c r="EP22" s="19" t="s">
        <v>121</v>
      </c>
      <c r="EQ22" s="19" t="s">
        <v>121</v>
      </c>
      <c r="ER22" s="19" t="s">
        <v>121</v>
      </c>
      <c r="ES22" s="19" t="s">
        <v>121</v>
      </c>
      <c r="ET22" s="19" t="s">
        <v>121</v>
      </c>
      <c r="EU22" s="19" t="s">
        <v>121</v>
      </c>
    </row>
    <row r="23" spans="1:151" ht="6" customHeight="1" x14ac:dyDescent="0.25">
      <c r="A23" s="72">
        <v>23</v>
      </c>
      <c r="B23" s="1" t="s">
        <v>121</v>
      </c>
      <c r="C23" s="182" t="s">
        <v>121</v>
      </c>
      <c r="D23" s="123" t="s">
        <v>121</v>
      </c>
      <c r="E23" s="94" t="s">
        <v>121</v>
      </c>
      <c r="F23" s="123" t="s">
        <v>121</v>
      </c>
      <c r="G23" s="123" t="s">
        <v>121</v>
      </c>
      <c r="H23" s="123" t="s">
        <v>121</v>
      </c>
      <c r="I23" s="123" t="s">
        <v>121</v>
      </c>
      <c r="J23" s="123" t="s">
        <v>121</v>
      </c>
      <c r="K23" s="123" t="s">
        <v>121</v>
      </c>
      <c r="L23" s="123" t="s">
        <v>121</v>
      </c>
      <c r="M23" s="123" t="s">
        <v>121</v>
      </c>
      <c r="N23" s="123" t="s">
        <v>121</v>
      </c>
      <c r="O23" s="123" t="s">
        <v>121</v>
      </c>
      <c r="P23" s="123" t="s">
        <v>121</v>
      </c>
      <c r="Q23" s="123" t="s">
        <v>121</v>
      </c>
      <c r="R23" s="123" t="s">
        <v>121</v>
      </c>
      <c r="S23" s="123" t="s">
        <v>121</v>
      </c>
      <c r="T23" s="123" t="s">
        <v>121</v>
      </c>
      <c r="U23" s="123" t="s">
        <v>121</v>
      </c>
      <c r="V23" s="123" t="s">
        <v>121</v>
      </c>
      <c r="W23" s="123" t="s">
        <v>121</v>
      </c>
      <c r="X23" s="123" t="s">
        <v>121</v>
      </c>
      <c r="Y23" s="123" t="s">
        <v>121</v>
      </c>
      <c r="Z23" s="123" t="s">
        <v>121</v>
      </c>
      <c r="AA23" s="123" t="s">
        <v>121</v>
      </c>
      <c r="AB23" s="123" t="s">
        <v>121</v>
      </c>
      <c r="AC23" s="123" t="s">
        <v>121</v>
      </c>
      <c r="AD23" s="123" t="s">
        <v>121</v>
      </c>
      <c r="AE23" s="123" t="s">
        <v>121</v>
      </c>
      <c r="AF23" s="123" t="s">
        <v>121</v>
      </c>
      <c r="AG23" s="123" t="s">
        <v>121</v>
      </c>
      <c r="AH23" s="123" t="s">
        <v>121</v>
      </c>
      <c r="AI23" s="123" t="s">
        <v>121</v>
      </c>
      <c r="AJ23" s="123" t="s">
        <v>121</v>
      </c>
      <c r="AK23" s="179" t="s">
        <v>121</v>
      </c>
      <c r="AL23" s="179" t="s">
        <v>121</v>
      </c>
      <c r="AM23" s="179" t="s">
        <v>121</v>
      </c>
      <c r="AN23" s="123" t="s">
        <v>121</v>
      </c>
      <c r="AO23" s="123" t="s">
        <v>121</v>
      </c>
      <c r="AP23" s="123" t="s">
        <v>121</v>
      </c>
      <c r="AQ23" s="123" t="s">
        <v>121</v>
      </c>
      <c r="AR23" s="123" t="s">
        <v>121</v>
      </c>
      <c r="AS23" s="123" t="s">
        <v>121</v>
      </c>
      <c r="AT23" s="123" t="s">
        <v>121</v>
      </c>
      <c r="AU23" s="123" t="s">
        <v>121</v>
      </c>
      <c r="AV23" s="123" t="s">
        <v>121</v>
      </c>
      <c r="AW23" s="123" t="s">
        <v>121</v>
      </c>
      <c r="AX23" s="123" t="s">
        <v>121</v>
      </c>
      <c r="AY23" s="1" t="s">
        <v>121</v>
      </c>
      <c r="AZ23" s="32" t="s">
        <v>121</v>
      </c>
      <c r="BA23" s="1" t="s">
        <v>121</v>
      </c>
      <c r="BB23" s="32" t="s">
        <v>121</v>
      </c>
      <c r="BC23" s="32" t="s">
        <v>121</v>
      </c>
      <c r="BD23" s="32" t="s">
        <v>121</v>
      </c>
      <c r="BE23" s="32" t="s">
        <v>121</v>
      </c>
      <c r="BF23" s="1" t="s">
        <v>121</v>
      </c>
      <c r="BG23" s="1" t="s">
        <v>121</v>
      </c>
      <c r="BH23" s="1" t="s">
        <v>121</v>
      </c>
      <c r="BI23" s="1" t="s">
        <v>121</v>
      </c>
      <c r="BJ23" s="1" t="s">
        <v>121</v>
      </c>
      <c r="BK23" s="1" t="s">
        <v>121</v>
      </c>
      <c r="BL23" s="1" t="s">
        <v>121</v>
      </c>
      <c r="BM23" s="1" t="s">
        <v>121</v>
      </c>
      <c r="BN23" s="1" t="s">
        <v>121</v>
      </c>
      <c r="BO23" s="1" t="s">
        <v>121</v>
      </c>
      <c r="BP23" s="1" t="s">
        <v>121</v>
      </c>
      <c r="BQ23" s="1" t="s">
        <v>121</v>
      </c>
      <c r="BR23" s="1" t="s">
        <v>121</v>
      </c>
      <c r="BS23" s="1" t="s">
        <v>121</v>
      </c>
      <c r="BT23" s="1" t="s">
        <v>121</v>
      </c>
      <c r="BU23" s="1" t="s">
        <v>121</v>
      </c>
      <c r="BV23" s="1" t="s">
        <v>121</v>
      </c>
      <c r="BW23" s="1" t="s">
        <v>121</v>
      </c>
      <c r="BX23" s="1" t="s">
        <v>121</v>
      </c>
      <c r="BY23" s="1" t="s">
        <v>121</v>
      </c>
      <c r="BZ23" s="1" t="s">
        <v>121</v>
      </c>
      <c r="CA23" s="1" t="s">
        <v>121</v>
      </c>
      <c r="CB23" s="1" t="s">
        <v>121</v>
      </c>
      <c r="CC23" s="1" t="s">
        <v>121</v>
      </c>
      <c r="CD23" s="1" t="s">
        <v>121</v>
      </c>
      <c r="CE23" s="1" t="s">
        <v>121</v>
      </c>
      <c r="CF23" s="1" t="s">
        <v>121</v>
      </c>
      <c r="CG23" s="1" t="s">
        <v>121</v>
      </c>
      <c r="CH23" s="1" t="s">
        <v>121</v>
      </c>
      <c r="CI23" s="1" t="s">
        <v>121</v>
      </c>
      <c r="CJ23" s="1" t="s">
        <v>121</v>
      </c>
      <c r="CK23" s="1" t="s">
        <v>121</v>
      </c>
      <c r="CL23" s="1" t="s">
        <v>121</v>
      </c>
      <c r="CM23" s="1" t="s">
        <v>121</v>
      </c>
      <c r="CN23" s="1" t="s">
        <v>121</v>
      </c>
      <c r="CO23" s="1" t="s">
        <v>121</v>
      </c>
      <c r="CP23" s="1" t="s">
        <v>121</v>
      </c>
      <c r="CQ23" s="1" t="s">
        <v>121</v>
      </c>
      <c r="CR23" s="1" t="s">
        <v>121</v>
      </c>
      <c r="CS23" s="1" t="s">
        <v>121</v>
      </c>
      <c r="CT23" s="1" t="s">
        <v>121</v>
      </c>
      <c r="CU23" s="1" t="s">
        <v>121</v>
      </c>
      <c r="CV23" s="1" t="s">
        <v>121</v>
      </c>
      <c r="CW23" s="1" t="s">
        <v>121</v>
      </c>
      <c r="CX23" s="1" t="s">
        <v>121</v>
      </c>
      <c r="CY23" s="1" t="s">
        <v>121</v>
      </c>
      <c r="CZ23" s="1" t="s">
        <v>121</v>
      </c>
      <c r="DA23" s="1" t="s">
        <v>121</v>
      </c>
      <c r="DB23" s="1" t="s">
        <v>121</v>
      </c>
      <c r="DC23" s="1" t="s">
        <v>121</v>
      </c>
      <c r="DD23" s="1" t="s">
        <v>121</v>
      </c>
      <c r="DE23" s="1" t="s">
        <v>121</v>
      </c>
      <c r="DF23" s="1" t="s">
        <v>121</v>
      </c>
      <c r="DG23" s="1" t="s">
        <v>121</v>
      </c>
      <c r="DH23" s="1" t="s">
        <v>121</v>
      </c>
      <c r="DI23" s="1" t="s">
        <v>121</v>
      </c>
      <c r="DJ23" s="1" t="s">
        <v>121</v>
      </c>
      <c r="DK23" s="1" t="s">
        <v>121</v>
      </c>
      <c r="DL23" s="1" t="s">
        <v>121</v>
      </c>
      <c r="DM23" s="1" t="s">
        <v>121</v>
      </c>
      <c r="DN23" s="1" t="s">
        <v>121</v>
      </c>
      <c r="DO23" s="1" t="s">
        <v>121</v>
      </c>
      <c r="DP23" s="1" t="s">
        <v>121</v>
      </c>
      <c r="DQ23" s="1" t="s">
        <v>121</v>
      </c>
      <c r="DR23" s="1" t="s">
        <v>121</v>
      </c>
      <c r="DS23" s="1" t="s">
        <v>121</v>
      </c>
      <c r="DT23" s="1" t="s">
        <v>121</v>
      </c>
      <c r="DU23" s="1" t="s">
        <v>121</v>
      </c>
      <c r="DV23" s="1" t="s">
        <v>121</v>
      </c>
      <c r="DW23" s="1" t="s">
        <v>121</v>
      </c>
      <c r="DX23" s="1" t="s">
        <v>121</v>
      </c>
      <c r="DY23" s="1" t="s">
        <v>121</v>
      </c>
      <c r="DZ23" s="1" t="s">
        <v>121</v>
      </c>
      <c r="EA23" s="1" t="s">
        <v>121</v>
      </c>
      <c r="EB23" s="1" t="s">
        <v>121</v>
      </c>
      <c r="EC23" s="1" t="s">
        <v>121</v>
      </c>
      <c r="ED23" s="1" t="s">
        <v>121</v>
      </c>
      <c r="EE23" s="1" t="s">
        <v>121</v>
      </c>
      <c r="EF23" s="1" t="s">
        <v>121</v>
      </c>
      <c r="EG23" s="1" t="s">
        <v>121</v>
      </c>
      <c r="EH23" s="1" t="s">
        <v>121</v>
      </c>
      <c r="EI23" s="1" t="s">
        <v>121</v>
      </c>
      <c r="EJ23" s="1" t="s">
        <v>121</v>
      </c>
      <c r="EK23" s="1" t="s">
        <v>121</v>
      </c>
      <c r="EL23" s="1" t="s">
        <v>121</v>
      </c>
      <c r="EM23" s="1" t="s">
        <v>121</v>
      </c>
      <c r="EN23" s="1" t="s">
        <v>121</v>
      </c>
      <c r="EO23" s="1" t="s">
        <v>121</v>
      </c>
      <c r="EP23" s="1" t="s">
        <v>121</v>
      </c>
      <c r="EQ23" s="1" t="s">
        <v>121</v>
      </c>
      <c r="ER23" s="1" t="s">
        <v>121</v>
      </c>
      <c r="ES23" s="1" t="s">
        <v>121</v>
      </c>
      <c r="ET23" s="1" t="s">
        <v>121</v>
      </c>
      <c r="EU23" s="1" t="s">
        <v>121</v>
      </c>
    </row>
    <row r="24" spans="1:151" x14ac:dyDescent="0.25">
      <c r="A24" s="72">
        <v>24</v>
      </c>
      <c r="B24" s="129" t="s">
        <v>121</v>
      </c>
      <c r="C24" s="179" t="s">
        <v>121</v>
      </c>
      <c r="D24" s="123" t="s">
        <v>121</v>
      </c>
      <c r="E24" s="1" t="s">
        <v>121</v>
      </c>
      <c r="F24" s="1" t="s">
        <v>121</v>
      </c>
      <c r="G24" s="1" t="s">
        <v>121</v>
      </c>
      <c r="H24" s="1" t="s">
        <v>121</v>
      </c>
      <c r="I24" s="1" t="s">
        <v>121</v>
      </c>
      <c r="J24" s="1" t="s">
        <v>121</v>
      </c>
      <c r="K24" s="1" t="s">
        <v>121</v>
      </c>
      <c r="L24" s="1" t="s">
        <v>121</v>
      </c>
      <c r="M24" s="1" t="s">
        <v>121</v>
      </c>
      <c r="N24" s="1" t="s">
        <v>121</v>
      </c>
      <c r="O24" s="1" t="s">
        <v>121</v>
      </c>
      <c r="P24" s="1" t="s">
        <v>121</v>
      </c>
      <c r="Q24" s="1" t="s">
        <v>121</v>
      </c>
      <c r="R24" s="1" t="s">
        <v>121</v>
      </c>
      <c r="S24" s="1" t="s">
        <v>121</v>
      </c>
      <c r="T24" s="1" t="s">
        <v>121</v>
      </c>
      <c r="U24" s="128" t="s">
        <v>121</v>
      </c>
      <c r="V24" s="128" t="s">
        <v>121</v>
      </c>
      <c r="W24" s="128" t="s">
        <v>121</v>
      </c>
      <c r="X24" s="128" t="s">
        <v>121</v>
      </c>
      <c r="Y24" s="123" t="s">
        <v>121</v>
      </c>
      <c r="Z24" s="123" t="s">
        <v>121</v>
      </c>
      <c r="AA24" s="123" t="s">
        <v>121</v>
      </c>
      <c r="AB24" s="123" t="s">
        <v>121</v>
      </c>
      <c r="AC24" s="123" t="s">
        <v>121</v>
      </c>
      <c r="AD24" s="123" t="s">
        <v>121</v>
      </c>
      <c r="AE24" s="123" t="s">
        <v>121</v>
      </c>
      <c r="AF24" s="123" t="s">
        <v>121</v>
      </c>
      <c r="AG24" s="123" t="s">
        <v>121</v>
      </c>
      <c r="AH24" s="143" t="s">
        <v>121</v>
      </c>
      <c r="AI24" s="143" t="s">
        <v>121</v>
      </c>
      <c r="AJ24" s="143" t="s">
        <v>121</v>
      </c>
      <c r="AK24" s="180" t="s">
        <v>121</v>
      </c>
      <c r="AL24" s="180" t="s">
        <v>121</v>
      </c>
      <c r="AM24" s="180" t="s">
        <v>121</v>
      </c>
      <c r="AN24" s="143" t="s">
        <v>121</v>
      </c>
      <c r="AO24" s="143" t="s">
        <v>121</v>
      </c>
      <c r="AP24" s="143" t="s">
        <v>121</v>
      </c>
      <c r="AQ24" s="143" t="s">
        <v>121</v>
      </c>
      <c r="AR24" s="143" t="s">
        <v>121</v>
      </c>
      <c r="AS24" s="143" t="s">
        <v>121</v>
      </c>
      <c r="AT24" s="143" t="s">
        <v>121</v>
      </c>
      <c r="AU24" s="143" t="s">
        <v>121</v>
      </c>
      <c r="AV24" s="123" t="s">
        <v>121</v>
      </c>
      <c r="AW24" s="123" t="s">
        <v>121</v>
      </c>
      <c r="AX24" s="55" t="s">
        <v>121</v>
      </c>
      <c r="AY24" s="55" t="s">
        <v>121</v>
      </c>
      <c r="AZ24" s="55" t="s">
        <v>121</v>
      </c>
      <c r="BA24" s="55" t="s">
        <v>121</v>
      </c>
      <c r="BB24" s="55" t="s">
        <v>121</v>
      </c>
      <c r="BC24" s="55" t="s">
        <v>121</v>
      </c>
      <c r="BD24" s="55" t="s">
        <v>121</v>
      </c>
      <c r="BE24" s="55" t="s">
        <v>121</v>
      </c>
      <c r="BF24" s="55" t="s">
        <v>121</v>
      </c>
      <c r="BG24" s="55" t="s">
        <v>121</v>
      </c>
      <c r="BH24" s="55" t="s">
        <v>121</v>
      </c>
      <c r="BI24" s="55" t="s">
        <v>121</v>
      </c>
      <c r="BJ24" s="55" t="s">
        <v>121</v>
      </c>
      <c r="BK24" s="55" t="s">
        <v>121</v>
      </c>
      <c r="BL24" s="55" t="s">
        <v>121</v>
      </c>
      <c r="BM24" s="1" t="s">
        <v>121</v>
      </c>
      <c r="BN24" s="1" t="s">
        <v>121</v>
      </c>
      <c r="BO24" s="1" t="s">
        <v>121</v>
      </c>
      <c r="BP24" s="1" t="s">
        <v>121</v>
      </c>
      <c r="BQ24" s="1" t="s">
        <v>121</v>
      </c>
      <c r="BR24" s="1" t="s">
        <v>121</v>
      </c>
      <c r="BS24" s="1" t="s">
        <v>121</v>
      </c>
      <c r="BT24" s="1" t="s">
        <v>121</v>
      </c>
      <c r="BU24" s="1" t="s">
        <v>121</v>
      </c>
      <c r="BV24" s="1" t="s">
        <v>121</v>
      </c>
      <c r="BW24" s="1" t="s">
        <v>121</v>
      </c>
      <c r="BX24" s="1" t="s">
        <v>121</v>
      </c>
      <c r="BY24" s="1" t="s">
        <v>121</v>
      </c>
      <c r="BZ24" s="1" t="s">
        <v>121</v>
      </c>
      <c r="CA24" s="1" t="s">
        <v>121</v>
      </c>
      <c r="CB24" s="1" t="s">
        <v>121</v>
      </c>
      <c r="CC24" s="1" t="s">
        <v>121</v>
      </c>
      <c r="CD24" s="1" t="s">
        <v>121</v>
      </c>
      <c r="CE24" s="1" t="s">
        <v>121</v>
      </c>
      <c r="CF24" s="1" t="s">
        <v>121</v>
      </c>
      <c r="CG24" s="1" t="s">
        <v>121</v>
      </c>
      <c r="CH24" s="1" t="s">
        <v>121</v>
      </c>
      <c r="CI24" s="1" t="s">
        <v>121</v>
      </c>
      <c r="CJ24" s="1" t="s">
        <v>121</v>
      </c>
      <c r="CK24" s="1" t="s">
        <v>121</v>
      </c>
      <c r="CL24" s="1" t="s">
        <v>121</v>
      </c>
      <c r="CM24" s="1" t="s">
        <v>121</v>
      </c>
      <c r="CN24" s="1" t="s">
        <v>121</v>
      </c>
      <c r="CO24" s="1" t="s">
        <v>121</v>
      </c>
      <c r="CP24" s="1" t="s">
        <v>121</v>
      </c>
      <c r="CQ24" s="1" t="s">
        <v>121</v>
      </c>
      <c r="CR24" s="1" t="s">
        <v>121</v>
      </c>
      <c r="CS24" s="1" t="s">
        <v>121</v>
      </c>
      <c r="CT24" s="1" t="s">
        <v>121</v>
      </c>
      <c r="CU24" s="1" t="s">
        <v>121</v>
      </c>
      <c r="CV24" s="1" t="s">
        <v>121</v>
      </c>
      <c r="CW24" s="1" t="s">
        <v>121</v>
      </c>
      <c r="CX24" s="1" t="s">
        <v>121</v>
      </c>
      <c r="CY24" s="1" t="s">
        <v>121</v>
      </c>
      <c r="CZ24" s="1" t="s">
        <v>121</v>
      </c>
      <c r="DA24" s="1" t="s">
        <v>121</v>
      </c>
      <c r="DB24" s="1" t="s">
        <v>121</v>
      </c>
      <c r="DC24" s="1" t="s">
        <v>121</v>
      </c>
      <c r="DD24" s="1" t="s">
        <v>121</v>
      </c>
      <c r="DE24" s="1" t="s">
        <v>121</v>
      </c>
      <c r="DF24" s="1" t="s">
        <v>121</v>
      </c>
      <c r="DG24" s="1" t="s">
        <v>121</v>
      </c>
      <c r="DH24" s="1" t="s">
        <v>121</v>
      </c>
      <c r="DI24" s="1" t="s">
        <v>121</v>
      </c>
      <c r="DJ24" s="1" t="s">
        <v>121</v>
      </c>
      <c r="DK24" s="1" t="s">
        <v>121</v>
      </c>
      <c r="DL24" s="1" t="s">
        <v>121</v>
      </c>
      <c r="DM24" s="1" t="s">
        <v>121</v>
      </c>
      <c r="DN24" s="1" t="s">
        <v>121</v>
      </c>
      <c r="DO24" s="1" t="s">
        <v>121</v>
      </c>
      <c r="DP24" s="1" t="s">
        <v>121</v>
      </c>
      <c r="DQ24" s="1" t="s">
        <v>121</v>
      </c>
      <c r="DR24" s="1" t="s">
        <v>121</v>
      </c>
      <c r="DS24" s="1" t="s">
        <v>121</v>
      </c>
      <c r="DT24" s="1" t="s">
        <v>121</v>
      </c>
      <c r="DU24" s="1" t="s">
        <v>121</v>
      </c>
      <c r="DV24" s="1" t="s">
        <v>121</v>
      </c>
      <c r="DW24" s="1" t="s">
        <v>121</v>
      </c>
      <c r="DX24" s="1" t="s">
        <v>121</v>
      </c>
      <c r="DY24" s="1" t="s">
        <v>121</v>
      </c>
      <c r="DZ24" s="1" t="s">
        <v>121</v>
      </c>
      <c r="EA24" s="1" t="s">
        <v>121</v>
      </c>
      <c r="EB24" s="1" t="s">
        <v>121</v>
      </c>
      <c r="EC24" s="1" t="s">
        <v>121</v>
      </c>
      <c r="ED24" s="1" t="s">
        <v>121</v>
      </c>
      <c r="EE24" s="1" t="s">
        <v>121</v>
      </c>
      <c r="EF24" s="1" t="s">
        <v>121</v>
      </c>
      <c r="EG24" s="1" t="s">
        <v>121</v>
      </c>
      <c r="EH24" s="1" t="s">
        <v>121</v>
      </c>
      <c r="EI24" s="1" t="s">
        <v>121</v>
      </c>
      <c r="EJ24" s="1" t="s">
        <v>121</v>
      </c>
      <c r="EK24" s="1" t="s">
        <v>121</v>
      </c>
      <c r="EL24" s="1" t="s">
        <v>121</v>
      </c>
      <c r="EM24" s="1" t="s">
        <v>121</v>
      </c>
      <c r="EN24" s="1" t="s">
        <v>121</v>
      </c>
      <c r="EO24" s="1" t="s">
        <v>121</v>
      </c>
      <c r="EP24" s="1" t="s">
        <v>121</v>
      </c>
      <c r="EQ24" s="1" t="s">
        <v>121</v>
      </c>
      <c r="ER24" s="1" t="s">
        <v>121</v>
      </c>
      <c r="ES24" s="1" t="s">
        <v>121</v>
      </c>
      <c r="ET24" s="1" t="s">
        <v>121</v>
      </c>
      <c r="EU24" s="1" t="s">
        <v>121</v>
      </c>
    </row>
    <row r="25" spans="1:151" x14ac:dyDescent="0.25">
      <c r="A25" s="72">
        <v>25</v>
      </c>
      <c r="B25" s="160" t="s">
        <v>121</v>
      </c>
      <c r="C25" s="162" t="s">
        <v>121</v>
      </c>
      <c r="D25" s="160" t="s">
        <v>121</v>
      </c>
      <c r="E25" s="160" t="s">
        <v>121</v>
      </c>
      <c r="F25" s="1" t="s">
        <v>121</v>
      </c>
      <c r="G25" s="160" t="s">
        <v>121</v>
      </c>
      <c r="H25" s="355" t="s">
        <v>121</v>
      </c>
      <c r="I25" s="355" t="s">
        <v>121</v>
      </c>
      <c r="J25" s="355" t="s">
        <v>121</v>
      </c>
      <c r="K25" s="355" t="s">
        <v>121</v>
      </c>
      <c r="L25" s="355" t="s">
        <v>121</v>
      </c>
      <c r="M25" s="355" t="s">
        <v>121</v>
      </c>
      <c r="N25" s="355" t="s">
        <v>121</v>
      </c>
      <c r="O25" s="355" t="s">
        <v>121</v>
      </c>
      <c r="P25" s="355" t="s">
        <v>121</v>
      </c>
      <c r="Q25" s="355" t="s">
        <v>121</v>
      </c>
      <c r="R25" s="355" t="s">
        <v>121</v>
      </c>
      <c r="S25" s="355" t="s">
        <v>121</v>
      </c>
      <c r="T25" s="355" t="s">
        <v>121</v>
      </c>
      <c r="U25" s="1" t="s">
        <v>121</v>
      </c>
      <c r="V25" s="1" t="s">
        <v>121</v>
      </c>
      <c r="W25" s="1" t="s">
        <v>121</v>
      </c>
      <c r="X25" s="1" t="s">
        <v>121</v>
      </c>
      <c r="Y25" s="1" t="s">
        <v>121</v>
      </c>
      <c r="Z25" s="1" t="s">
        <v>121</v>
      </c>
      <c r="AA25" s="1" t="s">
        <v>121</v>
      </c>
      <c r="AB25" s="1" t="s">
        <v>121</v>
      </c>
      <c r="AC25" s="1" t="s">
        <v>121</v>
      </c>
      <c r="AD25" s="1" t="s">
        <v>121</v>
      </c>
      <c r="AE25" s="1" t="s">
        <v>121</v>
      </c>
      <c r="AF25" s="1" t="s">
        <v>121</v>
      </c>
      <c r="AG25" s="1" t="s">
        <v>121</v>
      </c>
      <c r="AH25" s="79" t="s">
        <v>121</v>
      </c>
      <c r="AI25" s="79" t="s">
        <v>121</v>
      </c>
      <c r="AJ25" s="79" t="s">
        <v>121</v>
      </c>
      <c r="AK25" s="181" t="s">
        <v>121</v>
      </c>
      <c r="AL25" s="181" t="s">
        <v>121</v>
      </c>
      <c r="AM25" s="181" t="s">
        <v>121</v>
      </c>
      <c r="AN25" s="79" t="s">
        <v>121</v>
      </c>
      <c r="AO25" s="79" t="s">
        <v>121</v>
      </c>
      <c r="AP25" s="79" t="s">
        <v>121</v>
      </c>
      <c r="AQ25" s="79" t="s">
        <v>121</v>
      </c>
      <c r="AR25" s="79" t="s">
        <v>121</v>
      </c>
      <c r="AS25" s="79" t="s">
        <v>121</v>
      </c>
      <c r="AT25" s="79" t="s">
        <v>121</v>
      </c>
      <c r="AU25" s="79" t="s">
        <v>121</v>
      </c>
      <c r="AV25" s="1" t="s">
        <v>121</v>
      </c>
      <c r="AW25" s="1" t="s">
        <v>121</v>
      </c>
      <c r="AX25" s="1" t="s">
        <v>121</v>
      </c>
      <c r="AY25" s="1" t="s">
        <v>121</v>
      </c>
      <c r="AZ25" s="32" t="s">
        <v>121</v>
      </c>
      <c r="BA25" s="1" t="s">
        <v>121</v>
      </c>
      <c r="BB25" s="32" t="s">
        <v>121</v>
      </c>
      <c r="BC25" s="32" t="s">
        <v>121</v>
      </c>
      <c r="BD25" s="32" t="s">
        <v>121</v>
      </c>
      <c r="BE25" s="32" t="s">
        <v>121</v>
      </c>
      <c r="BF25" s="1" t="s">
        <v>121</v>
      </c>
      <c r="BG25" s="1" t="s">
        <v>121</v>
      </c>
      <c r="BH25" s="1" t="s">
        <v>121</v>
      </c>
      <c r="BI25" s="1" t="s">
        <v>121</v>
      </c>
      <c r="BJ25" s="1" t="s">
        <v>121</v>
      </c>
      <c r="BK25" s="1" t="s">
        <v>121</v>
      </c>
      <c r="BL25" s="1" t="s">
        <v>121</v>
      </c>
      <c r="BM25" s="1" t="s">
        <v>121</v>
      </c>
      <c r="BN25" s="1" t="s">
        <v>121</v>
      </c>
      <c r="BO25" s="1" t="s">
        <v>121</v>
      </c>
      <c r="BP25" s="1" t="s">
        <v>121</v>
      </c>
      <c r="BQ25" s="1" t="s">
        <v>121</v>
      </c>
      <c r="BR25" s="1" t="s">
        <v>121</v>
      </c>
      <c r="BS25" s="1" t="s">
        <v>121</v>
      </c>
      <c r="BT25" s="1" t="s">
        <v>121</v>
      </c>
      <c r="BU25" s="1" t="s">
        <v>121</v>
      </c>
      <c r="BV25" s="1" t="s">
        <v>121</v>
      </c>
      <c r="BW25" s="1" t="s">
        <v>121</v>
      </c>
      <c r="BX25" s="1" t="s">
        <v>121</v>
      </c>
      <c r="BY25" s="1" t="s">
        <v>121</v>
      </c>
      <c r="BZ25" s="1" t="s">
        <v>121</v>
      </c>
      <c r="CA25" s="1" t="s">
        <v>121</v>
      </c>
      <c r="CB25" s="1" t="s">
        <v>121</v>
      </c>
      <c r="CC25" s="1" t="s">
        <v>121</v>
      </c>
      <c r="CD25" s="1" t="s">
        <v>121</v>
      </c>
      <c r="CE25" s="1" t="s">
        <v>121</v>
      </c>
      <c r="CF25" s="1" t="s">
        <v>121</v>
      </c>
      <c r="CG25" s="1" t="s">
        <v>121</v>
      </c>
      <c r="CH25" s="1" t="s">
        <v>121</v>
      </c>
      <c r="CI25" s="1" t="s">
        <v>121</v>
      </c>
      <c r="CJ25" s="1" t="s">
        <v>121</v>
      </c>
      <c r="CK25" s="1" t="s">
        <v>121</v>
      </c>
      <c r="CL25" s="1" t="s">
        <v>121</v>
      </c>
      <c r="CM25" s="1" t="s">
        <v>121</v>
      </c>
      <c r="CN25" s="1" t="s">
        <v>121</v>
      </c>
      <c r="CO25" s="1" t="s">
        <v>121</v>
      </c>
      <c r="CP25" s="1" t="s">
        <v>121</v>
      </c>
      <c r="CQ25" s="1" t="s">
        <v>121</v>
      </c>
      <c r="CR25" s="1" t="s">
        <v>121</v>
      </c>
      <c r="CS25" s="1" t="s">
        <v>121</v>
      </c>
      <c r="CT25" s="1" t="s">
        <v>121</v>
      </c>
      <c r="CU25" s="1" t="s">
        <v>121</v>
      </c>
      <c r="CV25" s="1" t="s">
        <v>121</v>
      </c>
      <c r="CW25" s="1" t="s">
        <v>121</v>
      </c>
      <c r="CX25" s="1" t="s">
        <v>121</v>
      </c>
      <c r="CY25" s="1" t="s">
        <v>121</v>
      </c>
      <c r="CZ25" s="1" t="s">
        <v>121</v>
      </c>
      <c r="DA25" s="1" t="s">
        <v>121</v>
      </c>
      <c r="DB25" s="1" t="s">
        <v>121</v>
      </c>
      <c r="DC25" s="1" t="s">
        <v>121</v>
      </c>
      <c r="DD25" s="1" t="s">
        <v>121</v>
      </c>
      <c r="DE25" s="1" t="s">
        <v>121</v>
      </c>
      <c r="DF25" s="1" t="s">
        <v>121</v>
      </c>
      <c r="DG25" s="1" t="s">
        <v>121</v>
      </c>
      <c r="DH25" s="1" t="s">
        <v>121</v>
      </c>
      <c r="DI25" s="1" t="s">
        <v>121</v>
      </c>
      <c r="DJ25" s="1" t="s">
        <v>121</v>
      </c>
      <c r="DK25" s="1" t="s">
        <v>121</v>
      </c>
      <c r="DL25" s="1" t="s">
        <v>121</v>
      </c>
      <c r="DM25" s="1" t="s">
        <v>121</v>
      </c>
      <c r="DN25" s="1" t="s">
        <v>121</v>
      </c>
      <c r="DO25" s="1" t="s">
        <v>121</v>
      </c>
      <c r="DP25" s="1" t="s">
        <v>121</v>
      </c>
      <c r="DQ25" s="1" t="s">
        <v>121</v>
      </c>
      <c r="DR25" s="1" t="s">
        <v>121</v>
      </c>
      <c r="DS25" s="1" t="s">
        <v>121</v>
      </c>
      <c r="DT25" s="1" t="s">
        <v>121</v>
      </c>
      <c r="DU25" s="1" t="s">
        <v>121</v>
      </c>
      <c r="DV25" s="1" t="s">
        <v>121</v>
      </c>
      <c r="DW25" s="1" t="s">
        <v>121</v>
      </c>
      <c r="DX25" s="1" t="s">
        <v>121</v>
      </c>
      <c r="DY25" s="1" t="s">
        <v>121</v>
      </c>
      <c r="DZ25" s="1" t="s">
        <v>121</v>
      </c>
      <c r="EA25" s="1" t="s">
        <v>121</v>
      </c>
      <c r="EB25" s="1" t="s">
        <v>121</v>
      </c>
      <c r="EC25" s="1" t="s">
        <v>121</v>
      </c>
      <c r="ED25" s="1" t="s">
        <v>121</v>
      </c>
      <c r="EE25" s="1" t="s">
        <v>121</v>
      </c>
      <c r="EF25" s="1" t="s">
        <v>121</v>
      </c>
      <c r="EG25" s="1" t="s">
        <v>121</v>
      </c>
      <c r="EH25" s="1" t="s">
        <v>121</v>
      </c>
      <c r="EI25" s="1" t="s">
        <v>121</v>
      </c>
      <c r="EJ25" s="1" t="s">
        <v>121</v>
      </c>
      <c r="EK25" s="1" t="s">
        <v>121</v>
      </c>
      <c r="EL25" s="1" t="s">
        <v>121</v>
      </c>
      <c r="EM25" s="1" t="s">
        <v>121</v>
      </c>
      <c r="EN25" s="1" t="s">
        <v>121</v>
      </c>
      <c r="EO25" s="1" t="s">
        <v>121</v>
      </c>
      <c r="EP25" s="1" t="s">
        <v>121</v>
      </c>
      <c r="EQ25" s="1" t="s">
        <v>121</v>
      </c>
      <c r="ER25" s="1" t="s">
        <v>121</v>
      </c>
      <c r="ES25" s="1" t="s">
        <v>121</v>
      </c>
      <c r="ET25" s="1" t="s">
        <v>121</v>
      </c>
      <c r="EU25" s="1" t="s">
        <v>121</v>
      </c>
    </row>
    <row r="26" spans="1:151" x14ac:dyDescent="0.25">
      <c r="A26" s="72">
        <v>26</v>
      </c>
      <c r="B26" s="1" t="s">
        <v>121</v>
      </c>
      <c r="C26" s="60" t="s">
        <v>121</v>
      </c>
      <c r="D26" s="1" t="s">
        <v>121</v>
      </c>
      <c r="E26" s="1" t="s">
        <v>121</v>
      </c>
      <c r="F26" s="1" t="s">
        <v>121</v>
      </c>
      <c r="G26" s="1" t="s">
        <v>121</v>
      </c>
      <c r="H26" s="1" t="s">
        <v>121</v>
      </c>
      <c r="I26" s="1" t="s">
        <v>121</v>
      </c>
      <c r="J26" s="1" t="s">
        <v>121</v>
      </c>
      <c r="K26" s="1" t="s">
        <v>121</v>
      </c>
      <c r="L26" s="1" t="s">
        <v>121</v>
      </c>
      <c r="M26" s="1" t="s">
        <v>121</v>
      </c>
      <c r="N26" s="1" t="s">
        <v>121</v>
      </c>
      <c r="O26" s="1" t="s">
        <v>121</v>
      </c>
      <c r="P26" s="1" t="s">
        <v>121</v>
      </c>
      <c r="Q26" s="1" t="s">
        <v>121</v>
      </c>
      <c r="R26" s="1" t="s">
        <v>121</v>
      </c>
      <c r="S26" s="1" t="s">
        <v>121</v>
      </c>
      <c r="T26" s="1" t="s">
        <v>121</v>
      </c>
      <c r="U26" s="1" t="s">
        <v>121</v>
      </c>
      <c r="V26" s="1" t="s">
        <v>121</v>
      </c>
      <c r="W26" s="1" t="s">
        <v>121</v>
      </c>
      <c r="X26" s="1" t="s">
        <v>121</v>
      </c>
      <c r="Y26" s="1" t="s">
        <v>121</v>
      </c>
      <c r="Z26" s="1" t="s">
        <v>121</v>
      </c>
      <c r="AA26" s="1" t="s">
        <v>121</v>
      </c>
      <c r="AB26" s="1" t="s">
        <v>121</v>
      </c>
      <c r="AC26" s="1" t="s">
        <v>121</v>
      </c>
      <c r="AD26" s="1" t="s">
        <v>121</v>
      </c>
      <c r="AE26" s="1" t="s">
        <v>121</v>
      </c>
      <c r="AF26" s="1" t="s">
        <v>121</v>
      </c>
      <c r="AG26" s="1" t="s">
        <v>121</v>
      </c>
      <c r="AH26" s="1" t="s">
        <v>121</v>
      </c>
      <c r="AI26" s="1" t="s">
        <v>121</v>
      </c>
      <c r="AJ26" s="1" t="s">
        <v>121</v>
      </c>
      <c r="AK26" s="60" t="s">
        <v>121</v>
      </c>
      <c r="AL26" s="60" t="s">
        <v>121</v>
      </c>
      <c r="AM26" s="60" t="s">
        <v>121</v>
      </c>
      <c r="AN26" s="1" t="s">
        <v>121</v>
      </c>
      <c r="AO26" s="1" t="s">
        <v>121</v>
      </c>
      <c r="AP26" s="1" t="s">
        <v>121</v>
      </c>
      <c r="AQ26" s="1" t="s">
        <v>121</v>
      </c>
      <c r="AR26" s="1" t="s">
        <v>121</v>
      </c>
      <c r="AS26" s="1" t="s">
        <v>121</v>
      </c>
      <c r="AT26" s="1" t="s">
        <v>121</v>
      </c>
      <c r="AU26" s="1" t="s">
        <v>121</v>
      </c>
      <c r="AV26" s="1" t="s">
        <v>121</v>
      </c>
      <c r="AW26" s="1" t="s">
        <v>121</v>
      </c>
      <c r="AX26" s="1" t="s">
        <v>121</v>
      </c>
      <c r="AY26" s="27" t="s">
        <v>121</v>
      </c>
      <c r="AZ26" s="1" t="s">
        <v>121</v>
      </c>
      <c r="BA26" s="1" t="s">
        <v>121</v>
      </c>
      <c r="BB26" s="1" t="s">
        <v>121</v>
      </c>
      <c r="BC26" s="1" t="s">
        <v>121</v>
      </c>
      <c r="BD26" s="1" t="s">
        <v>121</v>
      </c>
      <c r="BE26" s="1" t="s">
        <v>121</v>
      </c>
      <c r="BF26" s="1" t="s">
        <v>121</v>
      </c>
      <c r="BG26" s="1" t="s">
        <v>121</v>
      </c>
      <c r="BH26" s="1" t="s">
        <v>121</v>
      </c>
      <c r="BI26" s="1" t="s">
        <v>121</v>
      </c>
      <c r="BJ26" s="1" t="s">
        <v>121</v>
      </c>
      <c r="BK26" s="1" t="s">
        <v>121</v>
      </c>
      <c r="BL26" s="1" t="s">
        <v>121</v>
      </c>
      <c r="BM26" s="1" t="s">
        <v>121</v>
      </c>
      <c r="BN26" s="1" t="s">
        <v>121</v>
      </c>
      <c r="BO26" s="1" t="s">
        <v>121</v>
      </c>
      <c r="BP26" s="1" t="s">
        <v>121</v>
      </c>
      <c r="BQ26" s="1" t="s">
        <v>121</v>
      </c>
      <c r="BR26" s="1" t="s">
        <v>121</v>
      </c>
      <c r="BS26" s="1" t="s">
        <v>121</v>
      </c>
      <c r="BT26" s="1" t="s">
        <v>121</v>
      </c>
      <c r="BU26" s="1" t="s">
        <v>121</v>
      </c>
      <c r="BV26" s="1" t="s">
        <v>121</v>
      </c>
      <c r="BW26" s="1" t="s">
        <v>121</v>
      </c>
      <c r="BX26" s="1" t="s">
        <v>121</v>
      </c>
      <c r="BY26" s="1" t="s">
        <v>121</v>
      </c>
      <c r="BZ26" s="1" t="s">
        <v>121</v>
      </c>
      <c r="CA26" s="1" t="s">
        <v>121</v>
      </c>
      <c r="CB26" s="1" t="s">
        <v>121</v>
      </c>
      <c r="CC26" s="1" t="s">
        <v>121</v>
      </c>
      <c r="CD26" s="1" t="s">
        <v>121</v>
      </c>
      <c r="CE26" s="1" t="s">
        <v>121</v>
      </c>
      <c r="CF26" s="1" t="s">
        <v>121</v>
      </c>
      <c r="CG26" s="1" t="s">
        <v>121</v>
      </c>
      <c r="CH26" s="1" t="s">
        <v>121</v>
      </c>
      <c r="CI26" s="1" t="s">
        <v>121</v>
      </c>
      <c r="CJ26" s="1" t="s">
        <v>121</v>
      </c>
      <c r="CK26" s="1" t="s">
        <v>121</v>
      </c>
      <c r="CL26" s="1" t="s">
        <v>121</v>
      </c>
      <c r="CM26" s="1" t="s">
        <v>121</v>
      </c>
      <c r="CN26" s="1" t="s">
        <v>121</v>
      </c>
      <c r="CO26" s="1" t="s">
        <v>121</v>
      </c>
      <c r="CP26" s="1" t="s">
        <v>121</v>
      </c>
      <c r="CQ26" s="1" t="s">
        <v>121</v>
      </c>
      <c r="CR26" s="1" t="s">
        <v>121</v>
      </c>
      <c r="CS26" s="1" t="s">
        <v>121</v>
      </c>
      <c r="CT26" s="1" t="s">
        <v>121</v>
      </c>
      <c r="CU26" s="1" t="s">
        <v>121</v>
      </c>
      <c r="CV26" s="1" t="s">
        <v>121</v>
      </c>
      <c r="CW26" s="1" t="s">
        <v>121</v>
      </c>
      <c r="CX26" s="1" t="s">
        <v>121</v>
      </c>
      <c r="CY26" s="1" t="s">
        <v>121</v>
      </c>
      <c r="CZ26" s="1" t="s">
        <v>121</v>
      </c>
      <c r="DA26" s="1" t="s">
        <v>121</v>
      </c>
      <c r="DB26" s="1" t="s">
        <v>121</v>
      </c>
      <c r="DC26" s="1" t="s">
        <v>121</v>
      </c>
      <c r="DD26" s="1" t="s">
        <v>121</v>
      </c>
      <c r="DE26" s="1" t="s">
        <v>121</v>
      </c>
      <c r="DF26" s="1" t="s">
        <v>121</v>
      </c>
      <c r="DG26" s="1" t="s">
        <v>121</v>
      </c>
      <c r="DH26" s="1" t="s">
        <v>121</v>
      </c>
      <c r="DI26" s="1" t="s">
        <v>121</v>
      </c>
      <c r="DJ26" s="1" t="s">
        <v>121</v>
      </c>
      <c r="DK26" s="1" t="s">
        <v>121</v>
      </c>
      <c r="DL26" s="1" t="s">
        <v>121</v>
      </c>
      <c r="DM26" s="1" t="s">
        <v>121</v>
      </c>
      <c r="DN26" s="1" t="s">
        <v>121</v>
      </c>
      <c r="DO26" s="1" t="s">
        <v>121</v>
      </c>
      <c r="DP26" s="1" t="s">
        <v>121</v>
      </c>
      <c r="DQ26" s="1" t="s">
        <v>121</v>
      </c>
      <c r="DR26" s="1" t="s">
        <v>121</v>
      </c>
      <c r="DS26" s="1" t="s">
        <v>121</v>
      </c>
      <c r="DT26" s="1" t="s">
        <v>121</v>
      </c>
      <c r="DU26" s="1" t="s">
        <v>121</v>
      </c>
      <c r="DV26" s="1" t="s">
        <v>121</v>
      </c>
      <c r="DW26" s="1" t="s">
        <v>121</v>
      </c>
      <c r="DX26" s="1" t="s">
        <v>121</v>
      </c>
      <c r="DY26" s="1" t="s">
        <v>121</v>
      </c>
      <c r="DZ26" s="1" t="s">
        <v>121</v>
      </c>
      <c r="EA26" s="1" t="s">
        <v>121</v>
      </c>
      <c r="EB26" s="1" t="s">
        <v>121</v>
      </c>
      <c r="EC26" s="1" t="s">
        <v>121</v>
      </c>
      <c r="ED26" s="1" t="s">
        <v>121</v>
      </c>
      <c r="EE26" s="1" t="s">
        <v>121</v>
      </c>
      <c r="EF26" s="1" t="s">
        <v>121</v>
      </c>
      <c r="EG26" s="1" t="s">
        <v>121</v>
      </c>
      <c r="EH26" s="1" t="s">
        <v>121</v>
      </c>
      <c r="EI26" s="1" t="s">
        <v>121</v>
      </c>
      <c r="EJ26" s="1" t="s">
        <v>121</v>
      </c>
      <c r="EK26" s="1" t="s">
        <v>121</v>
      </c>
      <c r="EL26" s="1" t="s">
        <v>121</v>
      </c>
      <c r="EM26" s="1" t="s">
        <v>121</v>
      </c>
      <c r="EN26" s="1" t="s">
        <v>121</v>
      </c>
      <c r="EO26" s="1" t="s">
        <v>121</v>
      </c>
      <c r="EP26" s="1" t="s">
        <v>121</v>
      </c>
      <c r="EQ26" s="1" t="s">
        <v>121</v>
      </c>
      <c r="ER26" s="1" t="s">
        <v>121</v>
      </c>
      <c r="ES26" s="1" t="s">
        <v>121</v>
      </c>
      <c r="ET26" s="1" t="s">
        <v>121</v>
      </c>
      <c r="EU26" s="1" t="s">
        <v>121</v>
      </c>
    </row>
    <row r="27" spans="1:151" ht="15.75" customHeight="1" x14ac:dyDescent="0.25">
      <c r="A27" s="72">
        <v>27</v>
      </c>
      <c r="B27" s="426" t="s">
        <v>378</v>
      </c>
      <c r="C27" s="457" t="s">
        <v>64</v>
      </c>
      <c r="D27" s="438" t="s">
        <v>265</v>
      </c>
      <c r="E27" s="434" t="s">
        <v>79</v>
      </c>
      <c r="F27" s="416">
        <v>45930</v>
      </c>
      <c r="G27" s="416">
        <v>45838</v>
      </c>
      <c r="H27" s="416">
        <v>45747</v>
      </c>
      <c r="I27" s="416">
        <v>45657</v>
      </c>
      <c r="J27" s="416">
        <v>45565</v>
      </c>
      <c r="K27" s="416">
        <v>45473</v>
      </c>
      <c r="L27" s="416">
        <v>45382</v>
      </c>
      <c r="M27" s="416">
        <v>45291</v>
      </c>
      <c r="N27" s="416">
        <v>45199</v>
      </c>
      <c r="O27" s="416">
        <v>45107</v>
      </c>
      <c r="P27" s="416">
        <v>45016</v>
      </c>
      <c r="Q27" s="416">
        <v>44926</v>
      </c>
      <c r="R27" s="416">
        <v>44834</v>
      </c>
      <c r="S27" s="416">
        <v>44742</v>
      </c>
      <c r="T27" s="416">
        <v>44651</v>
      </c>
      <c r="U27" s="416">
        <v>44561</v>
      </c>
      <c r="V27" s="416">
        <v>44469</v>
      </c>
      <c r="W27" s="416">
        <v>44377</v>
      </c>
      <c r="X27" s="416">
        <v>44286</v>
      </c>
      <c r="Y27" s="416">
        <v>44196</v>
      </c>
      <c r="Z27" s="416">
        <v>44104</v>
      </c>
      <c r="AA27" s="416">
        <v>44012</v>
      </c>
      <c r="AB27" s="416">
        <v>43921</v>
      </c>
      <c r="AC27" s="416">
        <v>43830</v>
      </c>
      <c r="AD27" s="416">
        <v>43738</v>
      </c>
      <c r="AE27" s="416">
        <v>43646</v>
      </c>
      <c r="AF27" s="416">
        <v>43555</v>
      </c>
      <c r="AG27" s="416">
        <v>43465</v>
      </c>
      <c r="AH27" s="416">
        <v>43373</v>
      </c>
      <c r="AI27" s="416">
        <v>43281</v>
      </c>
      <c r="AJ27" s="416">
        <v>43190</v>
      </c>
      <c r="AK27" s="421">
        <v>43100</v>
      </c>
      <c r="AL27" s="421">
        <v>43008</v>
      </c>
      <c r="AM27" s="421">
        <v>42916</v>
      </c>
      <c r="AN27" s="416">
        <v>42825</v>
      </c>
      <c r="AO27" s="416">
        <v>42735</v>
      </c>
      <c r="AP27" s="416">
        <v>42643</v>
      </c>
      <c r="AQ27" s="416">
        <v>42551</v>
      </c>
      <c r="AR27" s="416">
        <v>42460</v>
      </c>
      <c r="AS27" s="416">
        <v>42369</v>
      </c>
      <c r="AT27" s="416">
        <v>42277</v>
      </c>
      <c r="AU27" s="416">
        <v>42185</v>
      </c>
      <c r="AV27" s="416">
        <v>42094</v>
      </c>
      <c r="AW27" s="416">
        <v>42004</v>
      </c>
      <c r="AX27" s="416">
        <v>41912</v>
      </c>
      <c r="AY27" s="416">
        <v>41820</v>
      </c>
      <c r="AZ27" s="416">
        <v>41729</v>
      </c>
      <c r="BA27" s="416">
        <v>41639</v>
      </c>
      <c r="BB27" s="416">
        <v>41547</v>
      </c>
      <c r="BC27" s="416">
        <v>41455</v>
      </c>
      <c r="BD27" s="416">
        <v>41364</v>
      </c>
      <c r="BE27" s="416">
        <v>41274</v>
      </c>
      <c r="BF27" s="416">
        <v>41182</v>
      </c>
      <c r="BG27" s="416">
        <v>41090</v>
      </c>
      <c r="BH27" s="416">
        <v>40999</v>
      </c>
      <c r="BI27" s="416">
        <v>40908</v>
      </c>
      <c r="BJ27" s="416">
        <v>40816</v>
      </c>
      <c r="BK27" s="416">
        <v>40724</v>
      </c>
      <c r="BL27" s="416">
        <v>40633</v>
      </c>
      <c r="BM27" s="1">
        <v>40543</v>
      </c>
      <c r="BN27" s="1">
        <v>40451</v>
      </c>
      <c r="BO27" s="1">
        <v>40359</v>
      </c>
      <c r="BP27" s="1">
        <v>40268</v>
      </c>
      <c r="BQ27" s="1">
        <v>40178</v>
      </c>
      <c r="BR27" s="1" t="s">
        <v>121</v>
      </c>
      <c r="BS27" s="1" t="s">
        <v>121</v>
      </c>
      <c r="BT27" s="1" t="s">
        <v>121</v>
      </c>
      <c r="BU27" s="1" t="s">
        <v>121</v>
      </c>
      <c r="BV27" s="1" t="s">
        <v>121</v>
      </c>
      <c r="BW27" s="1" t="s">
        <v>121</v>
      </c>
      <c r="BX27" s="1" t="s">
        <v>121</v>
      </c>
      <c r="BY27" s="1" t="s">
        <v>121</v>
      </c>
      <c r="BZ27" s="1" t="s">
        <v>121</v>
      </c>
      <c r="CA27" s="1" t="s">
        <v>121</v>
      </c>
      <c r="CB27" s="1" t="s">
        <v>121</v>
      </c>
      <c r="CC27" s="1" t="s">
        <v>121</v>
      </c>
      <c r="CD27" s="1" t="s">
        <v>121</v>
      </c>
      <c r="CE27" s="1" t="s">
        <v>121</v>
      </c>
      <c r="CF27" s="1" t="s">
        <v>121</v>
      </c>
      <c r="CG27" s="1" t="s">
        <v>121</v>
      </c>
      <c r="CH27" s="1" t="s">
        <v>121</v>
      </c>
      <c r="CI27" s="1" t="s">
        <v>121</v>
      </c>
      <c r="CJ27" s="1" t="s">
        <v>121</v>
      </c>
      <c r="CK27" s="1" t="s">
        <v>121</v>
      </c>
      <c r="CL27" s="1" t="s">
        <v>121</v>
      </c>
      <c r="CM27" s="1" t="s">
        <v>121</v>
      </c>
      <c r="CN27" s="1" t="s">
        <v>121</v>
      </c>
      <c r="CO27" s="1" t="s">
        <v>121</v>
      </c>
      <c r="CP27" s="1" t="s">
        <v>121</v>
      </c>
      <c r="CQ27" s="1" t="s">
        <v>121</v>
      </c>
      <c r="CR27" s="1" t="s">
        <v>121</v>
      </c>
      <c r="CS27" s="1" t="s">
        <v>121</v>
      </c>
      <c r="CT27" s="1" t="s">
        <v>121</v>
      </c>
      <c r="CU27" s="1" t="s">
        <v>121</v>
      </c>
      <c r="CV27" s="1" t="s">
        <v>121</v>
      </c>
      <c r="CW27" s="1" t="s">
        <v>121</v>
      </c>
      <c r="CX27" s="1" t="s">
        <v>121</v>
      </c>
      <c r="CY27" s="1" t="s">
        <v>121</v>
      </c>
      <c r="CZ27" s="1" t="s">
        <v>121</v>
      </c>
      <c r="DA27" s="1" t="s">
        <v>121</v>
      </c>
      <c r="DB27" s="1" t="s">
        <v>121</v>
      </c>
      <c r="DC27" s="1" t="s">
        <v>121</v>
      </c>
      <c r="DD27" s="1" t="s">
        <v>121</v>
      </c>
      <c r="DE27" s="1" t="s">
        <v>121</v>
      </c>
      <c r="DF27" s="1" t="s">
        <v>121</v>
      </c>
      <c r="DG27" s="1" t="s">
        <v>121</v>
      </c>
      <c r="DH27" s="1" t="s">
        <v>121</v>
      </c>
      <c r="DI27" s="1" t="s">
        <v>121</v>
      </c>
      <c r="DJ27" s="1" t="s">
        <v>121</v>
      </c>
      <c r="DK27" s="1" t="s">
        <v>121</v>
      </c>
      <c r="DL27" s="1" t="s">
        <v>121</v>
      </c>
      <c r="DM27" s="1" t="s">
        <v>121</v>
      </c>
      <c r="DN27" s="1" t="s">
        <v>121</v>
      </c>
      <c r="DO27" s="1" t="s">
        <v>121</v>
      </c>
      <c r="DP27" s="1" t="s">
        <v>121</v>
      </c>
      <c r="DQ27" s="1" t="s">
        <v>121</v>
      </c>
      <c r="DR27" s="1" t="s">
        <v>121</v>
      </c>
      <c r="DS27" s="1" t="s">
        <v>121</v>
      </c>
      <c r="DT27" s="1" t="s">
        <v>121</v>
      </c>
      <c r="DU27" s="1" t="s">
        <v>121</v>
      </c>
      <c r="DV27" s="1" t="s">
        <v>121</v>
      </c>
      <c r="DW27" s="1" t="s">
        <v>121</v>
      </c>
      <c r="DX27" s="1" t="s">
        <v>121</v>
      </c>
      <c r="DY27" s="1" t="s">
        <v>121</v>
      </c>
      <c r="DZ27" s="1" t="s">
        <v>121</v>
      </c>
      <c r="EA27" s="1" t="s">
        <v>121</v>
      </c>
      <c r="EB27" s="1" t="s">
        <v>121</v>
      </c>
      <c r="EC27" s="1" t="s">
        <v>121</v>
      </c>
      <c r="ED27" s="1" t="s">
        <v>121</v>
      </c>
      <c r="EE27" s="1" t="s">
        <v>121</v>
      </c>
      <c r="EF27" s="1" t="s">
        <v>121</v>
      </c>
      <c r="EG27" s="1" t="s">
        <v>121</v>
      </c>
      <c r="EH27" s="1" t="s">
        <v>121</v>
      </c>
      <c r="EI27" s="1" t="s">
        <v>121</v>
      </c>
      <c r="EJ27" s="1" t="s">
        <v>121</v>
      </c>
      <c r="EK27" s="1" t="s">
        <v>121</v>
      </c>
      <c r="EL27" s="1" t="s">
        <v>121</v>
      </c>
      <c r="EM27" s="1" t="s">
        <v>121</v>
      </c>
      <c r="EN27" s="1" t="s">
        <v>121</v>
      </c>
      <c r="EO27" s="1" t="s">
        <v>121</v>
      </c>
      <c r="EP27" s="1" t="s">
        <v>121</v>
      </c>
      <c r="EQ27" s="1" t="s">
        <v>121</v>
      </c>
      <c r="ER27" s="1" t="s">
        <v>121</v>
      </c>
      <c r="ES27" s="1" t="s">
        <v>121</v>
      </c>
      <c r="ET27" s="1" t="s">
        <v>121</v>
      </c>
      <c r="EU27" s="1" t="s">
        <v>121</v>
      </c>
    </row>
    <row r="28" spans="1:151" x14ac:dyDescent="0.25">
      <c r="A28" s="72">
        <v>28</v>
      </c>
      <c r="B28" s="427"/>
      <c r="C28" s="458"/>
      <c r="D28" s="439"/>
      <c r="E28" s="444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8"/>
      <c r="V28" s="418"/>
      <c r="W28" s="418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22"/>
      <c r="AL28" s="422"/>
      <c r="AM28" s="422"/>
      <c r="AN28" s="417"/>
      <c r="AO28" s="417"/>
      <c r="AP28" s="417"/>
      <c r="AQ28" s="417"/>
      <c r="AR28" s="417"/>
      <c r="AS28" s="418"/>
      <c r="AT28" s="417"/>
      <c r="AU28" s="417"/>
      <c r="AV28" s="417"/>
      <c r="AW28" s="417"/>
      <c r="AX28" s="417"/>
      <c r="AY28" s="417"/>
      <c r="AZ28" s="417"/>
      <c r="BA28" s="417"/>
      <c r="BB28" s="417"/>
      <c r="BC28" s="417"/>
      <c r="BD28" s="417"/>
      <c r="BE28" s="417"/>
      <c r="BF28" s="417"/>
      <c r="BG28" s="417"/>
      <c r="BH28" s="417"/>
      <c r="BI28" s="417"/>
      <c r="BJ28" s="417"/>
      <c r="BK28" s="417"/>
      <c r="BL28" s="417"/>
    </row>
    <row r="29" spans="1:151" ht="9.75" customHeight="1" x14ac:dyDescent="0.25">
      <c r="A29" s="72">
        <v>29</v>
      </c>
      <c r="B29" s="8" t="s">
        <v>4</v>
      </c>
      <c r="C29" s="189" t="s">
        <v>121</v>
      </c>
      <c r="D29" s="56" t="s">
        <v>121</v>
      </c>
      <c r="E29" s="142" t="s">
        <v>121</v>
      </c>
      <c r="F29" s="56" t="s">
        <v>121</v>
      </c>
      <c r="G29" s="56" t="s">
        <v>121</v>
      </c>
      <c r="H29" s="56" t="s">
        <v>121</v>
      </c>
      <c r="I29" s="56" t="s">
        <v>121</v>
      </c>
      <c r="J29" s="56" t="s">
        <v>121</v>
      </c>
      <c r="K29" s="56" t="s">
        <v>121</v>
      </c>
      <c r="L29" s="56" t="s">
        <v>121</v>
      </c>
      <c r="M29" s="56" t="s">
        <v>121</v>
      </c>
      <c r="N29" s="56" t="s">
        <v>121</v>
      </c>
      <c r="O29" s="56" t="s">
        <v>121</v>
      </c>
      <c r="P29" s="56" t="s">
        <v>121</v>
      </c>
      <c r="Q29" s="56" t="s">
        <v>121</v>
      </c>
      <c r="R29" s="56" t="s">
        <v>121</v>
      </c>
      <c r="S29" s="56" t="s">
        <v>121</v>
      </c>
      <c r="T29" s="56" t="s">
        <v>121</v>
      </c>
      <c r="U29" s="56" t="s">
        <v>121</v>
      </c>
      <c r="V29" s="56" t="s">
        <v>121</v>
      </c>
      <c r="W29" s="56" t="s">
        <v>121</v>
      </c>
      <c r="X29" s="56" t="s">
        <v>121</v>
      </c>
      <c r="Y29" s="56" t="s">
        <v>121</v>
      </c>
      <c r="Z29" s="56" t="s">
        <v>121</v>
      </c>
      <c r="AA29" s="56" t="s">
        <v>121</v>
      </c>
      <c r="AB29" s="56" t="s">
        <v>121</v>
      </c>
      <c r="AC29" s="56" t="s">
        <v>121</v>
      </c>
      <c r="AD29" s="56" t="s">
        <v>121</v>
      </c>
      <c r="AE29" s="56" t="s">
        <v>121</v>
      </c>
      <c r="AF29" s="56" t="s">
        <v>121</v>
      </c>
      <c r="AG29" s="56" t="s">
        <v>121</v>
      </c>
      <c r="AH29" s="56" t="s">
        <v>121</v>
      </c>
      <c r="AI29" s="56" t="s">
        <v>121</v>
      </c>
      <c r="AJ29" s="56" t="s">
        <v>121</v>
      </c>
      <c r="AK29" s="168" t="s">
        <v>121</v>
      </c>
      <c r="AL29" s="168" t="s">
        <v>121</v>
      </c>
      <c r="AM29" s="168" t="s">
        <v>121</v>
      </c>
      <c r="AN29" s="56" t="s">
        <v>121</v>
      </c>
      <c r="AO29" s="56" t="s">
        <v>121</v>
      </c>
      <c r="AP29" s="56" t="s">
        <v>121</v>
      </c>
      <c r="AQ29" s="56" t="s">
        <v>121</v>
      </c>
      <c r="AR29" s="56" t="s">
        <v>121</v>
      </c>
      <c r="AS29" s="56" t="s">
        <v>121</v>
      </c>
      <c r="AT29" s="56" t="s">
        <v>121</v>
      </c>
      <c r="AU29" s="56" t="s">
        <v>121</v>
      </c>
      <c r="AV29" s="56" t="s">
        <v>121</v>
      </c>
      <c r="AW29" s="56" t="s">
        <v>121</v>
      </c>
      <c r="AX29" s="56" t="s">
        <v>121</v>
      </c>
      <c r="AY29" s="56" t="s">
        <v>121</v>
      </c>
      <c r="AZ29" s="8" t="s">
        <v>121</v>
      </c>
      <c r="BA29" s="1" t="s">
        <v>121</v>
      </c>
      <c r="BB29" s="1" t="s">
        <v>121</v>
      </c>
      <c r="BC29" s="1" t="s">
        <v>121</v>
      </c>
      <c r="BD29" s="1" t="s">
        <v>121</v>
      </c>
      <c r="BE29" s="1" t="s">
        <v>121</v>
      </c>
      <c r="BF29" s="1" t="s">
        <v>121</v>
      </c>
      <c r="BG29" s="1" t="s">
        <v>121</v>
      </c>
      <c r="BH29" s="1" t="s">
        <v>121</v>
      </c>
      <c r="BI29" s="1" t="s">
        <v>121</v>
      </c>
      <c r="BJ29" s="1" t="s">
        <v>121</v>
      </c>
      <c r="BK29" s="1" t="s">
        <v>121</v>
      </c>
      <c r="BL29" s="1" t="s">
        <v>121</v>
      </c>
      <c r="BM29" s="1" t="s">
        <v>121</v>
      </c>
      <c r="BN29" s="1" t="s">
        <v>121</v>
      </c>
      <c r="BO29" s="1" t="s">
        <v>121</v>
      </c>
      <c r="BP29" s="1" t="s">
        <v>121</v>
      </c>
      <c r="BQ29" s="1" t="s">
        <v>121</v>
      </c>
      <c r="BR29" s="1" t="s">
        <v>121</v>
      </c>
      <c r="BS29" s="1" t="s">
        <v>121</v>
      </c>
      <c r="BT29" s="1" t="s">
        <v>121</v>
      </c>
      <c r="BU29" s="1" t="s">
        <v>121</v>
      </c>
      <c r="BV29" s="1" t="s">
        <v>121</v>
      </c>
      <c r="BW29" s="1" t="s">
        <v>121</v>
      </c>
      <c r="BX29" s="1" t="s">
        <v>121</v>
      </c>
      <c r="BY29" s="1" t="s">
        <v>121</v>
      </c>
      <c r="BZ29" s="1" t="s">
        <v>121</v>
      </c>
      <c r="CA29" s="1" t="s">
        <v>121</v>
      </c>
      <c r="CB29" s="1" t="s">
        <v>121</v>
      </c>
      <c r="CC29" s="1" t="s">
        <v>121</v>
      </c>
      <c r="CD29" s="1" t="s">
        <v>121</v>
      </c>
      <c r="CE29" s="1" t="s">
        <v>121</v>
      </c>
      <c r="CF29" s="1" t="s">
        <v>121</v>
      </c>
      <c r="CG29" s="1" t="s">
        <v>121</v>
      </c>
      <c r="CH29" s="1" t="s">
        <v>121</v>
      </c>
      <c r="CI29" s="1" t="s">
        <v>121</v>
      </c>
      <c r="CJ29" s="1" t="s">
        <v>121</v>
      </c>
      <c r="CK29" s="1" t="s">
        <v>121</v>
      </c>
      <c r="CL29" s="1" t="s">
        <v>121</v>
      </c>
      <c r="CM29" s="1" t="s">
        <v>121</v>
      </c>
      <c r="CN29" s="1" t="s">
        <v>121</v>
      </c>
      <c r="CO29" s="1" t="s">
        <v>121</v>
      </c>
      <c r="CP29" s="1" t="s">
        <v>121</v>
      </c>
      <c r="CQ29" s="1" t="s">
        <v>121</v>
      </c>
      <c r="CR29" s="1" t="s">
        <v>121</v>
      </c>
      <c r="CS29" s="1" t="s">
        <v>121</v>
      </c>
      <c r="CT29" s="1" t="s">
        <v>121</v>
      </c>
      <c r="CU29" s="1" t="s">
        <v>121</v>
      </c>
      <c r="CV29" s="1" t="s">
        <v>121</v>
      </c>
      <c r="CW29" s="1" t="s">
        <v>121</v>
      </c>
      <c r="CX29" s="1" t="s">
        <v>121</v>
      </c>
      <c r="CY29" s="1" t="s">
        <v>121</v>
      </c>
      <c r="CZ29" s="1" t="s">
        <v>121</v>
      </c>
      <c r="DA29" s="1" t="s">
        <v>121</v>
      </c>
      <c r="DB29" s="1" t="s">
        <v>121</v>
      </c>
      <c r="DC29" s="1" t="s">
        <v>121</v>
      </c>
      <c r="DD29" s="1" t="s">
        <v>121</v>
      </c>
      <c r="DE29" s="1" t="s">
        <v>121</v>
      </c>
      <c r="DF29" s="1" t="s">
        <v>121</v>
      </c>
      <c r="DG29" s="1" t="s">
        <v>121</v>
      </c>
      <c r="DH29" s="1" t="s">
        <v>121</v>
      </c>
      <c r="DI29" s="1" t="s">
        <v>121</v>
      </c>
      <c r="DJ29" s="1" t="s">
        <v>121</v>
      </c>
      <c r="DK29" s="1" t="s">
        <v>121</v>
      </c>
      <c r="DL29" s="1" t="s">
        <v>121</v>
      </c>
      <c r="DM29" s="1" t="s">
        <v>121</v>
      </c>
      <c r="DN29" s="1" t="s">
        <v>121</v>
      </c>
      <c r="DO29" s="1" t="s">
        <v>121</v>
      </c>
      <c r="DP29" s="1" t="s">
        <v>121</v>
      </c>
      <c r="DQ29" s="1" t="s">
        <v>121</v>
      </c>
      <c r="DR29" s="1" t="s">
        <v>121</v>
      </c>
      <c r="DS29" s="1" t="s">
        <v>121</v>
      </c>
      <c r="DT29" s="1" t="s">
        <v>121</v>
      </c>
      <c r="DU29" s="1" t="s">
        <v>121</v>
      </c>
      <c r="DV29" s="1" t="s">
        <v>121</v>
      </c>
      <c r="DW29" s="1" t="s">
        <v>121</v>
      </c>
      <c r="DX29" s="1" t="s">
        <v>121</v>
      </c>
      <c r="DY29" s="1" t="s">
        <v>121</v>
      </c>
      <c r="DZ29" s="1" t="s">
        <v>121</v>
      </c>
      <c r="EA29" s="1" t="s">
        <v>121</v>
      </c>
      <c r="EB29" s="1" t="s">
        <v>121</v>
      </c>
      <c r="EC29" s="1" t="s">
        <v>121</v>
      </c>
      <c r="ED29" s="1" t="s">
        <v>121</v>
      </c>
      <c r="EE29" s="1" t="s">
        <v>121</v>
      </c>
      <c r="EF29" s="1" t="s">
        <v>121</v>
      </c>
      <c r="EG29" s="1" t="s">
        <v>121</v>
      </c>
      <c r="EH29" s="1" t="s">
        <v>121</v>
      </c>
      <c r="EI29" s="1" t="s">
        <v>121</v>
      </c>
      <c r="EJ29" s="1" t="s">
        <v>121</v>
      </c>
      <c r="EK29" s="1" t="s">
        <v>121</v>
      </c>
      <c r="EL29" s="1" t="s">
        <v>121</v>
      </c>
      <c r="EM29" s="1" t="s">
        <v>121</v>
      </c>
      <c r="EN29" s="1" t="s">
        <v>121</v>
      </c>
      <c r="EO29" s="1" t="s">
        <v>121</v>
      </c>
      <c r="EP29" s="1" t="s">
        <v>121</v>
      </c>
      <c r="EQ29" s="1" t="s">
        <v>121</v>
      </c>
      <c r="ER29" s="1" t="s">
        <v>121</v>
      </c>
      <c r="ES29" s="1" t="s">
        <v>121</v>
      </c>
      <c r="ET29" s="1" t="s">
        <v>121</v>
      </c>
      <c r="EU29" s="1" t="s">
        <v>121</v>
      </c>
    </row>
    <row r="30" spans="1:151" s="75" customFormat="1" ht="25.5" customHeight="1" x14ac:dyDescent="0.25">
      <c r="A30" s="72">
        <v>30</v>
      </c>
      <c r="B30" s="131" t="s">
        <v>290</v>
      </c>
      <c r="C30" s="190">
        <v>1.1010844418144927E-2</v>
      </c>
      <c r="D30" s="123">
        <v>0.31272976592554658</v>
      </c>
      <c r="E30" s="191">
        <v>0.1274683225259492</v>
      </c>
      <c r="F30" s="211">
        <v>492061</v>
      </c>
      <c r="G30" s="211">
        <v>486702</v>
      </c>
      <c r="H30" s="211">
        <v>462129</v>
      </c>
      <c r="I30" s="211">
        <v>436430</v>
      </c>
      <c r="J30" s="211">
        <v>374838</v>
      </c>
      <c r="K30" s="211">
        <v>394331</v>
      </c>
      <c r="L30" s="211">
        <v>400425</v>
      </c>
      <c r="M30" s="211">
        <v>395589</v>
      </c>
      <c r="N30" s="211">
        <v>366302</v>
      </c>
      <c r="O30" s="211">
        <v>342212</v>
      </c>
      <c r="P30" s="211">
        <v>330280</v>
      </c>
      <c r="Q30" s="211">
        <v>328252</v>
      </c>
      <c r="R30" s="405"/>
      <c r="S30" s="405"/>
      <c r="T30" s="405"/>
      <c r="U30" s="211">
        <v>295113</v>
      </c>
      <c r="V30" s="211">
        <v>283266.42700000003</v>
      </c>
      <c r="W30" s="211">
        <v>271387.93099999998</v>
      </c>
      <c r="X30" s="211">
        <v>263547.06699999998</v>
      </c>
      <c r="Y30" s="211">
        <v>276028.69900000002</v>
      </c>
      <c r="Z30" s="211">
        <v>266544.598</v>
      </c>
      <c r="AA30" s="211">
        <v>249991.37299999999</v>
      </c>
      <c r="AB30" s="211">
        <v>255968.13700000002</v>
      </c>
      <c r="AC30" s="211">
        <v>248967.42300000001</v>
      </c>
      <c r="AD30" s="211">
        <v>242414.46500000003</v>
      </c>
      <c r="AE30" s="211">
        <v>248377.20800000001</v>
      </c>
      <c r="AF30" s="211">
        <v>241803.37999999998</v>
      </c>
      <c r="AG30" s="211">
        <v>249097.00299999997</v>
      </c>
      <c r="AH30" s="211">
        <v>225633.166</v>
      </c>
      <c r="AI30" s="76">
        <v>215648.54399999999</v>
      </c>
      <c r="AJ30" s="211">
        <v>206117.73300000001</v>
      </c>
      <c r="AK30" s="124">
        <v>205587.19</v>
      </c>
      <c r="AL30" s="124">
        <v>192863.53399999999</v>
      </c>
      <c r="AM30" s="124">
        <v>198287.07299999997</v>
      </c>
      <c r="AN30" s="76">
        <v>184487.291</v>
      </c>
      <c r="AO30" s="76">
        <v>187419.348</v>
      </c>
      <c r="AP30" s="76">
        <v>188947.57699999999</v>
      </c>
      <c r="AQ30" s="76">
        <v>187825.74</v>
      </c>
      <c r="AR30" s="76">
        <v>184488.03699999998</v>
      </c>
      <c r="AS30" s="76">
        <v>188067.408</v>
      </c>
      <c r="AT30" s="76">
        <v>171352.228</v>
      </c>
      <c r="AU30" s="76">
        <v>160013.84399999998</v>
      </c>
      <c r="AV30" s="76">
        <v>152794.967</v>
      </c>
      <c r="AW30" s="76">
        <v>156008.35800000001</v>
      </c>
      <c r="AX30" s="76">
        <v>141809.005</v>
      </c>
      <c r="AY30" s="76">
        <v>134644.571</v>
      </c>
      <c r="AZ30" s="76">
        <v>131462.429</v>
      </c>
      <c r="BA30" s="76">
        <v>125304.133</v>
      </c>
      <c r="BB30" s="76">
        <v>120306.031</v>
      </c>
      <c r="BC30" s="76">
        <v>117166.55100000001</v>
      </c>
      <c r="BD30" s="76">
        <v>104605.129</v>
      </c>
      <c r="BE30" s="76">
        <v>101220.144</v>
      </c>
      <c r="BF30" s="76">
        <v>95360.793999999994</v>
      </c>
      <c r="BG30" s="76">
        <v>96825.811000000002</v>
      </c>
      <c r="BH30" s="76">
        <v>88285.471000000005</v>
      </c>
      <c r="BI30" s="76">
        <v>87391.959000000003</v>
      </c>
      <c r="BJ30" s="76">
        <v>80715.013999999996</v>
      </c>
      <c r="BK30" s="76">
        <v>74609.387000000002</v>
      </c>
      <c r="BL30" s="76">
        <v>71435.990000000005</v>
      </c>
      <c r="BM30" s="75">
        <v>72425.62</v>
      </c>
      <c r="BN30" s="75">
        <v>66412.125</v>
      </c>
      <c r="BO30" s="75">
        <v>65846.070000000007</v>
      </c>
      <c r="BP30" s="75">
        <v>62644.856</v>
      </c>
      <c r="BQ30" s="75">
        <v>60730.258000000002</v>
      </c>
      <c r="BR30" s="75" t="s">
        <v>121</v>
      </c>
      <c r="BS30" s="75" t="s">
        <v>121</v>
      </c>
      <c r="BT30" s="75" t="s">
        <v>121</v>
      </c>
      <c r="BU30" s="75" t="s">
        <v>121</v>
      </c>
      <c r="BV30" s="75" t="s">
        <v>121</v>
      </c>
      <c r="BW30" s="75" t="s">
        <v>121</v>
      </c>
      <c r="BX30" s="75" t="s">
        <v>121</v>
      </c>
      <c r="BY30" s="75" t="s">
        <v>121</v>
      </c>
      <c r="BZ30" s="75" t="s">
        <v>121</v>
      </c>
      <c r="CA30" s="75" t="s">
        <v>121</v>
      </c>
      <c r="CB30" s="75" t="s">
        <v>121</v>
      </c>
      <c r="CC30" s="75" t="s">
        <v>121</v>
      </c>
      <c r="CD30" s="75" t="s">
        <v>121</v>
      </c>
      <c r="CE30" s="75" t="s">
        <v>121</v>
      </c>
      <c r="CF30" s="75" t="s">
        <v>121</v>
      </c>
      <c r="CG30" s="75" t="s">
        <v>121</v>
      </c>
      <c r="CH30" s="75" t="s">
        <v>121</v>
      </c>
      <c r="CI30" s="75" t="s">
        <v>121</v>
      </c>
      <c r="CJ30" s="75" t="s">
        <v>121</v>
      </c>
      <c r="CK30" s="75" t="s">
        <v>121</v>
      </c>
      <c r="CL30" s="75" t="s">
        <v>121</v>
      </c>
      <c r="CM30" s="75" t="s">
        <v>121</v>
      </c>
      <c r="CN30" s="75" t="s">
        <v>121</v>
      </c>
      <c r="CO30" s="75" t="s">
        <v>121</v>
      </c>
      <c r="CP30" s="75" t="s">
        <v>121</v>
      </c>
      <c r="CQ30" s="75" t="s">
        <v>121</v>
      </c>
      <c r="CR30" s="75" t="s">
        <v>121</v>
      </c>
      <c r="CS30" s="75" t="s">
        <v>121</v>
      </c>
      <c r="CT30" s="75" t="s">
        <v>121</v>
      </c>
      <c r="CU30" s="75" t="s">
        <v>121</v>
      </c>
      <c r="CV30" s="75" t="s">
        <v>121</v>
      </c>
      <c r="CW30" s="75" t="s">
        <v>121</v>
      </c>
      <c r="CX30" s="75" t="s">
        <v>121</v>
      </c>
      <c r="CY30" s="75" t="s">
        <v>121</v>
      </c>
      <c r="CZ30" s="75" t="s">
        <v>121</v>
      </c>
      <c r="DA30" s="75" t="s">
        <v>121</v>
      </c>
      <c r="DB30" s="75" t="s">
        <v>121</v>
      </c>
      <c r="DC30" s="75" t="s">
        <v>121</v>
      </c>
      <c r="DD30" s="75" t="s">
        <v>121</v>
      </c>
      <c r="DE30" s="75" t="s">
        <v>121</v>
      </c>
      <c r="DF30" s="75" t="s">
        <v>121</v>
      </c>
      <c r="DG30" s="75" t="s">
        <v>121</v>
      </c>
      <c r="DH30" s="75" t="s">
        <v>121</v>
      </c>
      <c r="DI30" s="75" t="s">
        <v>121</v>
      </c>
      <c r="DJ30" s="75" t="s">
        <v>121</v>
      </c>
      <c r="DK30" s="75" t="s">
        <v>121</v>
      </c>
      <c r="DL30" s="75" t="s">
        <v>121</v>
      </c>
      <c r="DM30" s="75" t="s">
        <v>121</v>
      </c>
      <c r="DN30" s="75" t="s">
        <v>121</v>
      </c>
      <c r="DO30" s="75" t="s">
        <v>121</v>
      </c>
      <c r="DP30" s="75" t="s">
        <v>121</v>
      </c>
      <c r="DQ30" s="75" t="s">
        <v>121</v>
      </c>
      <c r="DR30" s="75" t="s">
        <v>121</v>
      </c>
      <c r="DS30" s="75" t="s">
        <v>121</v>
      </c>
      <c r="DT30" s="75" t="s">
        <v>121</v>
      </c>
      <c r="DU30" s="75" t="s">
        <v>121</v>
      </c>
      <c r="DV30" s="75" t="s">
        <v>121</v>
      </c>
      <c r="DW30" s="75" t="s">
        <v>121</v>
      </c>
      <c r="DX30" s="75" t="s">
        <v>121</v>
      </c>
      <c r="DY30" s="75" t="s">
        <v>121</v>
      </c>
      <c r="DZ30" s="75" t="s">
        <v>121</v>
      </c>
      <c r="EA30" s="75" t="s">
        <v>121</v>
      </c>
      <c r="EB30" s="75" t="s">
        <v>121</v>
      </c>
      <c r="EC30" s="75" t="s">
        <v>121</v>
      </c>
      <c r="ED30" s="75" t="s">
        <v>121</v>
      </c>
      <c r="EE30" s="75" t="s">
        <v>121</v>
      </c>
      <c r="EF30" s="75" t="s">
        <v>121</v>
      </c>
      <c r="EG30" s="75" t="s">
        <v>121</v>
      </c>
      <c r="EH30" s="75" t="s">
        <v>121</v>
      </c>
      <c r="EI30" s="75" t="s">
        <v>121</v>
      </c>
      <c r="EJ30" s="75" t="s">
        <v>121</v>
      </c>
      <c r="EK30" s="75" t="s">
        <v>121</v>
      </c>
      <c r="EL30" s="75" t="s">
        <v>121</v>
      </c>
      <c r="EM30" s="75" t="s">
        <v>121</v>
      </c>
      <c r="EN30" s="75" t="s">
        <v>121</v>
      </c>
      <c r="EO30" s="75" t="s">
        <v>121</v>
      </c>
      <c r="EP30" s="75" t="s">
        <v>121</v>
      </c>
      <c r="EQ30" s="75" t="s">
        <v>121</v>
      </c>
      <c r="ER30" s="75" t="s">
        <v>121</v>
      </c>
      <c r="ES30" s="75" t="s">
        <v>121</v>
      </c>
      <c r="ET30" s="75" t="s">
        <v>121</v>
      </c>
      <c r="EU30" s="75" t="s">
        <v>121</v>
      </c>
    </row>
    <row r="31" spans="1:151" s="75" customFormat="1" ht="25.5" customHeight="1" x14ac:dyDescent="0.25">
      <c r="A31" s="72">
        <v>31</v>
      </c>
      <c r="B31" s="131" t="s">
        <v>289</v>
      </c>
      <c r="C31" s="190">
        <v>0.34696963535061864</v>
      </c>
      <c r="D31" s="123">
        <v>0.48956604221010203</v>
      </c>
      <c r="E31" s="191">
        <v>0.30449431765287205</v>
      </c>
      <c r="F31" s="211">
        <v>364327</v>
      </c>
      <c r="G31" s="211">
        <v>270479</v>
      </c>
      <c r="H31" s="211">
        <v>266204</v>
      </c>
      <c r="I31" s="211">
        <v>279286</v>
      </c>
      <c r="J31" s="211">
        <v>244586</v>
      </c>
      <c r="K31" s="211">
        <v>260100</v>
      </c>
      <c r="L31" s="211">
        <v>248001</v>
      </c>
      <c r="M31" s="211">
        <v>255509</v>
      </c>
      <c r="N31" s="211">
        <v>245973</v>
      </c>
      <c r="O31" s="211">
        <v>237246</v>
      </c>
      <c r="P31" s="211">
        <v>257580</v>
      </c>
      <c r="Q31" s="211">
        <v>318311</v>
      </c>
      <c r="R31" s="405"/>
      <c r="S31" s="405"/>
      <c r="T31" s="405"/>
      <c r="U31" s="211">
        <v>210053</v>
      </c>
      <c r="V31" s="211">
        <v>209258.927</v>
      </c>
      <c r="W31" s="211">
        <v>221245.08500000002</v>
      </c>
      <c r="X31" s="211">
        <v>221861.96099999998</v>
      </c>
      <c r="Y31" s="211">
        <v>203043.05200000003</v>
      </c>
      <c r="Z31" s="211">
        <v>208293.31500000003</v>
      </c>
      <c r="AA31" s="211">
        <v>182256.11499999996</v>
      </c>
      <c r="AB31" s="211">
        <v>178728.68</v>
      </c>
      <c r="AC31" s="211">
        <v>168607.158</v>
      </c>
      <c r="AD31" s="211">
        <v>174580.47099999999</v>
      </c>
      <c r="AE31" s="211">
        <v>151435.03199999998</v>
      </c>
      <c r="AF31" s="211">
        <v>163523.46299999999</v>
      </c>
      <c r="AG31" s="211">
        <v>165668.89500000002</v>
      </c>
      <c r="AH31" s="211">
        <v>154483.552</v>
      </c>
      <c r="AI31" s="76">
        <v>146278.06700000001</v>
      </c>
      <c r="AJ31" s="211">
        <v>147297.856</v>
      </c>
      <c r="AK31" s="124">
        <v>154638.30300000001</v>
      </c>
      <c r="AL31" s="124">
        <v>142823.04699999999</v>
      </c>
      <c r="AM31" s="124">
        <v>124469.77900000001</v>
      </c>
      <c r="AN31" s="76">
        <v>143713.18000000002</v>
      </c>
      <c r="AO31" s="76">
        <v>170407.804</v>
      </c>
      <c r="AP31" s="76">
        <v>144779.70499999999</v>
      </c>
      <c r="AQ31" s="76">
        <v>151405.57800000001</v>
      </c>
      <c r="AR31" s="76">
        <v>145582.413</v>
      </c>
      <c r="AS31" s="76">
        <v>154957.68799999999</v>
      </c>
      <c r="AT31" s="76">
        <v>157040.57200000001</v>
      </c>
      <c r="AU31" s="76">
        <v>154261.06900000002</v>
      </c>
      <c r="AV31" s="76">
        <v>164565.527</v>
      </c>
      <c r="AW31" s="76">
        <v>168879.33700000003</v>
      </c>
      <c r="AX31" s="76">
        <v>142634.666</v>
      </c>
      <c r="AY31" s="76">
        <v>132812.80500000002</v>
      </c>
      <c r="AZ31" s="76">
        <v>141545.70500000002</v>
      </c>
      <c r="BA31" s="76">
        <v>136330.49800000002</v>
      </c>
      <c r="BB31" s="76">
        <v>142059.20900000003</v>
      </c>
      <c r="BC31" s="76">
        <v>131438.67299999998</v>
      </c>
      <c r="BD31" s="76">
        <v>131532.98200000002</v>
      </c>
      <c r="BE31" s="76">
        <v>126820.92400000001</v>
      </c>
      <c r="BF31" s="76">
        <v>129349.77799999999</v>
      </c>
      <c r="BG31" s="76">
        <v>130035.60200000001</v>
      </c>
      <c r="BH31" s="76">
        <v>136183.867</v>
      </c>
      <c r="BI31" s="76">
        <v>148667.375</v>
      </c>
      <c r="BJ31" s="76">
        <v>141237.24699999997</v>
      </c>
      <c r="BK31" s="76">
        <v>137619.41200000001</v>
      </c>
      <c r="BL31" s="76">
        <v>128573.211</v>
      </c>
      <c r="BM31" s="75">
        <v>129747.28599999999</v>
      </c>
      <c r="BN31" s="75">
        <v>112630.97099999999</v>
      </c>
      <c r="BO31" s="75">
        <v>109382.049</v>
      </c>
      <c r="BP31" s="75">
        <v>110301.837</v>
      </c>
      <c r="BQ31" s="75">
        <v>120410.8</v>
      </c>
      <c r="BR31" s="75" t="s">
        <v>121</v>
      </c>
      <c r="BS31" s="75" t="s">
        <v>121</v>
      </c>
      <c r="BT31" s="75" t="s">
        <v>121</v>
      </c>
      <c r="BU31" s="75" t="s">
        <v>121</v>
      </c>
      <c r="BV31" s="75" t="s">
        <v>121</v>
      </c>
      <c r="BW31" s="75" t="s">
        <v>121</v>
      </c>
      <c r="BX31" s="75" t="s">
        <v>121</v>
      </c>
      <c r="BY31" s="75" t="s">
        <v>121</v>
      </c>
      <c r="BZ31" s="75" t="s">
        <v>121</v>
      </c>
      <c r="CA31" s="75" t="s">
        <v>121</v>
      </c>
      <c r="CB31" s="75" t="s">
        <v>121</v>
      </c>
      <c r="CC31" s="75" t="s">
        <v>121</v>
      </c>
      <c r="CD31" s="75" t="s">
        <v>121</v>
      </c>
      <c r="CE31" s="75" t="s">
        <v>121</v>
      </c>
      <c r="CF31" s="75" t="s">
        <v>121</v>
      </c>
      <c r="CG31" s="75" t="s">
        <v>121</v>
      </c>
      <c r="CH31" s="75" t="s">
        <v>121</v>
      </c>
      <c r="CI31" s="75" t="s">
        <v>121</v>
      </c>
      <c r="CJ31" s="75" t="s">
        <v>121</v>
      </c>
      <c r="CK31" s="75" t="s">
        <v>121</v>
      </c>
      <c r="CL31" s="75" t="s">
        <v>121</v>
      </c>
      <c r="CM31" s="75" t="s">
        <v>121</v>
      </c>
      <c r="CN31" s="75" t="s">
        <v>121</v>
      </c>
      <c r="CO31" s="75" t="s">
        <v>121</v>
      </c>
      <c r="CP31" s="75" t="s">
        <v>121</v>
      </c>
      <c r="CQ31" s="75" t="s">
        <v>121</v>
      </c>
      <c r="CR31" s="75" t="s">
        <v>121</v>
      </c>
      <c r="CS31" s="75" t="s">
        <v>121</v>
      </c>
      <c r="CT31" s="75" t="s">
        <v>121</v>
      </c>
      <c r="CU31" s="75" t="s">
        <v>121</v>
      </c>
      <c r="CV31" s="75" t="s">
        <v>121</v>
      </c>
      <c r="CW31" s="75" t="s">
        <v>121</v>
      </c>
      <c r="CX31" s="75" t="s">
        <v>121</v>
      </c>
      <c r="CY31" s="75" t="s">
        <v>121</v>
      </c>
      <c r="CZ31" s="75" t="s">
        <v>121</v>
      </c>
      <c r="DA31" s="75" t="s">
        <v>121</v>
      </c>
      <c r="DB31" s="75" t="s">
        <v>121</v>
      </c>
      <c r="DC31" s="75" t="s">
        <v>121</v>
      </c>
      <c r="DD31" s="75" t="s">
        <v>121</v>
      </c>
      <c r="DE31" s="75" t="s">
        <v>121</v>
      </c>
      <c r="DF31" s="75" t="s">
        <v>121</v>
      </c>
      <c r="DG31" s="75" t="s">
        <v>121</v>
      </c>
      <c r="DH31" s="75" t="s">
        <v>121</v>
      </c>
      <c r="DI31" s="75" t="s">
        <v>121</v>
      </c>
      <c r="DJ31" s="75" t="s">
        <v>121</v>
      </c>
      <c r="DK31" s="75" t="s">
        <v>121</v>
      </c>
      <c r="DL31" s="75" t="s">
        <v>121</v>
      </c>
      <c r="DM31" s="75" t="s">
        <v>121</v>
      </c>
      <c r="DN31" s="75" t="s">
        <v>121</v>
      </c>
      <c r="DO31" s="75" t="s">
        <v>121</v>
      </c>
      <c r="DP31" s="75" t="s">
        <v>121</v>
      </c>
      <c r="DQ31" s="75" t="s">
        <v>121</v>
      </c>
      <c r="DR31" s="75" t="s">
        <v>121</v>
      </c>
      <c r="DS31" s="75" t="s">
        <v>121</v>
      </c>
      <c r="DT31" s="75" t="s">
        <v>121</v>
      </c>
      <c r="DU31" s="75" t="s">
        <v>121</v>
      </c>
      <c r="DV31" s="75" t="s">
        <v>121</v>
      </c>
      <c r="DW31" s="75" t="s">
        <v>121</v>
      </c>
      <c r="DX31" s="75" t="s">
        <v>121</v>
      </c>
      <c r="DY31" s="75" t="s">
        <v>121</v>
      </c>
      <c r="DZ31" s="75" t="s">
        <v>121</v>
      </c>
      <c r="EA31" s="75" t="s">
        <v>121</v>
      </c>
      <c r="EB31" s="75" t="s">
        <v>121</v>
      </c>
      <c r="EC31" s="75" t="s">
        <v>121</v>
      </c>
      <c r="ED31" s="75" t="s">
        <v>121</v>
      </c>
      <c r="EE31" s="75" t="s">
        <v>121</v>
      </c>
      <c r="EF31" s="75" t="s">
        <v>121</v>
      </c>
      <c r="EG31" s="75" t="s">
        <v>121</v>
      </c>
      <c r="EH31" s="75" t="s">
        <v>121</v>
      </c>
      <c r="EI31" s="75" t="s">
        <v>121</v>
      </c>
      <c r="EJ31" s="75" t="s">
        <v>121</v>
      </c>
      <c r="EK31" s="75" t="s">
        <v>121</v>
      </c>
      <c r="EL31" s="75" t="s">
        <v>121</v>
      </c>
      <c r="EM31" s="75" t="s">
        <v>121</v>
      </c>
      <c r="EN31" s="75" t="s">
        <v>121</v>
      </c>
      <c r="EO31" s="75" t="s">
        <v>121</v>
      </c>
      <c r="EP31" s="75" t="s">
        <v>121</v>
      </c>
      <c r="EQ31" s="75" t="s">
        <v>121</v>
      </c>
      <c r="ER31" s="75" t="s">
        <v>121</v>
      </c>
      <c r="ES31" s="75" t="s">
        <v>121</v>
      </c>
      <c r="ET31" s="75" t="s">
        <v>121</v>
      </c>
      <c r="EU31" s="75" t="s">
        <v>121</v>
      </c>
    </row>
    <row r="32" spans="1:151" ht="9.75" customHeight="1" x14ac:dyDescent="0.25">
      <c r="A32" s="72">
        <v>32</v>
      </c>
      <c r="B32" s="8" t="s">
        <v>379</v>
      </c>
      <c r="C32" s="192" t="s">
        <v>121</v>
      </c>
      <c r="D32" s="56" t="s">
        <v>121</v>
      </c>
      <c r="E32" s="193" t="s">
        <v>121</v>
      </c>
      <c r="F32" s="56" t="s">
        <v>121</v>
      </c>
      <c r="G32" s="56" t="s">
        <v>121</v>
      </c>
      <c r="H32" s="56" t="s">
        <v>121</v>
      </c>
      <c r="I32" s="56" t="s">
        <v>121</v>
      </c>
      <c r="J32" s="56" t="s">
        <v>121</v>
      </c>
      <c r="K32" s="56" t="s">
        <v>121</v>
      </c>
      <c r="L32" s="56" t="s">
        <v>121</v>
      </c>
      <c r="M32" s="56" t="s">
        <v>121</v>
      </c>
      <c r="N32" s="56" t="s">
        <v>121</v>
      </c>
      <c r="O32" s="56" t="s">
        <v>121</v>
      </c>
      <c r="P32" s="56" t="s">
        <v>121</v>
      </c>
      <c r="Q32" s="56" t="s">
        <v>121</v>
      </c>
      <c r="R32" s="405"/>
      <c r="S32" s="405"/>
      <c r="T32" s="405"/>
      <c r="U32" s="56" t="s">
        <v>121</v>
      </c>
      <c r="V32" s="56" t="s">
        <v>121</v>
      </c>
      <c r="W32" s="56" t="s">
        <v>121</v>
      </c>
      <c r="X32" s="56" t="s">
        <v>121</v>
      </c>
      <c r="Y32" s="56" t="s">
        <v>121</v>
      </c>
      <c r="Z32" s="56" t="s">
        <v>121</v>
      </c>
      <c r="AA32" s="56" t="s">
        <v>121</v>
      </c>
      <c r="AB32" s="56" t="s">
        <v>121</v>
      </c>
      <c r="AC32" s="56" t="s">
        <v>121</v>
      </c>
      <c r="AD32" s="56" t="s">
        <v>121</v>
      </c>
      <c r="AE32" s="56" t="s">
        <v>121</v>
      </c>
      <c r="AF32" s="56" t="s">
        <v>121</v>
      </c>
      <c r="AG32" s="56" t="s">
        <v>121</v>
      </c>
      <c r="AH32" s="56" t="s">
        <v>121</v>
      </c>
      <c r="AI32" s="56" t="s">
        <v>121</v>
      </c>
      <c r="AJ32" s="56" t="s">
        <v>121</v>
      </c>
      <c r="AK32" s="168" t="s">
        <v>121</v>
      </c>
      <c r="AL32" s="168" t="s">
        <v>121</v>
      </c>
      <c r="AM32" s="168" t="s">
        <v>121</v>
      </c>
      <c r="AN32" s="56" t="s">
        <v>121</v>
      </c>
      <c r="AO32" s="56" t="s">
        <v>121</v>
      </c>
      <c r="AP32" s="56" t="s">
        <v>121</v>
      </c>
      <c r="AQ32" s="56" t="s">
        <v>121</v>
      </c>
      <c r="AR32" s="56" t="s">
        <v>121</v>
      </c>
      <c r="AS32" s="56" t="s">
        <v>121</v>
      </c>
      <c r="AT32" s="56" t="s">
        <v>121</v>
      </c>
      <c r="AU32" s="56" t="s">
        <v>121</v>
      </c>
      <c r="AV32" s="56" t="s">
        <v>121</v>
      </c>
      <c r="AW32" s="56" t="s">
        <v>121</v>
      </c>
      <c r="AX32" s="56" t="s">
        <v>121</v>
      </c>
      <c r="AY32" s="56" t="s">
        <v>121</v>
      </c>
      <c r="AZ32" s="8" t="s">
        <v>121</v>
      </c>
      <c r="BA32" s="1" t="s">
        <v>121</v>
      </c>
      <c r="BB32" s="1" t="s">
        <v>121</v>
      </c>
      <c r="BC32" s="1" t="s">
        <v>121</v>
      </c>
      <c r="BD32" s="1" t="s">
        <v>121</v>
      </c>
      <c r="BE32" s="1" t="s">
        <v>121</v>
      </c>
      <c r="BF32" s="1" t="s">
        <v>121</v>
      </c>
      <c r="BG32" s="1" t="s">
        <v>121</v>
      </c>
      <c r="BH32" s="1" t="s">
        <v>121</v>
      </c>
      <c r="BI32" s="1" t="s">
        <v>121</v>
      </c>
      <c r="BJ32" s="1" t="s">
        <v>121</v>
      </c>
      <c r="BK32" s="1" t="s">
        <v>121</v>
      </c>
      <c r="BL32" s="1" t="s">
        <v>121</v>
      </c>
      <c r="BM32" s="1" t="s">
        <v>121</v>
      </c>
      <c r="BN32" s="1" t="s">
        <v>121</v>
      </c>
      <c r="BO32" s="1" t="s">
        <v>121</v>
      </c>
      <c r="BP32" s="1" t="s">
        <v>121</v>
      </c>
      <c r="BQ32" s="1" t="s">
        <v>121</v>
      </c>
      <c r="BR32" s="1" t="s">
        <v>121</v>
      </c>
      <c r="BS32" s="1" t="s">
        <v>121</v>
      </c>
      <c r="BT32" s="1" t="s">
        <v>121</v>
      </c>
      <c r="BU32" s="1" t="s">
        <v>121</v>
      </c>
      <c r="BV32" s="1" t="s">
        <v>121</v>
      </c>
      <c r="BW32" s="1" t="s">
        <v>121</v>
      </c>
      <c r="BX32" s="1" t="s">
        <v>121</v>
      </c>
      <c r="BY32" s="1" t="s">
        <v>121</v>
      </c>
      <c r="BZ32" s="1" t="s">
        <v>121</v>
      </c>
      <c r="CA32" s="1" t="s">
        <v>121</v>
      </c>
      <c r="CB32" s="1" t="s">
        <v>121</v>
      </c>
      <c r="CC32" s="1" t="s">
        <v>121</v>
      </c>
      <c r="CD32" s="1" t="s">
        <v>121</v>
      </c>
      <c r="CE32" s="1" t="s">
        <v>121</v>
      </c>
      <c r="CF32" s="1" t="s">
        <v>121</v>
      </c>
      <c r="CG32" s="1" t="s">
        <v>121</v>
      </c>
      <c r="CH32" s="1" t="s">
        <v>121</v>
      </c>
      <c r="CI32" s="1" t="s">
        <v>121</v>
      </c>
      <c r="CJ32" s="1" t="s">
        <v>121</v>
      </c>
      <c r="CK32" s="1" t="s">
        <v>121</v>
      </c>
      <c r="CL32" s="1" t="s">
        <v>121</v>
      </c>
      <c r="CM32" s="1" t="s">
        <v>121</v>
      </c>
      <c r="CN32" s="1" t="s">
        <v>121</v>
      </c>
      <c r="CO32" s="1" t="s">
        <v>121</v>
      </c>
      <c r="CP32" s="1" t="s">
        <v>121</v>
      </c>
      <c r="CQ32" s="1" t="s">
        <v>121</v>
      </c>
      <c r="CR32" s="1" t="s">
        <v>121</v>
      </c>
      <c r="CS32" s="1" t="s">
        <v>121</v>
      </c>
      <c r="CT32" s="1" t="s">
        <v>121</v>
      </c>
      <c r="CU32" s="1" t="s">
        <v>121</v>
      </c>
      <c r="CV32" s="1" t="s">
        <v>121</v>
      </c>
      <c r="CW32" s="1" t="s">
        <v>121</v>
      </c>
      <c r="CX32" s="1" t="s">
        <v>121</v>
      </c>
      <c r="CY32" s="1" t="s">
        <v>121</v>
      </c>
      <c r="CZ32" s="1" t="s">
        <v>121</v>
      </c>
      <c r="DA32" s="1" t="s">
        <v>121</v>
      </c>
      <c r="DB32" s="1" t="s">
        <v>121</v>
      </c>
      <c r="DC32" s="1" t="s">
        <v>121</v>
      </c>
      <c r="DD32" s="1" t="s">
        <v>121</v>
      </c>
      <c r="DE32" s="1" t="s">
        <v>121</v>
      </c>
      <c r="DF32" s="1" t="s">
        <v>121</v>
      </c>
      <c r="DG32" s="1" t="s">
        <v>121</v>
      </c>
      <c r="DH32" s="1" t="s">
        <v>121</v>
      </c>
      <c r="DI32" s="1" t="s">
        <v>121</v>
      </c>
      <c r="DJ32" s="1" t="s">
        <v>121</v>
      </c>
      <c r="DK32" s="1" t="s">
        <v>121</v>
      </c>
      <c r="DL32" s="1" t="s">
        <v>121</v>
      </c>
      <c r="DM32" s="1" t="s">
        <v>121</v>
      </c>
      <c r="DN32" s="1" t="s">
        <v>121</v>
      </c>
      <c r="DO32" s="1" t="s">
        <v>121</v>
      </c>
      <c r="DP32" s="1" t="s">
        <v>121</v>
      </c>
      <c r="DQ32" s="1" t="s">
        <v>121</v>
      </c>
      <c r="DR32" s="1" t="s">
        <v>121</v>
      </c>
      <c r="DS32" s="1" t="s">
        <v>121</v>
      </c>
      <c r="DT32" s="1" t="s">
        <v>121</v>
      </c>
      <c r="DU32" s="1" t="s">
        <v>121</v>
      </c>
      <c r="DV32" s="1" t="s">
        <v>121</v>
      </c>
      <c r="DW32" s="1" t="s">
        <v>121</v>
      </c>
      <c r="DX32" s="1" t="s">
        <v>121</v>
      </c>
      <c r="DY32" s="1" t="s">
        <v>121</v>
      </c>
      <c r="DZ32" s="1" t="s">
        <v>121</v>
      </c>
      <c r="EA32" s="1" t="s">
        <v>121</v>
      </c>
      <c r="EB32" s="1" t="s">
        <v>121</v>
      </c>
      <c r="EC32" s="1" t="s">
        <v>121</v>
      </c>
      <c r="ED32" s="1" t="s">
        <v>121</v>
      </c>
      <c r="EE32" s="1" t="s">
        <v>121</v>
      </c>
      <c r="EF32" s="1" t="s">
        <v>121</v>
      </c>
      <c r="EG32" s="1" t="s">
        <v>121</v>
      </c>
      <c r="EH32" s="1" t="s">
        <v>121</v>
      </c>
      <c r="EI32" s="1" t="s">
        <v>121</v>
      </c>
      <c r="EJ32" s="1" t="s">
        <v>121</v>
      </c>
      <c r="EK32" s="1" t="s">
        <v>121</v>
      </c>
      <c r="EL32" s="1" t="s">
        <v>121</v>
      </c>
      <c r="EM32" s="1" t="s">
        <v>121</v>
      </c>
      <c r="EN32" s="1" t="s">
        <v>121</v>
      </c>
      <c r="EO32" s="1" t="s">
        <v>121</v>
      </c>
      <c r="EP32" s="1" t="s">
        <v>121</v>
      </c>
      <c r="EQ32" s="1" t="s">
        <v>121</v>
      </c>
      <c r="ER32" s="1" t="s">
        <v>121</v>
      </c>
      <c r="ES32" s="1" t="s">
        <v>121</v>
      </c>
      <c r="ET32" s="1" t="s">
        <v>121</v>
      </c>
      <c r="EU32" s="1" t="s">
        <v>121</v>
      </c>
    </row>
    <row r="33" spans="1:151" ht="25.5" customHeight="1" x14ac:dyDescent="0.25">
      <c r="A33" s="72">
        <v>33</v>
      </c>
      <c r="B33" s="74" t="s">
        <v>290</v>
      </c>
      <c r="C33" s="199" t="s">
        <v>121</v>
      </c>
      <c r="D33" s="86" t="s">
        <v>121</v>
      </c>
      <c r="E33" s="198" t="s">
        <v>121</v>
      </c>
      <c r="F33" s="132">
        <v>0.57457717763443672</v>
      </c>
      <c r="G33" s="132">
        <v>0.64278158062603263</v>
      </c>
      <c r="H33" s="132">
        <v>0.63450234988665899</v>
      </c>
      <c r="I33" s="132">
        <v>0.60978097457650804</v>
      </c>
      <c r="J33" s="132">
        <v>0.60513961357648394</v>
      </c>
      <c r="K33" s="132">
        <v>0.60255550241354705</v>
      </c>
      <c r="L33" s="132">
        <v>0.61753384349177853</v>
      </c>
      <c r="M33" s="132">
        <v>0.60757213199856241</v>
      </c>
      <c r="N33" s="132">
        <v>0.59826385202727528</v>
      </c>
      <c r="O33" s="132">
        <v>0.59057256953912107</v>
      </c>
      <c r="P33" s="132">
        <v>0.56183445037934199</v>
      </c>
      <c r="Q33" s="132">
        <v>0.50768757259540065</v>
      </c>
      <c r="R33" s="405"/>
      <c r="S33" s="405"/>
      <c r="T33" s="405"/>
      <c r="U33" s="132">
        <v>0.58419014739709318</v>
      </c>
      <c r="V33" s="132">
        <v>0.57513065002537922</v>
      </c>
      <c r="W33" s="132">
        <v>0.55089269737455027</v>
      </c>
      <c r="X33" s="132">
        <v>0.54293812392792995</v>
      </c>
      <c r="Y33" s="132">
        <v>0.57617402492179093</v>
      </c>
      <c r="Z33" s="132">
        <v>0.56133807074499553</v>
      </c>
      <c r="AA33" s="132">
        <v>0.57835240213125305</v>
      </c>
      <c r="AB33" s="132">
        <v>0.5888429061121927</v>
      </c>
      <c r="AC33" s="132">
        <v>0.59622264938583514</v>
      </c>
      <c r="AD33" s="132">
        <v>0.58133671196429104</v>
      </c>
      <c r="AE33" s="132">
        <v>0.62123462753416447</v>
      </c>
      <c r="AF33" s="132">
        <v>0.59656394382939992</v>
      </c>
      <c r="AG33" s="132">
        <v>0.60057252585409027</v>
      </c>
      <c r="AH33" s="132">
        <v>0.59358916699896369</v>
      </c>
      <c r="AI33" s="132">
        <v>0.59583500479327844</v>
      </c>
      <c r="AJ33" s="132">
        <v>0.58321630232332511</v>
      </c>
      <c r="AK33" s="132">
        <v>0.5707180474314737</v>
      </c>
      <c r="AL33" s="132">
        <v>0.574534535832399</v>
      </c>
      <c r="AM33" s="132">
        <v>0.61435434064773931</v>
      </c>
      <c r="AN33" s="132">
        <v>0.56211769117174737</v>
      </c>
      <c r="AO33" s="132">
        <v>0.52377061649027679</v>
      </c>
      <c r="AP33" s="132">
        <v>0.56617360099435921</v>
      </c>
      <c r="AQ33" s="132">
        <v>0.55368042404622564</v>
      </c>
      <c r="AR33" s="132">
        <v>0.55893533335080436</v>
      </c>
      <c r="AS33" s="132">
        <v>0.5482613668592925</v>
      </c>
      <c r="AT33" s="132">
        <v>0.52179045338387442</v>
      </c>
      <c r="AU33" s="132">
        <v>0.50915245659458663</v>
      </c>
      <c r="AV33" s="132">
        <v>0.48145553680667008</v>
      </c>
      <c r="AW33" s="132">
        <v>0.48019164899427785</v>
      </c>
      <c r="AX33" s="132">
        <v>0.49854863882698242</v>
      </c>
      <c r="AY33" s="132">
        <v>0.50342440733434846</v>
      </c>
      <c r="AZ33" s="132">
        <v>0.48153301176000857</v>
      </c>
      <c r="BA33" s="132">
        <v>0.47892793290044233</v>
      </c>
      <c r="BB33" s="132">
        <v>0.45854409295987536</v>
      </c>
      <c r="BC33" s="132">
        <v>0.47129561122979463</v>
      </c>
      <c r="BD33" s="132">
        <v>0.44298283134821892</v>
      </c>
      <c r="BE33" s="132">
        <v>0.4438680492410253</v>
      </c>
      <c r="BF33" s="132">
        <v>0.42437164015585338</v>
      </c>
      <c r="BG33" s="132">
        <v>0.42680599454786966</v>
      </c>
      <c r="BH33" s="132">
        <v>0.39330748594269033</v>
      </c>
      <c r="BI33" s="132">
        <v>0.37021183411455361</v>
      </c>
      <c r="BJ33" s="132">
        <v>0.36365934564640456</v>
      </c>
      <c r="BK33" s="132">
        <v>0.35155166194009324</v>
      </c>
      <c r="BL33" s="132">
        <v>0.3571635186923226</v>
      </c>
      <c r="BM33" s="1">
        <v>0.35823603386301428</v>
      </c>
      <c r="BN33" s="1">
        <v>0.37092815352120589</v>
      </c>
      <c r="BO33" s="1">
        <v>0.37577342252929169</v>
      </c>
      <c r="BP33" s="1">
        <v>0.36222060632289743</v>
      </c>
      <c r="BQ33" s="1">
        <v>0.33526500656742331</v>
      </c>
      <c r="BR33" s="1" t="s">
        <v>121</v>
      </c>
      <c r="BS33" s="1" t="s">
        <v>121</v>
      </c>
      <c r="BT33" s="1" t="s">
        <v>121</v>
      </c>
      <c r="BU33" s="1" t="s">
        <v>121</v>
      </c>
      <c r="BV33" s="1" t="s">
        <v>121</v>
      </c>
      <c r="BW33" s="1" t="s">
        <v>121</v>
      </c>
      <c r="BX33" s="1" t="s">
        <v>121</v>
      </c>
      <c r="BY33" s="1" t="s">
        <v>121</v>
      </c>
      <c r="BZ33" s="1" t="s">
        <v>121</v>
      </c>
      <c r="CA33" s="1" t="s">
        <v>121</v>
      </c>
      <c r="CB33" s="1" t="s">
        <v>121</v>
      </c>
      <c r="CC33" s="1" t="s">
        <v>121</v>
      </c>
      <c r="CD33" s="1" t="s">
        <v>121</v>
      </c>
      <c r="CE33" s="1" t="s">
        <v>121</v>
      </c>
      <c r="CF33" s="1" t="s">
        <v>121</v>
      </c>
      <c r="CG33" s="1" t="s">
        <v>121</v>
      </c>
      <c r="CH33" s="1" t="s">
        <v>121</v>
      </c>
      <c r="CI33" s="1" t="s">
        <v>121</v>
      </c>
      <c r="CJ33" s="1" t="s">
        <v>121</v>
      </c>
      <c r="CK33" s="1" t="s">
        <v>121</v>
      </c>
      <c r="CL33" s="1" t="s">
        <v>121</v>
      </c>
      <c r="CM33" s="1" t="s">
        <v>121</v>
      </c>
      <c r="CN33" s="1" t="s">
        <v>121</v>
      </c>
      <c r="CO33" s="1" t="s">
        <v>121</v>
      </c>
      <c r="CP33" s="1" t="s">
        <v>121</v>
      </c>
      <c r="CQ33" s="1" t="s">
        <v>121</v>
      </c>
      <c r="CR33" s="1" t="s">
        <v>121</v>
      </c>
      <c r="CS33" s="1" t="s">
        <v>121</v>
      </c>
      <c r="CT33" s="1" t="s">
        <v>121</v>
      </c>
      <c r="CU33" s="1" t="s">
        <v>121</v>
      </c>
      <c r="CV33" s="1" t="s">
        <v>121</v>
      </c>
      <c r="CW33" s="1" t="s">
        <v>121</v>
      </c>
      <c r="CX33" s="1" t="s">
        <v>121</v>
      </c>
      <c r="CY33" s="1" t="s">
        <v>121</v>
      </c>
      <c r="CZ33" s="1" t="s">
        <v>121</v>
      </c>
      <c r="DA33" s="1" t="s">
        <v>121</v>
      </c>
      <c r="DB33" s="1" t="s">
        <v>121</v>
      </c>
      <c r="DC33" s="1" t="s">
        <v>121</v>
      </c>
      <c r="DD33" s="1" t="s">
        <v>121</v>
      </c>
      <c r="DE33" s="1" t="s">
        <v>121</v>
      </c>
      <c r="DF33" s="1" t="s">
        <v>121</v>
      </c>
      <c r="DG33" s="1" t="s">
        <v>121</v>
      </c>
      <c r="DH33" s="1" t="s">
        <v>121</v>
      </c>
      <c r="DI33" s="1" t="s">
        <v>121</v>
      </c>
      <c r="DJ33" s="1" t="s">
        <v>121</v>
      </c>
      <c r="DK33" s="1" t="s">
        <v>121</v>
      </c>
      <c r="DL33" s="1" t="s">
        <v>121</v>
      </c>
      <c r="DM33" s="1" t="s">
        <v>121</v>
      </c>
      <c r="DN33" s="1" t="s">
        <v>121</v>
      </c>
      <c r="DO33" s="1" t="s">
        <v>121</v>
      </c>
      <c r="DP33" s="1" t="s">
        <v>121</v>
      </c>
      <c r="DQ33" s="1" t="s">
        <v>121</v>
      </c>
      <c r="DR33" s="1" t="s">
        <v>121</v>
      </c>
      <c r="DS33" s="1" t="s">
        <v>121</v>
      </c>
      <c r="DT33" s="1" t="s">
        <v>121</v>
      </c>
      <c r="DU33" s="1" t="s">
        <v>121</v>
      </c>
      <c r="DV33" s="1" t="s">
        <v>121</v>
      </c>
      <c r="DW33" s="1" t="s">
        <v>121</v>
      </c>
      <c r="DX33" s="1" t="s">
        <v>121</v>
      </c>
      <c r="DY33" s="1" t="s">
        <v>121</v>
      </c>
      <c r="DZ33" s="1" t="s">
        <v>121</v>
      </c>
      <c r="EA33" s="1" t="s">
        <v>121</v>
      </c>
      <c r="EB33" s="1" t="s">
        <v>121</v>
      </c>
      <c r="EC33" s="1" t="s">
        <v>121</v>
      </c>
      <c r="ED33" s="1" t="s">
        <v>121</v>
      </c>
      <c r="EE33" s="1" t="s">
        <v>121</v>
      </c>
      <c r="EF33" s="1" t="s">
        <v>121</v>
      </c>
      <c r="EG33" s="1" t="s">
        <v>121</v>
      </c>
      <c r="EH33" s="1" t="s">
        <v>121</v>
      </c>
      <c r="EI33" s="1" t="s">
        <v>121</v>
      </c>
      <c r="EJ33" s="1" t="s">
        <v>121</v>
      </c>
      <c r="EK33" s="1" t="s">
        <v>121</v>
      </c>
      <c r="EL33" s="1" t="s">
        <v>121</v>
      </c>
      <c r="EM33" s="1" t="s">
        <v>121</v>
      </c>
      <c r="EN33" s="1" t="s">
        <v>121</v>
      </c>
      <c r="EO33" s="1" t="s">
        <v>121</v>
      </c>
      <c r="EP33" s="1" t="s">
        <v>121</v>
      </c>
      <c r="EQ33" s="1" t="s">
        <v>121</v>
      </c>
      <c r="ER33" s="1" t="s">
        <v>121</v>
      </c>
      <c r="ES33" s="1" t="s">
        <v>121</v>
      </c>
      <c r="ET33" s="1" t="s">
        <v>121</v>
      </c>
      <c r="EU33" s="1" t="s">
        <v>121</v>
      </c>
    </row>
    <row r="34" spans="1:151" ht="25.5" customHeight="1" x14ac:dyDescent="0.25">
      <c r="A34" s="72">
        <v>34</v>
      </c>
      <c r="B34" s="74" t="s">
        <v>289</v>
      </c>
      <c r="C34" s="199" t="s">
        <v>121</v>
      </c>
      <c r="D34" s="86" t="s">
        <v>121</v>
      </c>
      <c r="E34" s="198" t="s">
        <v>121</v>
      </c>
      <c r="F34" s="132">
        <v>0.42542282236556328</v>
      </c>
      <c r="G34" s="132">
        <v>0.35721841937396737</v>
      </c>
      <c r="H34" s="132">
        <v>0.36549765011334101</v>
      </c>
      <c r="I34" s="132">
        <v>0.39021902542349202</v>
      </c>
      <c r="J34" s="132">
        <v>0.39486038642351606</v>
      </c>
      <c r="K34" s="132">
        <v>0.39744449758645295</v>
      </c>
      <c r="L34" s="132">
        <v>0.38246615650822147</v>
      </c>
      <c r="M34" s="132">
        <v>0.39242786800143759</v>
      </c>
      <c r="N34" s="132">
        <v>0.40173614797272467</v>
      </c>
      <c r="O34" s="132">
        <v>0.40942743046087898</v>
      </c>
      <c r="P34" s="132">
        <v>0.43816554962065796</v>
      </c>
      <c r="Q34" s="132">
        <v>0.49231242740459941</v>
      </c>
      <c r="R34" s="405"/>
      <c r="S34" s="405"/>
      <c r="T34" s="405"/>
      <c r="U34" s="132">
        <v>0.41580985260290676</v>
      </c>
      <c r="V34" s="132">
        <v>0.42486934997462072</v>
      </c>
      <c r="W34" s="132">
        <v>0.44910730262544973</v>
      </c>
      <c r="X34" s="132">
        <v>0.45706187607207011</v>
      </c>
      <c r="Y34" s="132">
        <v>0.42382597507820913</v>
      </c>
      <c r="Z34" s="132">
        <v>0.43866192925500463</v>
      </c>
      <c r="AA34" s="132">
        <v>0.42164759786874678</v>
      </c>
      <c r="AB34" s="132">
        <v>0.4111570938878073</v>
      </c>
      <c r="AC34" s="132">
        <v>0.40377735061416486</v>
      </c>
      <c r="AD34" s="132">
        <v>0.41866328803570885</v>
      </c>
      <c r="AE34" s="132">
        <v>0.37876537246583536</v>
      </c>
      <c r="AF34" s="132">
        <v>0.40343605617060008</v>
      </c>
      <c r="AG34" s="132">
        <v>0.39942747414590973</v>
      </c>
      <c r="AH34" s="132">
        <v>0.40641083300103625</v>
      </c>
      <c r="AI34" s="132">
        <v>0.40416499520672167</v>
      </c>
      <c r="AJ34" s="132">
        <v>0.41678369767667495</v>
      </c>
      <c r="AK34" s="132">
        <v>0.4292819525685263</v>
      </c>
      <c r="AL34" s="132">
        <v>0.42546546416760106</v>
      </c>
      <c r="AM34" s="132">
        <v>0.38564565935226064</v>
      </c>
      <c r="AN34" s="132">
        <v>0.43788230882825285</v>
      </c>
      <c r="AO34" s="132">
        <v>0.47622938350972316</v>
      </c>
      <c r="AP34" s="132">
        <v>0.43382639900564074</v>
      </c>
      <c r="AQ34" s="132">
        <v>0.44631957595377447</v>
      </c>
      <c r="AR34" s="132">
        <v>0.44106466664919569</v>
      </c>
      <c r="AS34" s="132">
        <v>0.45173863314070761</v>
      </c>
      <c r="AT34" s="132">
        <v>0.47820954661612564</v>
      </c>
      <c r="AU34" s="132">
        <v>0.49084754340541337</v>
      </c>
      <c r="AV34" s="132">
        <v>0.51854446319332992</v>
      </c>
      <c r="AW34" s="132">
        <v>0.5198083510057222</v>
      </c>
      <c r="AX34" s="132">
        <v>0.5014513611730177</v>
      </c>
      <c r="AY34" s="132">
        <v>0.4965755926656516</v>
      </c>
      <c r="AZ34" s="132">
        <v>0.51846698823999149</v>
      </c>
      <c r="BA34" s="132">
        <v>0.52107206709955767</v>
      </c>
      <c r="BB34" s="132">
        <v>0.54145590704012481</v>
      </c>
      <c r="BC34" s="132">
        <v>0.52870438877020531</v>
      </c>
      <c r="BD34" s="132">
        <v>0.55701716865178119</v>
      </c>
      <c r="BE34" s="132">
        <v>0.5561319507589747</v>
      </c>
      <c r="BF34" s="132">
        <v>0.57562835984414651</v>
      </c>
      <c r="BG34" s="132">
        <v>0.5731940054521304</v>
      </c>
      <c r="BH34" s="132">
        <v>0.60669251405730962</v>
      </c>
      <c r="BI34" s="132">
        <v>0.62978816588544639</v>
      </c>
      <c r="BJ34" s="132">
        <v>0.63634065435359533</v>
      </c>
      <c r="BK34" s="132">
        <v>0.64844833805990676</v>
      </c>
      <c r="BL34" s="132">
        <v>0.64283648130767745</v>
      </c>
      <c r="BM34" s="1">
        <v>0.64176396613698572</v>
      </c>
      <c r="BN34" s="1">
        <v>0.62907184647879411</v>
      </c>
      <c r="BO34" s="1">
        <v>0.62422657747070831</v>
      </c>
      <c r="BP34" s="1">
        <v>0.63777939367710257</v>
      </c>
      <c r="BQ34" s="1">
        <v>0.6647349934325768</v>
      </c>
      <c r="BR34" s="1" t="s">
        <v>121</v>
      </c>
      <c r="BS34" s="1" t="s">
        <v>121</v>
      </c>
      <c r="BT34" s="1" t="s">
        <v>121</v>
      </c>
      <c r="BU34" s="1" t="s">
        <v>121</v>
      </c>
      <c r="BV34" s="1" t="s">
        <v>121</v>
      </c>
      <c r="BW34" s="1" t="s">
        <v>121</v>
      </c>
      <c r="BX34" s="1" t="s">
        <v>121</v>
      </c>
      <c r="BY34" s="1" t="s">
        <v>121</v>
      </c>
      <c r="BZ34" s="1" t="s">
        <v>121</v>
      </c>
      <c r="CA34" s="1" t="s">
        <v>121</v>
      </c>
      <c r="CB34" s="1" t="s">
        <v>121</v>
      </c>
      <c r="CC34" s="1" t="s">
        <v>121</v>
      </c>
      <c r="CD34" s="1" t="s">
        <v>121</v>
      </c>
      <c r="CE34" s="1" t="s">
        <v>121</v>
      </c>
      <c r="CF34" s="1" t="s">
        <v>121</v>
      </c>
      <c r="CG34" s="1" t="s">
        <v>121</v>
      </c>
      <c r="CH34" s="1" t="s">
        <v>121</v>
      </c>
      <c r="CI34" s="1" t="s">
        <v>121</v>
      </c>
      <c r="CJ34" s="1" t="s">
        <v>121</v>
      </c>
      <c r="CK34" s="1" t="s">
        <v>121</v>
      </c>
      <c r="CL34" s="1" t="s">
        <v>121</v>
      </c>
      <c r="CM34" s="1" t="s">
        <v>121</v>
      </c>
      <c r="CN34" s="1" t="s">
        <v>121</v>
      </c>
      <c r="CO34" s="1" t="s">
        <v>121</v>
      </c>
      <c r="CP34" s="1" t="s">
        <v>121</v>
      </c>
      <c r="CQ34" s="1" t="s">
        <v>121</v>
      </c>
      <c r="CR34" s="1" t="s">
        <v>121</v>
      </c>
      <c r="CS34" s="1" t="s">
        <v>121</v>
      </c>
      <c r="CT34" s="1" t="s">
        <v>121</v>
      </c>
      <c r="CU34" s="1" t="s">
        <v>121</v>
      </c>
      <c r="CV34" s="1" t="s">
        <v>121</v>
      </c>
      <c r="CW34" s="1" t="s">
        <v>121</v>
      </c>
      <c r="CX34" s="1" t="s">
        <v>121</v>
      </c>
      <c r="CY34" s="1" t="s">
        <v>121</v>
      </c>
      <c r="CZ34" s="1" t="s">
        <v>121</v>
      </c>
      <c r="DA34" s="1" t="s">
        <v>121</v>
      </c>
      <c r="DB34" s="1" t="s">
        <v>121</v>
      </c>
      <c r="DC34" s="1" t="s">
        <v>121</v>
      </c>
      <c r="DD34" s="1" t="s">
        <v>121</v>
      </c>
      <c r="DE34" s="1" t="s">
        <v>121</v>
      </c>
      <c r="DF34" s="1" t="s">
        <v>121</v>
      </c>
      <c r="DG34" s="1" t="s">
        <v>121</v>
      </c>
      <c r="DH34" s="1" t="s">
        <v>121</v>
      </c>
      <c r="DI34" s="1" t="s">
        <v>121</v>
      </c>
      <c r="DJ34" s="1" t="s">
        <v>121</v>
      </c>
      <c r="DK34" s="1" t="s">
        <v>121</v>
      </c>
      <c r="DL34" s="1" t="s">
        <v>121</v>
      </c>
      <c r="DM34" s="1" t="s">
        <v>121</v>
      </c>
      <c r="DN34" s="1" t="s">
        <v>121</v>
      </c>
      <c r="DO34" s="1" t="s">
        <v>121</v>
      </c>
      <c r="DP34" s="1" t="s">
        <v>121</v>
      </c>
      <c r="DQ34" s="1" t="s">
        <v>121</v>
      </c>
      <c r="DR34" s="1" t="s">
        <v>121</v>
      </c>
      <c r="DS34" s="1" t="s">
        <v>121</v>
      </c>
      <c r="DT34" s="1" t="s">
        <v>121</v>
      </c>
      <c r="DU34" s="1" t="s">
        <v>121</v>
      </c>
      <c r="DV34" s="1" t="s">
        <v>121</v>
      </c>
      <c r="DW34" s="1" t="s">
        <v>121</v>
      </c>
      <c r="DX34" s="1" t="s">
        <v>121</v>
      </c>
      <c r="DY34" s="1" t="s">
        <v>121</v>
      </c>
      <c r="DZ34" s="1" t="s">
        <v>121</v>
      </c>
      <c r="EA34" s="1" t="s">
        <v>121</v>
      </c>
      <c r="EB34" s="1" t="s">
        <v>121</v>
      </c>
      <c r="EC34" s="1" t="s">
        <v>121</v>
      </c>
      <c r="ED34" s="1" t="s">
        <v>121</v>
      </c>
      <c r="EE34" s="1" t="s">
        <v>121</v>
      </c>
      <c r="EF34" s="1" t="s">
        <v>121</v>
      </c>
      <c r="EG34" s="1" t="s">
        <v>121</v>
      </c>
      <c r="EH34" s="1" t="s">
        <v>121</v>
      </c>
      <c r="EI34" s="1" t="s">
        <v>121</v>
      </c>
      <c r="EJ34" s="1" t="s">
        <v>121</v>
      </c>
      <c r="EK34" s="1" t="s">
        <v>121</v>
      </c>
      <c r="EL34" s="1" t="s">
        <v>121</v>
      </c>
      <c r="EM34" s="1" t="s">
        <v>121</v>
      </c>
      <c r="EN34" s="1" t="s">
        <v>121</v>
      </c>
      <c r="EO34" s="1" t="s">
        <v>121</v>
      </c>
      <c r="EP34" s="1" t="s">
        <v>121</v>
      </c>
      <c r="EQ34" s="1" t="s">
        <v>121</v>
      </c>
      <c r="ER34" s="1" t="s">
        <v>121</v>
      </c>
      <c r="ES34" s="1" t="s">
        <v>121</v>
      </c>
      <c r="ET34" s="1" t="s">
        <v>121</v>
      </c>
      <c r="EU34" s="1" t="s">
        <v>121</v>
      </c>
    </row>
    <row r="35" spans="1:151" ht="9.75" customHeight="1" x14ac:dyDescent="0.25">
      <c r="A35" s="72">
        <v>35</v>
      </c>
      <c r="B35" s="8" t="s">
        <v>4</v>
      </c>
      <c r="C35" s="196" t="s">
        <v>121</v>
      </c>
      <c r="D35" s="263" t="s">
        <v>121</v>
      </c>
      <c r="E35" s="197" t="s">
        <v>121</v>
      </c>
      <c r="F35" s="1" t="s">
        <v>121</v>
      </c>
      <c r="G35" s="1" t="s">
        <v>121</v>
      </c>
      <c r="H35" s="1" t="s">
        <v>121</v>
      </c>
      <c r="I35" s="1" t="s">
        <v>121</v>
      </c>
      <c r="J35" s="1" t="s">
        <v>121</v>
      </c>
      <c r="K35" s="1" t="s">
        <v>121</v>
      </c>
      <c r="L35" s="1" t="s">
        <v>121</v>
      </c>
      <c r="M35" s="1" t="s">
        <v>121</v>
      </c>
      <c r="N35" s="1" t="s">
        <v>121</v>
      </c>
      <c r="O35" s="1" t="s">
        <v>121</v>
      </c>
      <c r="P35" s="1" t="s">
        <v>121</v>
      </c>
      <c r="Q35" s="1" t="s">
        <v>121</v>
      </c>
      <c r="R35" s="405"/>
      <c r="S35" s="405"/>
      <c r="T35" s="405"/>
      <c r="U35" s="1" t="s">
        <v>121</v>
      </c>
      <c r="V35" s="1" t="s">
        <v>121</v>
      </c>
      <c r="W35" s="1" t="s">
        <v>121</v>
      </c>
      <c r="X35" s="1" t="s">
        <v>121</v>
      </c>
      <c r="Y35" s="1" t="s">
        <v>121</v>
      </c>
      <c r="Z35" s="1" t="s">
        <v>121</v>
      </c>
      <c r="AA35" s="1" t="s">
        <v>121</v>
      </c>
      <c r="AB35" s="1" t="s">
        <v>121</v>
      </c>
      <c r="AC35" s="1" t="s">
        <v>121</v>
      </c>
      <c r="AD35" s="1" t="s">
        <v>121</v>
      </c>
      <c r="AE35" s="1" t="s">
        <v>121</v>
      </c>
      <c r="AF35" s="1" t="s">
        <v>121</v>
      </c>
      <c r="AG35" s="1" t="s">
        <v>121</v>
      </c>
      <c r="AH35" s="1" t="s">
        <v>121</v>
      </c>
      <c r="AI35" s="1" t="s">
        <v>121</v>
      </c>
      <c r="AJ35" s="1" t="s">
        <v>121</v>
      </c>
      <c r="AK35" s="1" t="s">
        <v>121</v>
      </c>
      <c r="AL35" s="1" t="s">
        <v>121</v>
      </c>
      <c r="AM35" s="1" t="s">
        <v>121</v>
      </c>
      <c r="AN35" s="1" t="s">
        <v>121</v>
      </c>
      <c r="AO35" s="1" t="s">
        <v>121</v>
      </c>
      <c r="AP35" s="1" t="s">
        <v>121</v>
      </c>
      <c r="AQ35" s="1" t="s">
        <v>121</v>
      </c>
      <c r="AR35" s="1" t="s">
        <v>121</v>
      </c>
      <c r="AS35" s="1" t="s">
        <v>121</v>
      </c>
      <c r="AT35" s="1" t="s">
        <v>121</v>
      </c>
      <c r="AU35" s="1" t="s">
        <v>121</v>
      </c>
      <c r="AV35" s="1" t="s">
        <v>121</v>
      </c>
      <c r="AW35" s="1" t="s">
        <v>121</v>
      </c>
      <c r="AX35" s="1" t="s">
        <v>121</v>
      </c>
      <c r="AY35" s="1" t="s">
        <v>121</v>
      </c>
      <c r="AZ35" s="1" t="s">
        <v>121</v>
      </c>
      <c r="BA35" s="1" t="s">
        <v>121</v>
      </c>
      <c r="BB35" s="1" t="s">
        <v>121</v>
      </c>
      <c r="BC35" s="1" t="s">
        <v>121</v>
      </c>
      <c r="BD35" s="1" t="s">
        <v>121</v>
      </c>
      <c r="BE35" s="1" t="s">
        <v>121</v>
      </c>
      <c r="BF35" s="1" t="s">
        <v>121</v>
      </c>
      <c r="BG35" s="1" t="s">
        <v>121</v>
      </c>
      <c r="BH35" s="1" t="s">
        <v>121</v>
      </c>
      <c r="BI35" s="1" t="s">
        <v>121</v>
      </c>
      <c r="BJ35" s="1" t="s">
        <v>121</v>
      </c>
      <c r="BK35" s="1" t="s">
        <v>121</v>
      </c>
      <c r="BL35" s="1" t="s">
        <v>121</v>
      </c>
      <c r="BM35" s="1" t="s">
        <v>121</v>
      </c>
      <c r="BN35" s="1" t="s">
        <v>121</v>
      </c>
      <c r="BO35" s="1" t="s">
        <v>121</v>
      </c>
      <c r="BP35" s="1" t="s">
        <v>121</v>
      </c>
      <c r="BQ35" s="1" t="s">
        <v>121</v>
      </c>
      <c r="BR35" s="1" t="s">
        <v>121</v>
      </c>
      <c r="BS35" s="1" t="s">
        <v>121</v>
      </c>
      <c r="BT35" s="1" t="s">
        <v>121</v>
      </c>
      <c r="BU35" s="1" t="s">
        <v>121</v>
      </c>
      <c r="BV35" s="1" t="s">
        <v>121</v>
      </c>
      <c r="BW35" s="1" t="s">
        <v>121</v>
      </c>
      <c r="BX35" s="1" t="s">
        <v>121</v>
      </c>
      <c r="BY35" s="1" t="s">
        <v>121</v>
      </c>
      <c r="BZ35" s="1" t="s">
        <v>121</v>
      </c>
      <c r="CA35" s="1" t="s">
        <v>121</v>
      </c>
      <c r="CB35" s="1" t="s">
        <v>121</v>
      </c>
      <c r="CC35" s="1" t="s">
        <v>121</v>
      </c>
      <c r="CD35" s="1" t="s">
        <v>121</v>
      </c>
      <c r="CE35" s="1" t="s">
        <v>121</v>
      </c>
      <c r="CF35" s="1" t="s">
        <v>121</v>
      </c>
      <c r="CG35" s="1" t="s">
        <v>121</v>
      </c>
      <c r="CH35" s="1" t="s">
        <v>121</v>
      </c>
      <c r="CI35" s="1" t="s">
        <v>121</v>
      </c>
      <c r="CJ35" s="1" t="s">
        <v>121</v>
      </c>
      <c r="CK35" s="1" t="s">
        <v>121</v>
      </c>
      <c r="CL35" s="1" t="s">
        <v>121</v>
      </c>
      <c r="CM35" s="1" t="s">
        <v>121</v>
      </c>
      <c r="CN35" s="1" t="s">
        <v>121</v>
      </c>
      <c r="CO35" s="1" t="s">
        <v>121</v>
      </c>
      <c r="CP35" s="1" t="s">
        <v>121</v>
      </c>
      <c r="CQ35" s="1" t="s">
        <v>121</v>
      </c>
      <c r="CR35" s="1" t="s">
        <v>121</v>
      </c>
      <c r="CS35" s="1" t="s">
        <v>121</v>
      </c>
      <c r="CT35" s="1" t="s">
        <v>121</v>
      </c>
      <c r="CU35" s="1" t="s">
        <v>121</v>
      </c>
      <c r="CV35" s="1" t="s">
        <v>121</v>
      </c>
      <c r="CW35" s="1" t="s">
        <v>121</v>
      </c>
      <c r="CX35" s="1" t="s">
        <v>121</v>
      </c>
      <c r="CY35" s="1" t="s">
        <v>121</v>
      </c>
      <c r="CZ35" s="1" t="s">
        <v>121</v>
      </c>
      <c r="DA35" s="1" t="s">
        <v>121</v>
      </c>
      <c r="DB35" s="1" t="s">
        <v>121</v>
      </c>
      <c r="DC35" s="1" t="s">
        <v>121</v>
      </c>
      <c r="DD35" s="1" t="s">
        <v>121</v>
      </c>
      <c r="DE35" s="1" t="s">
        <v>121</v>
      </c>
      <c r="DF35" s="1" t="s">
        <v>121</v>
      </c>
      <c r="DG35" s="1" t="s">
        <v>121</v>
      </c>
      <c r="DH35" s="1" t="s">
        <v>121</v>
      </c>
      <c r="DI35" s="1" t="s">
        <v>121</v>
      </c>
      <c r="DJ35" s="1" t="s">
        <v>121</v>
      </c>
      <c r="DK35" s="1" t="s">
        <v>121</v>
      </c>
      <c r="DL35" s="1" t="s">
        <v>121</v>
      </c>
      <c r="DM35" s="1" t="s">
        <v>121</v>
      </c>
      <c r="DN35" s="1" t="s">
        <v>121</v>
      </c>
      <c r="DO35" s="1" t="s">
        <v>121</v>
      </c>
      <c r="DP35" s="1" t="s">
        <v>121</v>
      </c>
      <c r="DQ35" s="1" t="s">
        <v>121</v>
      </c>
      <c r="DR35" s="1" t="s">
        <v>121</v>
      </c>
      <c r="DS35" s="1" t="s">
        <v>121</v>
      </c>
      <c r="DT35" s="1" t="s">
        <v>121</v>
      </c>
      <c r="DU35" s="1" t="s">
        <v>121</v>
      </c>
      <c r="DV35" s="1" t="s">
        <v>121</v>
      </c>
      <c r="DW35" s="1" t="s">
        <v>121</v>
      </c>
      <c r="DX35" s="1" t="s">
        <v>121</v>
      </c>
      <c r="DY35" s="1" t="s">
        <v>121</v>
      </c>
      <c r="DZ35" s="1" t="s">
        <v>121</v>
      </c>
      <c r="EA35" s="1" t="s">
        <v>121</v>
      </c>
      <c r="EB35" s="1" t="s">
        <v>121</v>
      </c>
      <c r="EC35" s="1" t="s">
        <v>121</v>
      </c>
      <c r="ED35" s="1" t="s">
        <v>121</v>
      </c>
      <c r="EE35" s="1" t="s">
        <v>121</v>
      </c>
      <c r="EF35" s="1" t="s">
        <v>121</v>
      </c>
      <c r="EG35" s="1" t="s">
        <v>121</v>
      </c>
      <c r="EH35" s="1" t="s">
        <v>121</v>
      </c>
      <c r="EI35" s="1" t="s">
        <v>121</v>
      </c>
      <c r="EJ35" s="1" t="s">
        <v>121</v>
      </c>
      <c r="EK35" s="1" t="s">
        <v>121</v>
      </c>
      <c r="EL35" s="1" t="s">
        <v>121</v>
      </c>
      <c r="EM35" s="1" t="s">
        <v>121</v>
      </c>
      <c r="EN35" s="1" t="s">
        <v>121</v>
      </c>
      <c r="EO35" s="1" t="s">
        <v>121</v>
      </c>
      <c r="EP35" s="1" t="s">
        <v>121</v>
      </c>
      <c r="EQ35" s="1" t="s">
        <v>121</v>
      </c>
      <c r="ER35" s="1" t="s">
        <v>121</v>
      </c>
      <c r="ES35" s="1" t="s">
        <v>121</v>
      </c>
      <c r="ET35" s="1" t="s">
        <v>121</v>
      </c>
      <c r="EU35" s="1" t="s">
        <v>121</v>
      </c>
    </row>
    <row r="36" spans="1:151" s="75" customFormat="1" ht="25.5" customHeight="1" x14ac:dyDescent="0.25">
      <c r="A36" s="72">
        <v>36</v>
      </c>
      <c r="B36" s="73" t="s">
        <v>380</v>
      </c>
      <c r="C36" s="190">
        <v>-0.11880731616527362</v>
      </c>
      <c r="D36" s="123">
        <v>-0.10275420094884957</v>
      </c>
      <c r="E36" s="191">
        <v>7.2520400545730723E-2</v>
      </c>
      <c r="F36" s="211">
        <v>208321</v>
      </c>
      <c r="G36" s="211">
        <v>236408</v>
      </c>
      <c r="H36" s="211">
        <v>236472</v>
      </c>
      <c r="I36" s="211">
        <v>194235</v>
      </c>
      <c r="J36" s="211">
        <v>232178.29520105</v>
      </c>
      <c r="K36" s="211">
        <v>270484.56419552001</v>
      </c>
      <c r="L36" s="211">
        <v>265836.39956701</v>
      </c>
      <c r="M36" s="211">
        <v>264953</v>
      </c>
      <c r="N36" s="211">
        <v>277397.64146249997</v>
      </c>
      <c r="O36" s="211">
        <v>267080.27784141997</v>
      </c>
      <c r="P36" s="211">
        <v>278818.41135545995</v>
      </c>
      <c r="Q36" s="211">
        <v>291920.88809314999</v>
      </c>
      <c r="R36" s="405"/>
      <c r="S36" s="405"/>
      <c r="T36" s="405"/>
      <c r="U36" s="211">
        <v>214780.89821091999</v>
      </c>
      <c r="V36" s="211">
        <v>229925.24720262998</v>
      </c>
      <c r="W36" s="211">
        <v>225036.21534912998</v>
      </c>
      <c r="X36" s="211">
        <v>213427.61787081001</v>
      </c>
      <c r="Y36" s="211">
        <v>194875.89756196999</v>
      </c>
      <c r="Z36" s="211">
        <v>216687.00225275999</v>
      </c>
      <c r="AA36" s="211">
        <v>167561.08932736999</v>
      </c>
      <c r="AB36" s="211">
        <v>163838.86767478002</v>
      </c>
      <c r="AC36" s="211">
        <v>145716.01732846</v>
      </c>
      <c r="AD36" s="211">
        <v>151324.88857216001</v>
      </c>
      <c r="AE36" s="211">
        <v>138111.47294593</v>
      </c>
      <c r="AF36" s="211">
        <v>132301.43399999998</v>
      </c>
      <c r="AG36" s="211">
        <v>127196.83199999999</v>
      </c>
      <c r="AH36" s="211">
        <v>131487.394</v>
      </c>
      <c r="AI36" s="76">
        <v>120456.118</v>
      </c>
      <c r="AJ36" s="211">
        <v>109533.027</v>
      </c>
      <c r="AK36" s="76">
        <v>109233.436</v>
      </c>
      <c r="AL36" s="76">
        <v>108005.409</v>
      </c>
      <c r="AM36" s="76">
        <v>106646.235</v>
      </c>
      <c r="AN36" s="76">
        <v>105166.209</v>
      </c>
      <c r="AO36" s="76">
        <v>104199.07399999999</v>
      </c>
      <c r="AP36" s="76">
        <v>105646.802</v>
      </c>
      <c r="AQ36" s="76">
        <v>109408.489</v>
      </c>
      <c r="AR36" s="76">
        <v>105101.56299999999</v>
      </c>
      <c r="AS36" s="76">
        <v>99764.87</v>
      </c>
      <c r="AT36" s="76">
        <v>97622.054999999993</v>
      </c>
      <c r="AU36" s="76">
        <v>95849.619000000006</v>
      </c>
      <c r="AV36" s="76">
        <v>109869.163</v>
      </c>
      <c r="AW36" s="76">
        <v>109719.65800000001</v>
      </c>
      <c r="AX36" s="76">
        <v>101808.59</v>
      </c>
      <c r="AY36" s="76">
        <v>98514.244999999995</v>
      </c>
      <c r="AZ36" s="76">
        <v>102342.336</v>
      </c>
      <c r="BA36" s="76">
        <v>86346.489000000001</v>
      </c>
      <c r="BB36" s="76">
        <v>89121.929000000004</v>
      </c>
      <c r="BC36" s="76">
        <v>78773.808000000005</v>
      </c>
      <c r="BD36" s="76">
        <v>74732.146000000008</v>
      </c>
      <c r="BE36" s="76">
        <v>75683.453999999998</v>
      </c>
      <c r="BF36" s="76">
        <v>69138.956999999995</v>
      </c>
      <c r="BG36" s="76">
        <v>70068.072</v>
      </c>
      <c r="BH36" s="76">
        <v>71023.317999999999</v>
      </c>
      <c r="BI36" s="76">
        <v>70948.786999999997</v>
      </c>
      <c r="BJ36" s="76">
        <v>67257.198000000004</v>
      </c>
      <c r="BK36" s="76">
        <v>61658.137999999999</v>
      </c>
      <c r="BL36" s="76">
        <v>56700.391000000003</v>
      </c>
      <c r="BM36" s="75">
        <v>58804.222999999998</v>
      </c>
      <c r="BN36" s="75">
        <v>51800.188999999998</v>
      </c>
      <c r="BO36" s="75">
        <v>53361.203999999998</v>
      </c>
      <c r="BP36" s="75">
        <v>45225.722999999998</v>
      </c>
      <c r="BQ36" s="75">
        <v>46563.841</v>
      </c>
      <c r="BR36" s="75" t="s">
        <v>121</v>
      </c>
      <c r="BS36" s="75" t="s">
        <v>121</v>
      </c>
      <c r="BT36" s="75" t="s">
        <v>121</v>
      </c>
      <c r="BU36" s="75" t="s">
        <v>121</v>
      </c>
      <c r="BV36" s="75" t="s">
        <v>121</v>
      </c>
      <c r="BW36" s="75" t="s">
        <v>121</v>
      </c>
      <c r="BX36" s="75" t="s">
        <v>121</v>
      </c>
      <c r="BY36" s="75" t="s">
        <v>121</v>
      </c>
      <c r="BZ36" s="75" t="s">
        <v>121</v>
      </c>
      <c r="CA36" s="75" t="s">
        <v>121</v>
      </c>
      <c r="CB36" s="75" t="s">
        <v>121</v>
      </c>
      <c r="CC36" s="75" t="s">
        <v>121</v>
      </c>
      <c r="CD36" s="75" t="s">
        <v>121</v>
      </c>
      <c r="CE36" s="75" t="s">
        <v>121</v>
      </c>
      <c r="CF36" s="75" t="s">
        <v>121</v>
      </c>
      <c r="CG36" s="75" t="s">
        <v>121</v>
      </c>
      <c r="CH36" s="75" t="s">
        <v>121</v>
      </c>
      <c r="CI36" s="75" t="s">
        <v>121</v>
      </c>
      <c r="CJ36" s="75" t="s">
        <v>121</v>
      </c>
      <c r="CK36" s="75" t="s">
        <v>121</v>
      </c>
      <c r="CL36" s="75" t="s">
        <v>121</v>
      </c>
      <c r="CM36" s="75" t="s">
        <v>121</v>
      </c>
      <c r="CN36" s="75" t="s">
        <v>121</v>
      </c>
      <c r="CO36" s="75" t="s">
        <v>121</v>
      </c>
      <c r="CP36" s="75" t="s">
        <v>121</v>
      </c>
      <c r="CQ36" s="75" t="s">
        <v>121</v>
      </c>
      <c r="CR36" s="75" t="s">
        <v>121</v>
      </c>
      <c r="CS36" s="75" t="s">
        <v>121</v>
      </c>
      <c r="CT36" s="75" t="s">
        <v>121</v>
      </c>
      <c r="CU36" s="75" t="s">
        <v>121</v>
      </c>
      <c r="CV36" s="75" t="s">
        <v>121</v>
      </c>
      <c r="CW36" s="75" t="s">
        <v>121</v>
      </c>
      <c r="CX36" s="75" t="s">
        <v>121</v>
      </c>
      <c r="CY36" s="75" t="s">
        <v>121</v>
      </c>
      <c r="CZ36" s="75" t="s">
        <v>121</v>
      </c>
      <c r="DA36" s="75" t="s">
        <v>121</v>
      </c>
      <c r="DB36" s="75" t="s">
        <v>121</v>
      </c>
      <c r="DC36" s="75" t="s">
        <v>121</v>
      </c>
      <c r="DD36" s="75" t="s">
        <v>121</v>
      </c>
      <c r="DE36" s="75" t="s">
        <v>121</v>
      </c>
      <c r="DF36" s="75" t="s">
        <v>121</v>
      </c>
      <c r="DG36" s="75" t="s">
        <v>121</v>
      </c>
      <c r="DH36" s="75" t="s">
        <v>121</v>
      </c>
      <c r="DI36" s="75" t="s">
        <v>121</v>
      </c>
      <c r="DJ36" s="75" t="s">
        <v>121</v>
      </c>
      <c r="DK36" s="75" t="s">
        <v>121</v>
      </c>
      <c r="DL36" s="75" t="s">
        <v>121</v>
      </c>
      <c r="DM36" s="75" t="s">
        <v>121</v>
      </c>
      <c r="DN36" s="75" t="s">
        <v>121</v>
      </c>
      <c r="DO36" s="75" t="s">
        <v>121</v>
      </c>
      <c r="DP36" s="75" t="s">
        <v>121</v>
      </c>
      <c r="DQ36" s="75" t="s">
        <v>121</v>
      </c>
      <c r="DR36" s="75" t="s">
        <v>121</v>
      </c>
      <c r="DS36" s="75" t="s">
        <v>121</v>
      </c>
      <c r="DT36" s="75" t="s">
        <v>121</v>
      </c>
      <c r="DU36" s="75" t="s">
        <v>121</v>
      </c>
      <c r="DV36" s="75" t="s">
        <v>121</v>
      </c>
      <c r="DW36" s="75" t="s">
        <v>121</v>
      </c>
      <c r="DX36" s="75" t="s">
        <v>121</v>
      </c>
      <c r="DY36" s="75" t="s">
        <v>121</v>
      </c>
      <c r="DZ36" s="75" t="s">
        <v>121</v>
      </c>
      <c r="EA36" s="75" t="s">
        <v>121</v>
      </c>
      <c r="EB36" s="75" t="s">
        <v>121</v>
      </c>
      <c r="EC36" s="75" t="s">
        <v>121</v>
      </c>
      <c r="ED36" s="75" t="s">
        <v>121</v>
      </c>
      <c r="EE36" s="75" t="s">
        <v>121</v>
      </c>
      <c r="EF36" s="75" t="s">
        <v>121</v>
      </c>
      <c r="EG36" s="75" t="s">
        <v>121</v>
      </c>
      <c r="EH36" s="75" t="s">
        <v>121</v>
      </c>
      <c r="EI36" s="75" t="s">
        <v>121</v>
      </c>
      <c r="EJ36" s="75" t="s">
        <v>121</v>
      </c>
      <c r="EK36" s="75" t="s">
        <v>121</v>
      </c>
      <c r="EL36" s="75" t="s">
        <v>121</v>
      </c>
      <c r="EM36" s="75" t="s">
        <v>121</v>
      </c>
      <c r="EN36" s="75" t="s">
        <v>121</v>
      </c>
      <c r="EO36" s="75" t="s">
        <v>121</v>
      </c>
      <c r="EP36" s="75" t="s">
        <v>121</v>
      </c>
      <c r="EQ36" s="75" t="s">
        <v>121</v>
      </c>
      <c r="ER36" s="75" t="s">
        <v>121</v>
      </c>
      <c r="ES36" s="75" t="s">
        <v>121</v>
      </c>
      <c r="ET36" s="75" t="s">
        <v>121</v>
      </c>
      <c r="EU36" s="75" t="s">
        <v>121</v>
      </c>
    </row>
    <row r="37" spans="1:151" s="75" customFormat="1" ht="25.5" customHeight="1" x14ac:dyDescent="0.25">
      <c r="A37" s="72">
        <v>37</v>
      </c>
      <c r="B37" s="73" t="s">
        <v>373</v>
      </c>
      <c r="C37" s="190">
        <v>0.24443279509498383</v>
      </c>
      <c r="D37" s="123">
        <v>0.6735292140592315</v>
      </c>
      <c r="E37" s="191">
        <v>0.24274326389647949</v>
      </c>
      <c r="F37" s="211">
        <v>648067</v>
      </c>
      <c r="G37" s="211">
        <v>520773</v>
      </c>
      <c r="H37" s="211">
        <v>491861</v>
      </c>
      <c r="I37" s="211">
        <v>521481</v>
      </c>
      <c r="J37" s="211">
        <v>387245.70479895</v>
      </c>
      <c r="K37" s="211">
        <v>383946.43580447999</v>
      </c>
      <c r="L37" s="211">
        <v>382589.60043299</v>
      </c>
      <c r="M37" s="211">
        <v>386145</v>
      </c>
      <c r="N37" s="211">
        <v>334877.35853750003</v>
      </c>
      <c r="O37" s="211">
        <v>312377.72215858003</v>
      </c>
      <c r="P37" s="211">
        <v>309041.58864454005</v>
      </c>
      <c r="Q37" s="211">
        <v>354642.11190685001</v>
      </c>
      <c r="R37" s="405"/>
      <c r="S37" s="405"/>
      <c r="T37" s="405"/>
      <c r="U37" s="211">
        <v>290385.10178908001</v>
      </c>
      <c r="V37" s="211">
        <v>262600.10679737001</v>
      </c>
      <c r="W37" s="211">
        <v>267596.80065087002</v>
      </c>
      <c r="X37" s="211">
        <v>271981.41012918996</v>
      </c>
      <c r="Y37" s="211">
        <v>284195.85343803</v>
      </c>
      <c r="Z37" s="211">
        <v>258150.91074723998</v>
      </c>
      <c r="AA37" s="211">
        <v>264686.39867263002</v>
      </c>
      <c r="AB37" s="211">
        <v>270857.94932522002</v>
      </c>
      <c r="AC37" s="211">
        <v>271858.56367154</v>
      </c>
      <c r="AD37" s="211">
        <v>265670.04742784001</v>
      </c>
      <c r="AE37" s="211">
        <v>261700.76705406999</v>
      </c>
      <c r="AF37" s="211">
        <v>273025.40899999999</v>
      </c>
      <c r="AG37" s="211">
        <v>287569.06599999999</v>
      </c>
      <c r="AH37" s="211">
        <v>248629.32400000002</v>
      </c>
      <c r="AI37" s="76">
        <v>241470.49300000002</v>
      </c>
      <c r="AJ37" s="211">
        <v>243882.56200000001</v>
      </c>
      <c r="AK37" s="76">
        <v>250992.057</v>
      </c>
      <c r="AL37" s="76">
        <v>227681.17199999999</v>
      </c>
      <c r="AM37" s="76">
        <v>216110.61699999997</v>
      </c>
      <c r="AN37" s="76">
        <v>223034.26199999999</v>
      </c>
      <c r="AO37" s="76">
        <v>253628.07799999998</v>
      </c>
      <c r="AP37" s="76">
        <v>228080.48</v>
      </c>
      <c r="AQ37" s="76">
        <v>229822.829</v>
      </c>
      <c r="AR37" s="76">
        <v>224968.88699999999</v>
      </c>
      <c r="AS37" s="76">
        <v>243260.226</v>
      </c>
      <c r="AT37" s="76">
        <v>230770.745</v>
      </c>
      <c r="AU37" s="76">
        <v>218425.29399999999</v>
      </c>
      <c r="AV37" s="76">
        <v>207491.33100000001</v>
      </c>
      <c r="AW37" s="76">
        <v>215168.03700000001</v>
      </c>
      <c r="AX37" s="76">
        <v>182635.08100000001</v>
      </c>
      <c r="AY37" s="76">
        <v>168943.13100000002</v>
      </c>
      <c r="AZ37" s="76">
        <v>170665.79800000001</v>
      </c>
      <c r="BA37" s="76">
        <v>175288.14200000002</v>
      </c>
      <c r="BB37" s="76">
        <v>173243.31099999999</v>
      </c>
      <c r="BC37" s="76">
        <v>169831.416</v>
      </c>
      <c r="BD37" s="76">
        <v>161405.965</v>
      </c>
      <c r="BE37" s="76">
        <v>152357.614</v>
      </c>
      <c r="BF37" s="76">
        <v>155571.61500000002</v>
      </c>
      <c r="BG37" s="76">
        <v>156793.34099999999</v>
      </c>
      <c r="BH37" s="76">
        <v>153446.02000000002</v>
      </c>
      <c r="BI37" s="76">
        <v>165110.54699999999</v>
      </c>
      <c r="BJ37" s="76">
        <v>154695.06299999999</v>
      </c>
      <c r="BK37" s="76">
        <v>150570.66099999999</v>
      </c>
      <c r="BL37" s="76">
        <v>143308.81</v>
      </c>
      <c r="BM37" s="75">
        <v>143368.68299999999</v>
      </c>
      <c r="BN37" s="75">
        <v>127242.90700000001</v>
      </c>
      <c r="BO37" s="75">
        <v>121866.91500000001</v>
      </c>
      <c r="BP37" s="75">
        <v>127720.97</v>
      </c>
      <c r="BQ37" s="75">
        <v>134577.217</v>
      </c>
      <c r="BR37" s="75" t="s">
        <v>121</v>
      </c>
      <c r="BS37" s="75" t="s">
        <v>121</v>
      </c>
      <c r="BT37" s="75" t="s">
        <v>121</v>
      </c>
      <c r="BU37" s="75" t="s">
        <v>121</v>
      </c>
      <c r="BV37" s="75" t="s">
        <v>121</v>
      </c>
      <c r="BW37" s="75" t="s">
        <v>121</v>
      </c>
      <c r="BX37" s="75" t="s">
        <v>121</v>
      </c>
      <c r="BY37" s="75" t="s">
        <v>121</v>
      </c>
      <c r="BZ37" s="75" t="s">
        <v>121</v>
      </c>
      <c r="CA37" s="75" t="s">
        <v>121</v>
      </c>
      <c r="CB37" s="75" t="s">
        <v>121</v>
      </c>
      <c r="CC37" s="75" t="s">
        <v>121</v>
      </c>
      <c r="CD37" s="75" t="s">
        <v>121</v>
      </c>
      <c r="CE37" s="75" t="s">
        <v>121</v>
      </c>
      <c r="CF37" s="75" t="s">
        <v>121</v>
      </c>
      <c r="CG37" s="75" t="s">
        <v>121</v>
      </c>
      <c r="CH37" s="75" t="s">
        <v>121</v>
      </c>
      <c r="CI37" s="75" t="s">
        <v>121</v>
      </c>
      <c r="CJ37" s="75" t="s">
        <v>121</v>
      </c>
      <c r="CK37" s="75" t="s">
        <v>121</v>
      </c>
      <c r="CL37" s="75" t="s">
        <v>121</v>
      </c>
      <c r="CM37" s="75" t="s">
        <v>121</v>
      </c>
      <c r="CN37" s="75" t="s">
        <v>121</v>
      </c>
      <c r="CO37" s="75" t="s">
        <v>121</v>
      </c>
      <c r="CP37" s="75" t="s">
        <v>121</v>
      </c>
      <c r="CQ37" s="75" t="s">
        <v>121</v>
      </c>
      <c r="CR37" s="75" t="s">
        <v>121</v>
      </c>
      <c r="CS37" s="75" t="s">
        <v>121</v>
      </c>
      <c r="CT37" s="75" t="s">
        <v>121</v>
      </c>
      <c r="CU37" s="75" t="s">
        <v>121</v>
      </c>
      <c r="CV37" s="75" t="s">
        <v>121</v>
      </c>
      <c r="CW37" s="75" t="s">
        <v>121</v>
      </c>
      <c r="CX37" s="75" t="s">
        <v>121</v>
      </c>
      <c r="CY37" s="75" t="s">
        <v>121</v>
      </c>
      <c r="CZ37" s="75" t="s">
        <v>121</v>
      </c>
      <c r="DA37" s="75" t="s">
        <v>121</v>
      </c>
      <c r="DB37" s="75" t="s">
        <v>121</v>
      </c>
      <c r="DC37" s="75" t="s">
        <v>121</v>
      </c>
      <c r="DD37" s="75" t="s">
        <v>121</v>
      </c>
      <c r="DE37" s="75" t="s">
        <v>121</v>
      </c>
      <c r="DF37" s="75" t="s">
        <v>121</v>
      </c>
      <c r="DG37" s="75" t="s">
        <v>121</v>
      </c>
      <c r="DH37" s="75" t="s">
        <v>121</v>
      </c>
      <c r="DI37" s="75" t="s">
        <v>121</v>
      </c>
      <c r="DJ37" s="75" t="s">
        <v>121</v>
      </c>
      <c r="DK37" s="75" t="s">
        <v>121</v>
      </c>
      <c r="DL37" s="75" t="s">
        <v>121</v>
      </c>
      <c r="DM37" s="75" t="s">
        <v>121</v>
      </c>
      <c r="DN37" s="75" t="s">
        <v>121</v>
      </c>
      <c r="DO37" s="75" t="s">
        <v>121</v>
      </c>
      <c r="DP37" s="75" t="s">
        <v>121</v>
      </c>
      <c r="DQ37" s="75" t="s">
        <v>121</v>
      </c>
      <c r="DR37" s="75" t="s">
        <v>121</v>
      </c>
      <c r="DS37" s="75" t="s">
        <v>121</v>
      </c>
      <c r="DT37" s="75" t="s">
        <v>121</v>
      </c>
      <c r="DU37" s="75" t="s">
        <v>121</v>
      </c>
      <c r="DV37" s="75" t="s">
        <v>121</v>
      </c>
      <c r="DW37" s="75" t="s">
        <v>121</v>
      </c>
      <c r="DX37" s="75" t="s">
        <v>121</v>
      </c>
      <c r="DY37" s="75" t="s">
        <v>121</v>
      </c>
      <c r="DZ37" s="75" t="s">
        <v>121</v>
      </c>
      <c r="EA37" s="75" t="s">
        <v>121</v>
      </c>
      <c r="EB37" s="75" t="s">
        <v>121</v>
      </c>
      <c r="EC37" s="75" t="s">
        <v>121</v>
      </c>
      <c r="ED37" s="75" t="s">
        <v>121</v>
      </c>
      <c r="EE37" s="75" t="s">
        <v>121</v>
      </c>
      <c r="EF37" s="75" t="s">
        <v>121</v>
      </c>
      <c r="EG37" s="75" t="s">
        <v>121</v>
      </c>
      <c r="EH37" s="75" t="s">
        <v>121</v>
      </c>
      <c r="EI37" s="75" t="s">
        <v>121</v>
      </c>
      <c r="EJ37" s="75" t="s">
        <v>121</v>
      </c>
      <c r="EK37" s="75" t="s">
        <v>121</v>
      </c>
      <c r="EL37" s="75" t="s">
        <v>121</v>
      </c>
      <c r="EM37" s="75" t="s">
        <v>121</v>
      </c>
      <c r="EN37" s="75" t="s">
        <v>121</v>
      </c>
      <c r="EO37" s="75" t="s">
        <v>121</v>
      </c>
      <c r="EP37" s="75" t="s">
        <v>121</v>
      </c>
      <c r="EQ37" s="75" t="s">
        <v>121</v>
      </c>
      <c r="ER37" s="75" t="s">
        <v>121</v>
      </c>
      <c r="ES37" s="75" t="s">
        <v>121</v>
      </c>
      <c r="ET37" s="75" t="s">
        <v>121</v>
      </c>
      <c r="EU37" s="75" t="s">
        <v>121</v>
      </c>
    </row>
    <row r="38" spans="1:151" ht="9.75" customHeight="1" x14ac:dyDescent="0.25">
      <c r="A38" s="72">
        <v>38</v>
      </c>
      <c r="B38" s="8" t="s">
        <v>379</v>
      </c>
      <c r="C38" s="194" t="s">
        <v>121</v>
      </c>
      <c r="D38" s="39" t="s">
        <v>121</v>
      </c>
      <c r="E38" s="195" t="s">
        <v>121</v>
      </c>
      <c r="F38" s="1" t="s">
        <v>121</v>
      </c>
      <c r="G38" s="1" t="s">
        <v>121</v>
      </c>
      <c r="H38" s="1" t="s">
        <v>121</v>
      </c>
      <c r="I38" s="1" t="s">
        <v>121</v>
      </c>
      <c r="J38" s="1" t="s">
        <v>121</v>
      </c>
      <c r="K38" s="1" t="s">
        <v>121</v>
      </c>
      <c r="L38" s="1" t="s">
        <v>121</v>
      </c>
      <c r="M38" s="1" t="s">
        <v>121</v>
      </c>
      <c r="N38" s="1" t="s">
        <v>121</v>
      </c>
      <c r="O38" s="1" t="s">
        <v>121</v>
      </c>
      <c r="P38" s="1" t="s">
        <v>121</v>
      </c>
      <c r="Q38" s="1" t="s">
        <v>121</v>
      </c>
      <c r="R38" s="405"/>
      <c r="S38" s="405"/>
      <c r="T38" s="405"/>
      <c r="U38" s="1" t="s">
        <v>121</v>
      </c>
      <c r="V38" s="1" t="s">
        <v>121</v>
      </c>
      <c r="W38" s="1" t="s">
        <v>121</v>
      </c>
      <c r="X38" s="1" t="s">
        <v>121</v>
      </c>
      <c r="Y38" s="1" t="s">
        <v>121</v>
      </c>
      <c r="Z38" s="1" t="s">
        <v>121</v>
      </c>
      <c r="AA38" s="1" t="s">
        <v>121</v>
      </c>
      <c r="AB38" s="1" t="s">
        <v>121</v>
      </c>
      <c r="AC38" s="1" t="s">
        <v>121</v>
      </c>
      <c r="AD38" s="1" t="s">
        <v>121</v>
      </c>
      <c r="AE38" s="1" t="s">
        <v>121</v>
      </c>
      <c r="AF38" s="1" t="s">
        <v>121</v>
      </c>
      <c r="AG38" s="1" t="s">
        <v>121</v>
      </c>
      <c r="AH38" s="1" t="s">
        <v>121</v>
      </c>
      <c r="AI38" s="1" t="s">
        <v>121</v>
      </c>
      <c r="AJ38" s="1" t="s">
        <v>121</v>
      </c>
      <c r="AK38" s="1" t="s">
        <v>121</v>
      </c>
      <c r="AL38" s="1" t="s">
        <v>121</v>
      </c>
      <c r="AM38" s="1" t="s">
        <v>121</v>
      </c>
      <c r="AN38" s="1" t="s">
        <v>121</v>
      </c>
      <c r="AO38" s="1" t="s">
        <v>121</v>
      </c>
      <c r="AP38" s="1" t="s">
        <v>121</v>
      </c>
      <c r="AQ38" s="1" t="s">
        <v>121</v>
      </c>
      <c r="AR38" s="1" t="s">
        <v>121</v>
      </c>
      <c r="AS38" s="1" t="s">
        <v>121</v>
      </c>
      <c r="AT38" s="1" t="s">
        <v>121</v>
      </c>
      <c r="AU38" s="1" t="s">
        <v>121</v>
      </c>
      <c r="AV38" s="1" t="s">
        <v>121</v>
      </c>
      <c r="AW38" s="1" t="s">
        <v>121</v>
      </c>
      <c r="AX38" s="1" t="s">
        <v>121</v>
      </c>
      <c r="AY38" s="1" t="s">
        <v>121</v>
      </c>
      <c r="AZ38" s="1" t="s">
        <v>121</v>
      </c>
      <c r="BA38" s="1" t="s">
        <v>121</v>
      </c>
      <c r="BB38" s="1" t="s">
        <v>121</v>
      </c>
      <c r="BC38" s="1" t="s">
        <v>121</v>
      </c>
      <c r="BD38" s="1" t="s">
        <v>121</v>
      </c>
      <c r="BE38" s="1" t="s">
        <v>121</v>
      </c>
      <c r="BF38" s="1" t="s">
        <v>121</v>
      </c>
      <c r="BG38" s="1" t="s">
        <v>121</v>
      </c>
      <c r="BH38" s="1" t="s">
        <v>121</v>
      </c>
      <c r="BI38" s="1" t="s">
        <v>121</v>
      </c>
      <c r="BJ38" s="1" t="s">
        <v>121</v>
      </c>
      <c r="BK38" s="1" t="s">
        <v>121</v>
      </c>
      <c r="BL38" s="1" t="s">
        <v>121</v>
      </c>
      <c r="BM38" s="1" t="s">
        <v>121</v>
      </c>
      <c r="BN38" s="1" t="s">
        <v>121</v>
      </c>
      <c r="BO38" s="1" t="s">
        <v>121</v>
      </c>
      <c r="BP38" s="1" t="s">
        <v>121</v>
      </c>
      <c r="BQ38" s="1" t="s">
        <v>121</v>
      </c>
      <c r="BR38" s="1" t="s">
        <v>121</v>
      </c>
      <c r="BS38" s="1" t="s">
        <v>121</v>
      </c>
      <c r="BT38" s="1" t="s">
        <v>121</v>
      </c>
      <c r="BU38" s="1" t="s">
        <v>121</v>
      </c>
      <c r="BV38" s="1" t="s">
        <v>121</v>
      </c>
      <c r="BW38" s="1" t="s">
        <v>121</v>
      </c>
      <c r="BX38" s="1" t="s">
        <v>121</v>
      </c>
      <c r="BY38" s="1" t="s">
        <v>121</v>
      </c>
      <c r="BZ38" s="1" t="s">
        <v>121</v>
      </c>
      <c r="CA38" s="1" t="s">
        <v>121</v>
      </c>
      <c r="CB38" s="1" t="s">
        <v>121</v>
      </c>
      <c r="CC38" s="1" t="s">
        <v>121</v>
      </c>
      <c r="CD38" s="1" t="s">
        <v>121</v>
      </c>
      <c r="CE38" s="1" t="s">
        <v>121</v>
      </c>
      <c r="CF38" s="1" t="s">
        <v>121</v>
      </c>
      <c r="CG38" s="1" t="s">
        <v>121</v>
      </c>
      <c r="CH38" s="1" t="s">
        <v>121</v>
      </c>
      <c r="CI38" s="1" t="s">
        <v>121</v>
      </c>
      <c r="CJ38" s="1" t="s">
        <v>121</v>
      </c>
      <c r="CK38" s="1" t="s">
        <v>121</v>
      </c>
      <c r="CL38" s="1" t="s">
        <v>121</v>
      </c>
      <c r="CM38" s="1" t="s">
        <v>121</v>
      </c>
      <c r="CN38" s="1" t="s">
        <v>121</v>
      </c>
      <c r="CO38" s="1" t="s">
        <v>121</v>
      </c>
      <c r="CP38" s="1" t="s">
        <v>121</v>
      </c>
      <c r="CQ38" s="1" t="s">
        <v>121</v>
      </c>
      <c r="CR38" s="1" t="s">
        <v>121</v>
      </c>
      <c r="CS38" s="1" t="s">
        <v>121</v>
      </c>
      <c r="CT38" s="1" t="s">
        <v>121</v>
      </c>
      <c r="CU38" s="1" t="s">
        <v>121</v>
      </c>
      <c r="CV38" s="1" t="s">
        <v>121</v>
      </c>
      <c r="CW38" s="1" t="s">
        <v>121</v>
      </c>
      <c r="CX38" s="1" t="s">
        <v>121</v>
      </c>
      <c r="CY38" s="1" t="s">
        <v>121</v>
      </c>
      <c r="CZ38" s="1" t="s">
        <v>121</v>
      </c>
      <c r="DA38" s="1" t="s">
        <v>121</v>
      </c>
      <c r="DB38" s="1" t="s">
        <v>121</v>
      </c>
      <c r="DC38" s="1" t="s">
        <v>121</v>
      </c>
      <c r="DD38" s="1" t="s">
        <v>121</v>
      </c>
      <c r="DE38" s="1" t="s">
        <v>121</v>
      </c>
      <c r="DF38" s="1" t="s">
        <v>121</v>
      </c>
      <c r="DG38" s="1" t="s">
        <v>121</v>
      </c>
      <c r="DH38" s="1" t="s">
        <v>121</v>
      </c>
      <c r="DI38" s="1" t="s">
        <v>121</v>
      </c>
      <c r="DJ38" s="1" t="s">
        <v>121</v>
      </c>
      <c r="DK38" s="1" t="s">
        <v>121</v>
      </c>
      <c r="DL38" s="1" t="s">
        <v>121</v>
      </c>
      <c r="DM38" s="1" t="s">
        <v>121</v>
      </c>
      <c r="DN38" s="1" t="s">
        <v>121</v>
      </c>
      <c r="DO38" s="1" t="s">
        <v>121</v>
      </c>
      <c r="DP38" s="1" t="s">
        <v>121</v>
      </c>
      <c r="DQ38" s="1" t="s">
        <v>121</v>
      </c>
      <c r="DR38" s="1" t="s">
        <v>121</v>
      </c>
      <c r="DS38" s="1" t="s">
        <v>121</v>
      </c>
      <c r="DT38" s="1" t="s">
        <v>121</v>
      </c>
      <c r="DU38" s="1" t="s">
        <v>121</v>
      </c>
      <c r="DV38" s="1" t="s">
        <v>121</v>
      </c>
      <c r="DW38" s="1" t="s">
        <v>121</v>
      </c>
      <c r="DX38" s="1" t="s">
        <v>121</v>
      </c>
      <c r="DY38" s="1" t="s">
        <v>121</v>
      </c>
      <c r="DZ38" s="1" t="s">
        <v>121</v>
      </c>
      <c r="EA38" s="1" t="s">
        <v>121</v>
      </c>
      <c r="EB38" s="1" t="s">
        <v>121</v>
      </c>
      <c r="EC38" s="1" t="s">
        <v>121</v>
      </c>
      <c r="ED38" s="1" t="s">
        <v>121</v>
      </c>
      <c r="EE38" s="1" t="s">
        <v>121</v>
      </c>
      <c r="EF38" s="1" t="s">
        <v>121</v>
      </c>
      <c r="EG38" s="1" t="s">
        <v>121</v>
      </c>
      <c r="EH38" s="1" t="s">
        <v>121</v>
      </c>
      <c r="EI38" s="1" t="s">
        <v>121</v>
      </c>
      <c r="EJ38" s="1" t="s">
        <v>121</v>
      </c>
      <c r="EK38" s="1" t="s">
        <v>121</v>
      </c>
      <c r="EL38" s="1" t="s">
        <v>121</v>
      </c>
      <c r="EM38" s="1" t="s">
        <v>121</v>
      </c>
      <c r="EN38" s="1" t="s">
        <v>121</v>
      </c>
      <c r="EO38" s="1" t="s">
        <v>121</v>
      </c>
      <c r="EP38" s="1" t="s">
        <v>121</v>
      </c>
      <c r="EQ38" s="1" t="s">
        <v>121</v>
      </c>
      <c r="ER38" s="1" t="s">
        <v>121</v>
      </c>
      <c r="ES38" s="1" t="s">
        <v>121</v>
      </c>
      <c r="ET38" s="1" t="s">
        <v>121</v>
      </c>
      <c r="EU38" s="1" t="s">
        <v>121</v>
      </c>
    </row>
    <row r="39" spans="1:151" ht="25.5" customHeight="1" x14ac:dyDescent="0.25">
      <c r="A39" s="72">
        <v>39</v>
      </c>
      <c r="B39" s="61" t="s">
        <v>380</v>
      </c>
      <c r="C39" s="194" t="s">
        <v>121</v>
      </c>
      <c r="D39" s="39" t="s">
        <v>121</v>
      </c>
      <c r="E39" s="195" t="s">
        <v>121</v>
      </c>
      <c r="F39" s="132">
        <v>0.24325539358328235</v>
      </c>
      <c r="G39" s="132">
        <v>0.31222125225012248</v>
      </c>
      <c r="H39" s="132">
        <v>0.32467566346712284</v>
      </c>
      <c r="I39" s="132">
        <v>0.27138557751957482</v>
      </c>
      <c r="J39" s="132">
        <v>0.3748293498492955</v>
      </c>
      <c r="K39" s="132">
        <v>0.41331257870657107</v>
      </c>
      <c r="L39" s="132">
        <v>0.40997183883281979</v>
      </c>
      <c r="M39" s="132">
        <v>0.40693259693625228</v>
      </c>
      <c r="N39" s="132">
        <v>0.45306053891225345</v>
      </c>
      <c r="O39" s="132">
        <v>0.46091395380065503</v>
      </c>
      <c r="P39" s="132">
        <v>0.47429389881172379</v>
      </c>
      <c r="Q39" s="132">
        <v>0.45149643281961693</v>
      </c>
      <c r="R39" s="405"/>
      <c r="S39" s="405"/>
      <c r="T39" s="405"/>
      <c r="U39" s="132">
        <v>0.42516895082194761</v>
      </c>
      <c r="V39" s="132">
        <v>0.46682926134728481</v>
      </c>
      <c r="W39" s="132">
        <v>0.45680295075701949</v>
      </c>
      <c r="X39" s="132">
        <v>0.43968613181790683</v>
      </c>
      <c r="Y39" s="132">
        <v>0.4067781019339835</v>
      </c>
      <c r="Z39" s="132">
        <v>0.45633888179598669</v>
      </c>
      <c r="AA39" s="132">
        <v>0.38765081111904576</v>
      </c>
      <c r="AB39" s="132">
        <v>0.3769037666424413</v>
      </c>
      <c r="AC39" s="132">
        <v>0.34895806392118489</v>
      </c>
      <c r="AD39" s="132">
        <v>0.36289382797722991</v>
      </c>
      <c r="AE39" s="132">
        <v>0.34544083229150258</v>
      </c>
      <c r="AF39" s="132">
        <v>0.32640679067978723</v>
      </c>
      <c r="AG39" s="132">
        <v>0.30667138405867689</v>
      </c>
      <c r="AH39" s="132">
        <v>0.34591320974206663</v>
      </c>
      <c r="AI39" s="132">
        <v>0.33281918029509028</v>
      </c>
      <c r="AJ39" s="132">
        <v>0.30992698230977017</v>
      </c>
      <c r="AK39" s="132">
        <v>0.30323627317514695</v>
      </c>
      <c r="AL39" s="132">
        <v>0.3217447914606989</v>
      </c>
      <c r="AM39" s="132">
        <v>0.33042283793250032</v>
      </c>
      <c r="AN39" s="132">
        <v>0.32043283996384031</v>
      </c>
      <c r="AO39" s="132">
        <v>0.2911994615769124</v>
      </c>
      <c r="AP39" s="132">
        <v>0.31656627341602833</v>
      </c>
      <c r="AQ39" s="132">
        <v>0.32251883359424971</v>
      </c>
      <c r="AR39" s="132">
        <v>0.31842160666003277</v>
      </c>
      <c r="AS39" s="132">
        <v>0.29083839976536296</v>
      </c>
      <c r="AT39" s="132">
        <v>0.29727221485976552</v>
      </c>
      <c r="AU39" s="132">
        <v>0.30498654214884791</v>
      </c>
      <c r="AV39" s="132">
        <v>0.34619672289771519</v>
      </c>
      <c r="AW39" s="132">
        <v>0.33771564663290804</v>
      </c>
      <c r="AX39" s="132">
        <v>0.35792179745845004</v>
      </c>
      <c r="AY39" s="132">
        <v>0.3683362428561327</v>
      </c>
      <c r="AZ39" s="132">
        <v>0.3748691824691201</v>
      </c>
      <c r="BA39" s="132">
        <v>0.33002698713841133</v>
      </c>
      <c r="BB39" s="132">
        <v>0.3396864958178149</v>
      </c>
      <c r="BC39" s="132">
        <v>0.31686304387553821</v>
      </c>
      <c r="BD39" s="132">
        <v>0.31647642849146024</v>
      </c>
      <c r="BE39" s="132">
        <v>0.33188519359153323</v>
      </c>
      <c r="BF39" s="132">
        <v>0.30768003652271414</v>
      </c>
      <c r="BG39" s="132">
        <v>0.30885848357120127</v>
      </c>
      <c r="BH39" s="132">
        <v>0.3164054326208241</v>
      </c>
      <c r="BI39" s="132">
        <v>0.30055488930592339</v>
      </c>
      <c r="BJ39" s="132">
        <v>0.3030255141217057</v>
      </c>
      <c r="BK39" s="132">
        <v>0.29052672535738189</v>
      </c>
      <c r="BL39" s="132">
        <v>0.2834889130925532</v>
      </c>
      <c r="BM39" s="1">
        <v>0.29086104643517369</v>
      </c>
      <c r="BN39" s="1">
        <v>0.28931687486011748</v>
      </c>
      <c r="BO39" s="1">
        <v>0.30452420709943245</v>
      </c>
      <c r="BP39" s="1">
        <v>0.26150094121776585</v>
      </c>
      <c r="BQ39" s="1">
        <v>0.25705845772414559</v>
      </c>
      <c r="BR39" s="1" t="s">
        <v>121</v>
      </c>
      <c r="BS39" s="1" t="s">
        <v>121</v>
      </c>
      <c r="BT39" s="1" t="s">
        <v>121</v>
      </c>
      <c r="BU39" s="1" t="s">
        <v>121</v>
      </c>
      <c r="BV39" s="1" t="s">
        <v>121</v>
      </c>
      <c r="BW39" s="1" t="s">
        <v>121</v>
      </c>
      <c r="BX39" s="1" t="s">
        <v>121</v>
      </c>
      <c r="BY39" s="1" t="s">
        <v>121</v>
      </c>
      <c r="BZ39" s="1" t="s">
        <v>121</v>
      </c>
      <c r="CA39" s="1" t="s">
        <v>121</v>
      </c>
      <c r="CB39" s="1" t="s">
        <v>121</v>
      </c>
      <c r="CC39" s="1" t="s">
        <v>121</v>
      </c>
      <c r="CD39" s="1" t="s">
        <v>121</v>
      </c>
      <c r="CE39" s="1" t="s">
        <v>121</v>
      </c>
      <c r="CF39" s="1" t="s">
        <v>121</v>
      </c>
      <c r="CG39" s="1" t="s">
        <v>121</v>
      </c>
      <c r="CH39" s="1" t="s">
        <v>121</v>
      </c>
      <c r="CI39" s="1" t="s">
        <v>121</v>
      </c>
      <c r="CJ39" s="1" t="s">
        <v>121</v>
      </c>
      <c r="CK39" s="1" t="s">
        <v>121</v>
      </c>
      <c r="CL39" s="1" t="s">
        <v>121</v>
      </c>
      <c r="CM39" s="1" t="s">
        <v>121</v>
      </c>
      <c r="CN39" s="1" t="s">
        <v>121</v>
      </c>
      <c r="CO39" s="1" t="s">
        <v>121</v>
      </c>
      <c r="CP39" s="1" t="s">
        <v>121</v>
      </c>
      <c r="CQ39" s="1" t="s">
        <v>121</v>
      </c>
      <c r="CR39" s="1" t="s">
        <v>121</v>
      </c>
      <c r="CS39" s="1" t="s">
        <v>121</v>
      </c>
      <c r="CT39" s="1" t="s">
        <v>121</v>
      </c>
      <c r="CU39" s="1" t="s">
        <v>121</v>
      </c>
      <c r="CV39" s="1" t="s">
        <v>121</v>
      </c>
      <c r="CW39" s="1" t="s">
        <v>121</v>
      </c>
      <c r="CX39" s="1" t="s">
        <v>121</v>
      </c>
      <c r="CY39" s="1" t="s">
        <v>121</v>
      </c>
      <c r="CZ39" s="1" t="s">
        <v>121</v>
      </c>
      <c r="DA39" s="1" t="s">
        <v>121</v>
      </c>
      <c r="DB39" s="1" t="s">
        <v>121</v>
      </c>
      <c r="DC39" s="1" t="s">
        <v>121</v>
      </c>
      <c r="DD39" s="1" t="s">
        <v>121</v>
      </c>
      <c r="DE39" s="1" t="s">
        <v>121</v>
      </c>
      <c r="DF39" s="1" t="s">
        <v>121</v>
      </c>
      <c r="DG39" s="1" t="s">
        <v>121</v>
      </c>
      <c r="DH39" s="1" t="s">
        <v>121</v>
      </c>
      <c r="DI39" s="1" t="s">
        <v>121</v>
      </c>
      <c r="DJ39" s="1" t="s">
        <v>121</v>
      </c>
      <c r="DK39" s="1" t="s">
        <v>121</v>
      </c>
      <c r="DL39" s="1" t="s">
        <v>121</v>
      </c>
      <c r="DM39" s="1" t="s">
        <v>121</v>
      </c>
      <c r="DN39" s="1" t="s">
        <v>121</v>
      </c>
      <c r="DO39" s="1" t="s">
        <v>121</v>
      </c>
      <c r="DP39" s="1" t="s">
        <v>121</v>
      </c>
      <c r="DQ39" s="1" t="s">
        <v>121</v>
      </c>
      <c r="DR39" s="1" t="s">
        <v>121</v>
      </c>
      <c r="DS39" s="1" t="s">
        <v>121</v>
      </c>
      <c r="DT39" s="1" t="s">
        <v>121</v>
      </c>
      <c r="DU39" s="1" t="s">
        <v>121</v>
      </c>
      <c r="DV39" s="1" t="s">
        <v>121</v>
      </c>
      <c r="DW39" s="1" t="s">
        <v>121</v>
      </c>
      <c r="DX39" s="1" t="s">
        <v>121</v>
      </c>
      <c r="DY39" s="1" t="s">
        <v>121</v>
      </c>
      <c r="DZ39" s="1" t="s">
        <v>121</v>
      </c>
      <c r="EA39" s="1" t="s">
        <v>121</v>
      </c>
      <c r="EB39" s="1" t="s">
        <v>121</v>
      </c>
      <c r="EC39" s="1" t="s">
        <v>121</v>
      </c>
      <c r="ED39" s="1" t="s">
        <v>121</v>
      </c>
      <c r="EE39" s="1" t="s">
        <v>121</v>
      </c>
      <c r="EF39" s="1" t="s">
        <v>121</v>
      </c>
      <c r="EG39" s="1" t="s">
        <v>121</v>
      </c>
      <c r="EH39" s="1" t="s">
        <v>121</v>
      </c>
      <c r="EI39" s="1" t="s">
        <v>121</v>
      </c>
      <c r="EJ39" s="1" t="s">
        <v>121</v>
      </c>
      <c r="EK39" s="1" t="s">
        <v>121</v>
      </c>
      <c r="EL39" s="1" t="s">
        <v>121</v>
      </c>
      <c r="EM39" s="1" t="s">
        <v>121</v>
      </c>
      <c r="EN39" s="1" t="s">
        <v>121</v>
      </c>
      <c r="EO39" s="1" t="s">
        <v>121</v>
      </c>
      <c r="EP39" s="1" t="s">
        <v>121</v>
      </c>
      <c r="EQ39" s="1" t="s">
        <v>121</v>
      </c>
      <c r="ER39" s="1" t="s">
        <v>121</v>
      </c>
      <c r="ES39" s="1" t="s">
        <v>121</v>
      </c>
      <c r="ET39" s="1" t="s">
        <v>121</v>
      </c>
      <c r="EU39" s="1" t="s">
        <v>121</v>
      </c>
    </row>
    <row r="40" spans="1:151" ht="25.5" customHeight="1" x14ac:dyDescent="0.25">
      <c r="A40" s="72">
        <v>40</v>
      </c>
      <c r="B40" s="61" t="s">
        <v>373</v>
      </c>
      <c r="C40" s="194" t="s">
        <v>121</v>
      </c>
      <c r="D40" s="39" t="s">
        <v>121</v>
      </c>
      <c r="E40" s="195" t="s">
        <v>121</v>
      </c>
      <c r="F40" s="132">
        <v>0.7567446064167177</v>
      </c>
      <c r="G40" s="132">
        <v>0.68777874774987746</v>
      </c>
      <c r="H40" s="132">
        <v>0.67532433653287716</v>
      </c>
      <c r="I40" s="132">
        <v>0.72861442248042518</v>
      </c>
      <c r="J40" s="132">
        <v>0.6251706501507045</v>
      </c>
      <c r="K40" s="132">
        <v>0.58668742129342888</v>
      </c>
      <c r="L40" s="132">
        <v>0.59002816116718027</v>
      </c>
      <c r="M40" s="132">
        <v>0.59306740306374772</v>
      </c>
      <c r="N40" s="132">
        <v>0.5469394610877466</v>
      </c>
      <c r="O40" s="132">
        <v>0.53908604619934497</v>
      </c>
      <c r="P40" s="132">
        <v>0.52570610118827621</v>
      </c>
      <c r="Q40" s="132">
        <v>0.54850356718038307</v>
      </c>
      <c r="R40" s="405"/>
      <c r="S40" s="405"/>
      <c r="T40" s="405"/>
      <c r="U40" s="132">
        <v>0.57483104917805239</v>
      </c>
      <c r="V40" s="132">
        <v>0.53317073865271514</v>
      </c>
      <c r="W40" s="132">
        <v>0.54319704924298051</v>
      </c>
      <c r="X40" s="132">
        <v>0.56031386818209317</v>
      </c>
      <c r="Y40" s="132">
        <v>0.59322189806601633</v>
      </c>
      <c r="Z40" s="132">
        <v>0.54366111820401331</v>
      </c>
      <c r="AA40" s="132">
        <v>0.61234918888095424</v>
      </c>
      <c r="AB40" s="132">
        <v>0.6230962333575587</v>
      </c>
      <c r="AC40" s="132">
        <v>0.65104193607881511</v>
      </c>
      <c r="AD40" s="132">
        <v>0.63710617202276998</v>
      </c>
      <c r="AE40" s="132">
        <v>0.65455916770849731</v>
      </c>
      <c r="AF40" s="132">
        <v>0.67359320932021272</v>
      </c>
      <c r="AG40" s="132">
        <v>0.69332861594132311</v>
      </c>
      <c r="AH40" s="132">
        <v>0.65408679025793337</v>
      </c>
      <c r="AI40" s="132">
        <v>0.66718081970490983</v>
      </c>
      <c r="AJ40" s="132">
        <v>0.69007301769022988</v>
      </c>
      <c r="AK40" s="132">
        <v>0.69676372682485299</v>
      </c>
      <c r="AL40" s="132">
        <v>0.67825520853930121</v>
      </c>
      <c r="AM40" s="132">
        <v>0.66957716206749951</v>
      </c>
      <c r="AN40" s="132">
        <v>0.6795671600361598</v>
      </c>
      <c r="AO40" s="132">
        <v>0.70880053842308754</v>
      </c>
      <c r="AP40" s="132">
        <v>0.68343372658397161</v>
      </c>
      <c r="AQ40" s="132">
        <v>0.6774811664057504</v>
      </c>
      <c r="AR40" s="132">
        <v>0.68157839333996728</v>
      </c>
      <c r="AS40" s="132">
        <v>0.70916160023463715</v>
      </c>
      <c r="AT40" s="132">
        <v>0.70272778514023448</v>
      </c>
      <c r="AU40" s="132">
        <v>0.69501345785115209</v>
      </c>
      <c r="AV40" s="132">
        <v>0.65380327710228481</v>
      </c>
      <c r="AW40" s="132">
        <v>0.66228435336709202</v>
      </c>
      <c r="AX40" s="132">
        <v>0.64207820254155001</v>
      </c>
      <c r="AY40" s="132">
        <v>0.63166375714386735</v>
      </c>
      <c r="AZ40" s="132">
        <v>0.62513081753087985</v>
      </c>
      <c r="BA40" s="132">
        <v>0.66997301286158872</v>
      </c>
      <c r="BB40" s="132">
        <v>0.66031350418218504</v>
      </c>
      <c r="BC40" s="132">
        <v>0.68313695612446179</v>
      </c>
      <c r="BD40" s="132">
        <v>0.68352357150853971</v>
      </c>
      <c r="BE40" s="132">
        <v>0.66811480640846677</v>
      </c>
      <c r="BF40" s="132">
        <v>0.69231996347728586</v>
      </c>
      <c r="BG40" s="132">
        <v>0.69114151642879873</v>
      </c>
      <c r="BH40" s="132">
        <v>0.6835945673791759</v>
      </c>
      <c r="BI40" s="132">
        <v>0.69944511069407656</v>
      </c>
      <c r="BJ40" s="132">
        <v>0.69697448587829436</v>
      </c>
      <c r="BK40" s="132">
        <v>0.70947327464261811</v>
      </c>
      <c r="BL40" s="132">
        <v>0.7165110869074468</v>
      </c>
      <c r="BM40" s="1">
        <v>0.70913895356482637</v>
      </c>
      <c r="BN40" s="1">
        <v>0.71068312513988263</v>
      </c>
      <c r="BO40" s="1">
        <v>0.69547579290056749</v>
      </c>
      <c r="BP40" s="1">
        <v>0.7384990587822341</v>
      </c>
      <c r="BQ40" s="1">
        <v>0.74294154227585452</v>
      </c>
      <c r="BR40" s="1" t="s">
        <v>121</v>
      </c>
      <c r="BS40" s="1" t="s">
        <v>121</v>
      </c>
      <c r="BT40" s="1" t="s">
        <v>121</v>
      </c>
      <c r="BU40" s="1" t="s">
        <v>121</v>
      </c>
      <c r="BV40" s="1" t="s">
        <v>121</v>
      </c>
      <c r="BW40" s="1" t="s">
        <v>121</v>
      </c>
      <c r="BX40" s="1" t="s">
        <v>121</v>
      </c>
      <c r="BY40" s="1" t="s">
        <v>121</v>
      </c>
      <c r="BZ40" s="1" t="s">
        <v>121</v>
      </c>
      <c r="CA40" s="1" t="s">
        <v>121</v>
      </c>
      <c r="CB40" s="1" t="s">
        <v>121</v>
      </c>
      <c r="CC40" s="1" t="s">
        <v>121</v>
      </c>
      <c r="CD40" s="1" t="s">
        <v>121</v>
      </c>
      <c r="CE40" s="1" t="s">
        <v>121</v>
      </c>
      <c r="CF40" s="1" t="s">
        <v>121</v>
      </c>
      <c r="CG40" s="1" t="s">
        <v>121</v>
      </c>
      <c r="CH40" s="1" t="s">
        <v>121</v>
      </c>
      <c r="CI40" s="1" t="s">
        <v>121</v>
      </c>
      <c r="CJ40" s="1" t="s">
        <v>121</v>
      </c>
      <c r="CK40" s="1" t="s">
        <v>121</v>
      </c>
      <c r="CL40" s="1" t="s">
        <v>121</v>
      </c>
      <c r="CM40" s="1" t="s">
        <v>121</v>
      </c>
      <c r="CN40" s="1" t="s">
        <v>121</v>
      </c>
      <c r="CO40" s="1" t="s">
        <v>121</v>
      </c>
      <c r="CP40" s="1" t="s">
        <v>121</v>
      </c>
      <c r="CQ40" s="1" t="s">
        <v>121</v>
      </c>
      <c r="CR40" s="1" t="s">
        <v>121</v>
      </c>
      <c r="CS40" s="1" t="s">
        <v>121</v>
      </c>
      <c r="CT40" s="1" t="s">
        <v>121</v>
      </c>
      <c r="CU40" s="1" t="s">
        <v>121</v>
      </c>
      <c r="CV40" s="1" t="s">
        <v>121</v>
      </c>
      <c r="CW40" s="1" t="s">
        <v>121</v>
      </c>
      <c r="CX40" s="1" t="s">
        <v>121</v>
      </c>
      <c r="CY40" s="1" t="s">
        <v>121</v>
      </c>
      <c r="CZ40" s="1" t="s">
        <v>121</v>
      </c>
      <c r="DA40" s="1" t="s">
        <v>121</v>
      </c>
      <c r="DB40" s="1" t="s">
        <v>121</v>
      </c>
      <c r="DC40" s="1" t="s">
        <v>121</v>
      </c>
      <c r="DD40" s="1" t="s">
        <v>121</v>
      </c>
      <c r="DE40" s="1" t="s">
        <v>121</v>
      </c>
      <c r="DF40" s="1" t="s">
        <v>121</v>
      </c>
      <c r="DG40" s="1" t="s">
        <v>121</v>
      </c>
      <c r="DH40" s="1" t="s">
        <v>121</v>
      </c>
      <c r="DI40" s="1" t="s">
        <v>121</v>
      </c>
      <c r="DJ40" s="1" t="s">
        <v>121</v>
      </c>
      <c r="DK40" s="1" t="s">
        <v>121</v>
      </c>
      <c r="DL40" s="1" t="s">
        <v>121</v>
      </c>
      <c r="DM40" s="1" t="s">
        <v>121</v>
      </c>
      <c r="DN40" s="1" t="s">
        <v>121</v>
      </c>
      <c r="DO40" s="1" t="s">
        <v>121</v>
      </c>
      <c r="DP40" s="1" t="s">
        <v>121</v>
      </c>
      <c r="DQ40" s="1" t="s">
        <v>121</v>
      </c>
      <c r="DR40" s="1" t="s">
        <v>121</v>
      </c>
      <c r="DS40" s="1" t="s">
        <v>121</v>
      </c>
      <c r="DT40" s="1" t="s">
        <v>121</v>
      </c>
      <c r="DU40" s="1" t="s">
        <v>121</v>
      </c>
      <c r="DV40" s="1" t="s">
        <v>121</v>
      </c>
      <c r="DW40" s="1" t="s">
        <v>121</v>
      </c>
      <c r="DX40" s="1" t="s">
        <v>121</v>
      </c>
      <c r="DY40" s="1" t="s">
        <v>121</v>
      </c>
      <c r="DZ40" s="1" t="s">
        <v>121</v>
      </c>
      <c r="EA40" s="1" t="s">
        <v>121</v>
      </c>
      <c r="EB40" s="1" t="s">
        <v>121</v>
      </c>
      <c r="EC40" s="1" t="s">
        <v>121</v>
      </c>
      <c r="ED40" s="1" t="s">
        <v>121</v>
      </c>
      <c r="EE40" s="1" t="s">
        <v>121</v>
      </c>
      <c r="EF40" s="1" t="s">
        <v>121</v>
      </c>
      <c r="EG40" s="1" t="s">
        <v>121</v>
      </c>
      <c r="EH40" s="1" t="s">
        <v>121</v>
      </c>
      <c r="EI40" s="1" t="s">
        <v>121</v>
      </c>
      <c r="EJ40" s="1" t="s">
        <v>121</v>
      </c>
      <c r="EK40" s="1" t="s">
        <v>121</v>
      </c>
      <c r="EL40" s="1" t="s">
        <v>121</v>
      </c>
      <c r="EM40" s="1" t="s">
        <v>121</v>
      </c>
      <c r="EN40" s="1" t="s">
        <v>121</v>
      </c>
      <c r="EO40" s="1" t="s">
        <v>121</v>
      </c>
      <c r="EP40" s="1" t="s">
        <v>121</v>
      </c>
      <c r="EQ40" s="1" t="s">
        <v>121</v>
      </c>
      <c r="ER40" s="1" t="s">
        <v>121</v>
      </c>
      <c r="ES40" s="1" t="s">
        <v>121</v>
      </c>
      <c r="ET40" s="1" t="s">
        <v>121</v>
      </c>
      <c r="EU40" s="1" t="s">
        <v>121</v>
      </c>
    </row>
    <row r="41" spans="1:151" x14ac:dyDescent="0.25">
      <c r="A41" s="72">
        <v>41</v>
      </c>
      <c r="B41" s="1" t="s">
        <v>121</v>
      </c>
      <c r="C41" s="1" t="s">
        <v>121</v>
      </c>
      <c r="D41" s="1" t="s">
        <v>121</v>
      </c>
      <c r="E41" s="1" t="s">
        <v>121</v>
      </c>
      <c r="F41" s="1" t="s">
        <v>121</v>
      </c>
      <c r="G41" s="1" t="s">
        <v>121</v>
      </c>
      <c r="H41" s="1" t="s">
        <v>121</v>
      </c>
      <c r="I41" s="1" t="s">
        <v>121</v>
      </c>
      <c r="J41" s="1" t="s">
        <v>121</v>
      </c>
      <c r="K41" s="1" t="s">
        <v>121</v>
      </c>
      <c r="L41" s="1" t="s">
        <v>121</v>
      </c>
      <c r="M41" s="1" t="s">
        <v>121</v>
      </c>
      <c r="N41" s="1" t="s">
        <v>121</v>
      </c>
      <c r="O41" s="1" t="s">
        <v>121</v>
      </c>
      <c r="P41" s="1" t="s">
        <v>121</v>
      </c>
      <c r="Q41" s="1" t="s">
        <v>121</v>
      </c>
      <c r="R41" s="1" t="s">
        <v>121</v>
      </c>
      <c r="S41" s="1" t="s">
        <v>121</v>
      </c>
      <c r="T41" s="1" t="s">
        <v>121</v>
      </c>
      <c r="U41" s="1" t="s">
        <v>121</v>
      </c>
      <c r="V41" s="1" t="s">
        <v>121</v>
      </c>
      <c r="W41" s="1" t="s">
        <v>121</v>
      </c>
      <c r="X41" s="1" t="s">
        <v>121</v>
      </c>
      <c r="Y41" s="1" t="s">
        <v>121</v>
      </c>
      <c r="Z41" s="1" t="s">
        <v>121</v>
      </c>
      <c r="AA41" s="1" t="s">
        <v>121</v>
      </c>
      <c r="AB41" s="1" t="s">
        <v>121</v>
      </c>
      <c r="AC41" s="1" t="s">
        <v>121</v>
      </c>
      <c r="AD41" s="1" t="s">
        <v>121</v>
      </c>
      <c r="AE41" s="1" t="s">
        <v>121</v>
      </c>
      <c r="AF41" s="1" t="s">
        <v>121</v>
      </c>
      <c r="AG41" s="1" t="s">
        <v>121</v>
      </c>
      <c r="AH41" s="1" t="s">
        <v>121</v>
      </c>
      <c r="AI41" s="1" t="s">
        <v>121</v>
      </c>
      <c r="AJ41" s="1" t="s">
        <v>121</v>
      </c>
      <c r="AK41" s="1" t="s">
        <v>121</v>
      </c>
      <c r="AL41" s="1" t="s">
        <v>121</v>
      </c>
      <c r="AM41" s="1" t="s">
        <v>121</v>
      </c>
      <c r="AN41" s="1" t="s">
        <v>121</v>
      </c>
      <c r="AO41" s="1" t="s">
        <v>121</v>
      </c>
      <c r="AP41" s="1" t="s">
        <v>121</v>
      </c>
      <c r="AQ41" s="1" t="s">
        <v>121</v>
      </c>
      <c r="AR41" s="1" t="s">
        <v>121</v>
      </c>
      <c r="AS41" s="1" t="s">
        <v>121</v>
      </c>
      <c r="AT41" s="1" t="s">
        <v>121</v>
      </c>
      <c r="AU41" s="1" t="s">
        <v>121</v>
      </c>
      <c r="AV41" s="1" t="s">
        <v>121</v>
      </c>
      <c r="AW41" s="1" t="s">
        <v>121</v>
      </c>
      <c r="AX41" s="1" t="s">
        <v>121</v>
      </c>
      <c r="AY41" s="1" t="s">
        <v>121</v>
      </c>
      <c r="AZ41" s="1" t="s">
        <v>121</v>
      </c>
      <c r="BA41" s="1" t="s">
        <v>121</v>
      </c>
      <c r="BB41" s="1" t="s">
        <v>121</v>
      </c>
      <c r="BC41" s="1" t="s">
        <v>121</v>
      </c>
      <c r="BD41" s="1" t="s">
        <v>121</v>
      </c>
      <c r="BE41" s="1" t="s">
        <v>121</v>
      </c>
      <c r="BF41" s="1" t="s">
        <v>121</v>
      </c>
      <c r="BG41" s="1" t="s">
        <v>121</v>
      </c>
      <c r="BH41" s="1" t="s">
        <v>121</v>
      </c>
      <c r="BI41" s="1" t="s">
        <v>121</v>
      </c>
      <c r="BJ41" s="1" t="s">
        <v>121</v>
      </c>
      <c r="BK41" s="1" t="s">
        <v>121</v>
      </c>
      <c r="BL41" s="1" t="s">
        <v>121</v>
      </c>
      <c r="BM41" s="1" t="s">
        <v>121</v>
      </c>
      <c r="BN41" s="1" t="s">
        <v>121</v>
      </c>
      <c r="BO41" s="1" t="s">
        <v>121</v>
      </c>
      <c r="BP41" s="1" t="s">
        <v>121</v>
      </c>
      <c r="BQ41" s="1" t="s">
        <v>121</v>
      </c>
      <c r="BR41" s="1" t="s">
        <v>121</v>
      </c>
      <c r="BS41" s="1" t="s">
        <v>121</v>
      </c>
      <c r="BT41" s="1" t="s">
        <v>121</v>
      </c>
      <c r="BU41" s="1" t="s">
        <v>121</v>
      </c>
      <c r="BV41" s="1" t="s">
        <v>121</v>
      </c>
      <c r="BW41" s="1" t="s">
        <v>121</v>
      </c>
      <c r="BX41" s="1" t="s">
        <v>121</v>
      </c>
      <c r="BY41" s="1" t="s">
        <v>121</v>
      </c>
      <c r="BZ41" s="1" t="s">
        <v>121</v>
      </c>
      <c r="CA41" s="1" t="s">
        <v>121</v>
      </c>
      <c r="CB41" s="1" t="s">
        <v>121</v>
      </c>
      <c r="CC41" s="1" t="s">
        <v>121</v>
      </c>
      <c r="CD41" s="1" t="s">
        <v>121</v>
      </c>
      <c r="CE41" s="1" t="s">
        <v>121</v>
      </c>
      <c r="CF41" s="1" t="s">
        <v>121</v>
      </c>
      <c r="CG41" s="1" t="s">
        <v>121</v>
      </c>
      <c r="CH41" s="1" t="s">
        <v>121</v>
      </c>
      <c r="CI41" s="1" t="s">
        <v>121</v>
      </c>
      <c r="CJ41" s="1" t="s">
        <v>121</v>
      </c>
      <c r="CK41" s="1" t="s">
        <v>121</v>
      </c>
      <c r="CL41" s="1" t="s">
        <v>121</v>
      </c>
      <c r="CM41" s="1" t="s">
        <v>121</v>
      </c>
      <c r="CN41" s="1" t="s">
        <v>121</v>
      </c>
      <c r="CO41" s="1" t="s">
        <v>121</v>
      </c>
      <c r="CP41" s="1" t="s">
        <v>121</v>
      </c>
      <c r="CQ41" s="1" t="s">
        <v>121</v>
      </c>
      <c r="CR41" s="1" t="s">
        <v>121</v>
      </c>
      <c r="CS41" s="1" t="s">
        <v>121</v>
      </c>
      <c r="CT41" s="1" t="s">
        <v>121</v>
      </c>
      <c r="CU41" s="1" t="s">
        <v>121</v>
      </c>
      <c r="CV41" s="1" t="s">
        <v>121</v>
      </c>
      <c r="CW41" s="1" t="s">
        <v>121</v>
      </c>
      <c r="CX41" s="1" t="s">
        <v>121</v>
      </c>
      <c r="CY41" s="1" t="s">
        <v>121</v>
      </c>
      <c r="CZ41" s="1" t="s">
        <v>121</v>
      </c>
      <c r="DA41" s="1" t="s">
        <v>121</v>
      </c>
      <c r="DB41" s="1" t="s">
        <v>121</v>
      </c>
      <c r="DC41" s="1" t="s">
        <v>121</v>
      </c>
      <c r="DD41" s="1" t="s">
        <v>121</v>
      </c>
      <c r="DE41" s="1" t="s">
        <v>121</v>
      </c>
      <c r="DF41" s="1" t="s">
        <v>121</v>
      </c>
      <c r="DG41" s="1" t="s">
        <v>121</v>
      </c>
      <c r="DH41" s="1" t="s">
        <v>121</v>
      </c>
      <c r="DI41" s="1" t="s">
        <v>121</v>
      </c>
      <c r="DJ41" s="1" t="s">
        <v>121</v>
      </c>
      <c r="DK41" s="1" t="s">
        <v>121</v>
      </c>
      <c r="DL41" s="1" t="s">
        <v>121</v>
      </c>
      <c r="DM41" s="1" t="s">
        <v>121</v>
      </c>
      <c r="DN41" s="1" t="s">
        <v>121</v>
      </c>
      <c r="DO41" s="1" t="s">
        <v>121</v>
      </c>
      <c r="DP41" s="1" t="s">
        <v>121</v>
      </c>
      <c r="DQ41" s="1" t="s">
        <v>121</v>
      </c>
      <c r="DR41" s="1" t="s">
        <v>121</v>
      </c>
      <c r="DS41" s="1" t="s">
        <v>121</v>
      </c>
      <c r="DT41" s="1" t="s">
        <v>121</v>
      </c>
      <c r="DU41" s="1" t="s">
        <v>121</v>
      </c>
      <c r="DV41" s="1" t="s">
        <v>121</v>
      </c>
      <c r="DW41" s="1" t="s">
        <v>121</v>
      </c>
      <c r="DX41" s="1" t="s">
        <v>121</v>
      </c>
      <c r="DY41" s="1" t="s">
        <v>121</v>
      </c>
      <c r="DZ41" s="1" t="s">
        <v>121</v>
      </c>
      <c r="EA41" s="1" t="s">
        <v>121</v>
      </c>
      <c r="EB41" s="1" t="s">
        <v>121</v>
      </c>
      <c r="EC41" s="1" t="s">
        <v>121</v>
      </c>
      <c r="ED41" s="1" t="s">
        <v>121</v>
      </c>
      <c r="EE41" s="1" t="s">
        <v>121</v>
      </c>
      <c r="EF41" s="1" t="s">
        <v>121</v>
      </c>
      <c r="EG41" s="1" t="s">
        <v>121</v>
      </c>
      <c r="EH41" s="1" t="s">
        <v>121</v>
      </c>
      <c r="EI41" s="1" t="s">
        <v>121</v>
      </c>
      <c r="EJ41" s="1" t="s">
        <v>121</v>
      </c>
      <c r="EK41" s="1" t="s">
        <v>121</v>
      </c>
      <c r="EL41" s="1" t="s">
        <v>121</v>
      </c>
      <c r="EM41" s="1" t="s">
        <v>121</v>
      </c>
      <c r="EN41" s="1" t="s">
        <v>121</v>
      </c>
      <c r="EO41" s="1" t="s">
        <v>121</v>
      </c>
      <c r="EP41" s="1" t="s">
        <v>121</v>
      </c>
      <c r="EQ41" s="1" t="s">
        <v>121</v>
      </c>
      <c r="ER41" s="1" t="s">
        <v>121</v>
      </c>
      <c r="ES41" s="1" t="s">
        <v>121</v>
      </c>
      <c r="ET41" s="1" t="s">
        <v>121</v>
      </c>
      <c r="EU41" s="1" t="s">
        <v>121</v>
      </c>
    </row>
    <row r="42" spans="1:151" x14ac:dyDescent="0.25">
      <c r="A42" s="72">
        <v>42</v>
      </c>
      <c r="B42" s="1" t="s">
        <v>121</v>
      </c>
      <c r="C42" s="1" t="s">
        <v>121</v>
      </c>
      <c r="D42" s="1" t="s">
        <v>121</v>
      </c>
      <c r="E42" s="1" t="s">
        <v>121</v>
      </c>
      <c r="F42" s="1" t="s">
        <v>121</v>
      </c>
      <c r="G42" s="1" t="s">
        <v>121</v>
      </c>
      <c r="H42" s="1" t="s">
        <v>121</v>
      </c>
      <c r="I42" s="1" t="s">
        <v>121</v>
      </c>
      <c r="J42" s="1" t="s">
        <v>121</v>
      </c>
      <c r="K42" s="1" t="s">
        <v>121</v>
      </c>
      <c r="L42" s="1" t="s">
        <v>121</v>
      </c>
      <c r="M42" s="1" t="s">
        <v>121</v>
      </c>
      <c r="N42" s="1" t="s">
        <v>121</v>
      </c>
      <c r="O42" s="1" t="s">
        <v>121</v>
      </c>
      <c r="P42" s="1" t="s">
        <v>121</v>
      </c>
      <c r="Q42" s="1" t="s">
        <v>121</v>
      </c>
      <c r="R42" s="1" t="s">
        <v>121</v>
      </c>
      <c r="S42" s="1" t="s">
        <v>121</v>
      </c>
      <c r="T42" s="1" t="s">
        <v>121</v>
      </c>
      <c r="U42" s="1" t="s">
        <v>121</v>
      </c>
      <c r="V42" s="1" t="s">
        <v>121</v>
      </c>
      <c r="W42" s="1" t="s">
        <v>121</v>
      </c>
      <c r="X42" s="1" t="s">
        <v>121</v>
      </c>
      <c r="Y42" s="1" t="s">
        <v>121</v>
      </c>
      <c r="Z42" s="1" t="s">
        <v>121</v>
      </c>
      <c r="AA42" s="1" t="s">
        <v>121</v>
      </c>
      <c r="AB42" s="1" t="s">
        <v>121</v>
      </c>
      <c r="AC42" s="1" t="s">
        <v>121</v>
      </c>
      <c r="AD42" s="1" t="s">
        <v>121</v>
      </c>
      <c r="AE42" s="1" t="s">
        <v>121</v>
      </c>
      <c r="AF42" s="1" t="s">
        <v>121</v>
      </c>
      <c r="AG42" s="1" t="s">
        <v>121</v>
      </c>
      <c r="AH42" s="27" t="s">
        <v>121</v>
      </c>
      <c r="AI42" s="1" t="s">
        <v>121</v>
      </c>
      <c r="AJ42" s="1" t="s">
        <v>121</v>
      </c>
      <c r="AK42" s="1" t="s">
        <v>121</v>
      </c>
      <c r="AL42" s="1" t="s">
        <v>121</v>
      </c>
      <c r="AM42" s="1" t="s">
        <v>121</v>
      </c>
      <c r="AN42" s="1" t="s">
        <v>121</v>
      </c>
      <c r="AO42" s="1" t="s">
        <v>121</v>
      </c>
      <c r="AP42" s="1" t="s">
        <v>121</v>
      </c>
      <c r="AQ42" s="1" t="s">
        <v>121</v>
      </c>
      <c r="AR42" s="1" t="s">
        <v>121</v>
      </c>
      <c r="AS42" s="1" t="s">
        <v>121</v>
      </c>
      <c r="AT42" s="1" t="s">
        <v>121</v>
      </c>
      <c r="AU42" s="1" t="s">
        <v>121</v>
      </c>
      <c r="AV42" s="1" t="s">
        <v>121</v>
      </c>
      <c r="AW42" s="1" t="s">
        <v>121</v>
      </c>
      <c r="AX42" s="1" t="s">
        <v>121</v>
      </c>
      <c r="AY42" s="1" t="s">
        <v>121</v>
      </c>
      <c r="AZ42" s="1" t="s">
        <v>121</v>
      </c>
      <c r="BA42" s="1" t="s">
        <v>121</v>
      </c>
      <c r="BB42" s="1" t="s">
        <v>121</v>
      </c>
      <c r="BC42" s="1" t="s">
        <v>121</v>
      </c>
      <c r="BD42" s="1" t="s">
        <v>121</v>
      </c>
      <c r="BE42" s="1" t="s">
        <v>121</v>
      </c>
      <c r="BF42" s="1" t="s">
        <v>121</v>
      </c>
      <c r="BG42" s="1" t="s">
        <v>121</v>
      </c>
      <c r="BH42" s="1" t="s">
        <v>121</v>
      </c>
      <c r="BI42" s="1" t="s">
        <v>121</v>
      </c>
      <c r="BJ42" s="1" t="s">
        <v>121</v>
      </c>
      <c r="BK42" s="1" t="s">
        <v>121</v>
      </c>
      <c r="BL42" s="1" t="s">
        <v>121</v>
      </c>
      <c r="BM42" s="1" t="s">
        <v>121</v>
      </c>
      <c r="BN42" s="1" t="s">
        <v>121</v>
      </c>
      <c r="BO42" s="1" t="s">
        <v>121</v>
      </c>
      <c r="BP42" s="1" t="s">
        <v>121</v>
      </c>
      <c r="BQ42" s="1" t="s">
        <v>121</v>
      </c>
      <c r="BR42" s="1" t="s">
        <v>121</v>
      </c>
      <c r="BS42" s="1" t="s">
        <v>121</v>
      </c>
      <c r="BT42" s="1" t="s">
        <v>121</v>
      </c>
      <c r="BU42" s="1" t="s">
        <v>121</v>
      </c>
      <c r="BV42" s="1" t="s">
        <v>121</v>
      </c>
      <c r="BW42" s="1" t="s">
        <v>121</v>
      </c>
      <c r="BX42" s="1" t="s">
        <v>121</v>
      </c>
      <c r="BY42" s="1" t="s">
        <v>121</v>
      </c>
      <c r="BZ42" s="1" t="s">
        <v>121</v>
      </c>
      <c r="CA42" s="1" t="s">
        <v>121</v>
      </c>
      <c r="CB42" s="1" t="s">
        <v>121</v>
      </c>
      <c r="CC42" s="1" t="s">
        <v>121</v>
      </c>
      <c r="CD42" s="1" t="s">
        <v>121</v>
      </c>
      <c r="CE42" s="1" t="s">
        <v>121</v>
      </c>
      <c r="CF42" s="1" t="s">
        <v>121</v>
      </c>
      <c r="CG42" s="1" t="s">
        <v>121</v>
      </c>
      <c r="CH42" s="1" t="s">
        <v>121</v>
      </c>
      <c r="CI42" s="1" t="s">
        <v>121</v>
      </c>
      <c r="CJ42" s="1" t="s">
        <v>121</v>
      </c>
      <c r="CK42" s="1" t="s">
        <v>121</v>
      </c>
      <c r="CL42" s="1" t="s">
        <v>121</v>
      </c>
      <c r="CM42" s="1" t="s">
        <v>121</v>
      </c>
      <c r="CN42" s="1" t="s">
        <v>121</v>
      </c>
      <c r="CO42" s="1" t="s">
        <v>121</v>
      </c>
      <c r="CP42" s="1" t="s">
        <v>121</v>
      </c>
      <c r="CQ42" s="1" t="s">
        <v>121</v>
      </c>
      <c r="CR42" s="1" t="s">
        <v>121</v>
      </c>
      <c r="CS42" s="1" t="s">
        <v>121</v>
      </c>
      <c r="CT42" s="1" t="s">
        <v>121</v>
      </c>
      <c r="CU42" s="1" t="s">
        <v>121</v>
      </c>
      <c r="CV42" s="1" t="s">
        <v>121</v>
      </c>
      <c r="CW42" s="1" t="s">
        <v>121</v>
      </c>
      <c r="CX42" s="1" t="s">
        <v>121</v>
      </c>
      <c r="CY42" s="1" t="s">
        <v>121</v>
      </c>
      <c r="CZ42" s="1" t="s">
        <v>121</v>
      </c>
      <c r="DA42" s="1" t="s">
        <v>121</v>
      </c>
      <c r="DB42" s="1" t="s">
        <v>121</v>
      </c>
      <c r="DC42" s="1" t="s">
        <v>121</v>
      </c>
      <c r="DD42" s="1" t="s">
        <v>121</v>
      </c>
      <c r="DE42" s="1" t="s">
        <v>121</v>
      </c>
      <c r="DF42" s="1" t="s">
        <v>121</v>
      </c>
      <c r="DG42" s="1" t="s">
        <v>121</v>
      </c>
      <c r="DH42" s="1" t="s">
        <v>121</v>
      </c>
      <c r="DI42" s="1" t="s">
        <v>121</v>
      </c>
      <c r="DJ42" s="1" t="s">
        <v>121</v>
      </c>
      <c r="DK42" s="1" t="s">
        <v>121</v>
      </c>
      <c r="DL42" s="1" t="s">
        <v>121</v>
      </c>
      <c r="DM42" s="1" t="s">
        <v>121</v>
      </c>
      <c r="DN42" s="1" t="s">
        <v>121</v>
      </c>
      <c r="DO42" s="1" t="s">
        <v>121</v>
      </c>
      <c r="DP42" s="1" t="s">
        <v>121</v>
      </c>
      <c r="DQ42" s="1" t="s">
        <v>121</v>
      </c>
      <c r="DR42" s="1" t="s">
        <v>121</v>
      </c>
      <c r="DS42" s="1" t="s">
        <v>121</v>
      </c>
      <c r="DT42" s="1" t="s">
        <v>121</v>
      </c>
      <c r="DU42" s="1" t="s">
        <v>121</v>
      </c>
      <c r="DV42" s="1" t="s">
        <v>121</v>
      </c>
      <c r="DW42" s="1" t="s">
        <v>121</v>
      </c>
      <c r="DX42" s="1" t="s">
        <v>121</v>
      </c>
      <c r="DY42" s="1" t="s">
        <v>121</v>
      </c>
      <c r="DZ42" s="1" t="s">
        <v>121</v>
      </c>
      <c r="EA42" s="1" t="s">
        <v>121</v>
      </c>
      <c r="EB42" s="1" t="s">
        <v>121</v>
      </c>
      <c r="EC42" s="1" t="s">
        <v>121</v>
      </c>
      <c r="ED42" s="1" t="s">
        <v>121</v>
      </c>
      <c r="EE42" s="1" t="s">
        <v>121</v>
      </c>
      <c r="EF42" s="1" t="s">
        <v>121</v>
      </c>
      <c r="EG42" s="1" t="s">
        <v>121</v>
      </c>
      <c r="EH42" s="1" t="s">
        <v>121</v>
      </c>
      <c r="EI42" s="1" t="s">
        <v>121</v>
      </c>
      <c r="EJ42" s="1" t="s">
        <v>121</v>
      </c>
      <c r="EK42" s="1" t="s">
        <v>121</v>
      </c>
      <c r="EL42" s="1" t="s">
        <v>121</v>
      </c>
      <c r="EM42" s="1" t="s">
        <v>121</v>
      </c>
      <c r="EN42" s="1" t="s">
        <v>121</v>
      </c>
      <c r="EO42" s="1" t="s">
        <v>121</v>
      </c>
      <c r="EP42" s="1" t="s">
        <v>121</v>
      </c>
      <c r="EQ42" s="1" t="s">
        <v>121</v>
      </c>
      <c r="ER42" s="1" t="s">
        <v>121</v>
      </c>
      <c r="ES42" s="1" t="s">
        <v>121</v>
      </c>
      <c r="ET42" s="1" t="s">
        <v>121</v>
      </c>
      <c r="EU42" s="1" t="s">
        <v>121</v>
      </c>
    </row>
    <row r="43" spans="1:151" x14ac:dyDescent="0.25">
      <c r="A43" s="72">
        <v>43</v>
      </c>
      <c r="B43" s="1" t="s">
        <v>121</v>
      </c>
      <c r="C43" s="1" t="s">
        <v>121</v>
      </c>
      <c r="D43" s="1" t="s">
        <v>121</v>
      </c>
      <c r="E43" s="1" t="s">
        <v>121</v>
      </c>
      <c r="F43" s="1" t="s">
        <v>121</v>
      </c>
      <c r="G43" s="1" t="s">
        <v>121</v>
      </c>
      <c r="H43" s="1" t="s">
        <v>121</v>
      </c>
      <c r="I43" s="1" t="s">
        <v>121</v>
      </c>
      <c r="J43" s="1" t="s">
        <v>121</v>
      </c>
      <c r="K43" s="1" t="s">
        <v>121</v>
      </c>
      <c r="L43" s="1" t="s">
        <v>121</v>
      </c>
      <c r="M43" s="1" t="s">
        <v>121</v>
      </c>
      <c r="N43" s="1" t="s">
        <v>121</v>
      </c>
      <c r="O43" s="1" t="s">
        <v>121</v>
      </c>
      <c r="P43" s="1" t="s">
        <v>121</v>
      </c>
      <c r="Q43" s="1" t="s">
        <v>121</v>
      </c>
      <c r="R43" s="1" t="s">
        <v>121</v>
      </c>
      <c r="S43" s="1" t="s">
        <v>121</v>
      </c>
      <c r="T43" s="1" t="s">
        <v>121</v>
      </c>
      <c r="U43" s="1" t="s">
        <v>121</v>
      </c>
      <c r="V43" s="1" t="s">
        <v>121</v>
      </c>
      <c r="W43" s="1" t="s">
        <v>121</v>
      </c>
      <c r="X43" s="1" t="s">
        <v>121</v>
      </c>
      <c r="Y43" s="1" t="s">
        <v>121</v>
      </c>
      <c r="Z43" s="1" t="s">
        <v>121</v>
      </c>
      <c r="AA43" s="1" t="s">
        <v>121</v>
      </c>
      <c r="AB43" s="1" t="s">
        <v>121</v>
      </c>
      <c r="AC43" s="1" t="s">
        <v>121</v>
      </c>
      <c r="AD43" s="1" t="s">
        <v>121</v>
      </c>
      <c r="AE43" s="1" t="s">
        <v>121</v>
      </c>
      <c r="AF43" s="1" t="s">
        <v>121</v>
      </c>
      <c r="AG43" s="1" t="s">
        <v>121</v>
      </c>
      <c r="AH43" s="1" t="s">
        <v>121</v>
      </c>
      <c r="AI43" s="1" t="s">
        <v>121</v>
      </c>
      <c r="AJ43" s="1" t="s">
        <v>121</v>
      </c>
      <c r="AK43" s="1" t="s">
        <v>121</v>
      </c>
      <c r="AL43" s="1" t="s">
        <v>121</v>
      </c>
      <c r="AM43" s="1" t="s">
        <v>121</v>
      </c>
      <c r="AN43" s="1" t="s">
        <v>121</v>
      </c>
      <c r="AO43" s="1" t="s">
        <v>121</v>
      </c>
      <c r="AP43" s="1" t="s">
        <v>121</v>
      </c>
      <c r="AQ43" s="1" t="s">
        <v>121</v>
      </c>
      <c r="AR43" s="1" t="s">
        <v>121</v>
      </c>
      <c r="AS43" s="1" t="s">
        <v>121</v>
      </c>
      <c r="AT43" s="1" t="s">
        <v>121</v>
      </c>
      <c r="AU43" s="1" t="s">
        <v>121</v>
      </c>
      <c r="AV43" s="1" t="s">
        <v>121</v>
      </c>
      <c r="AW43" s="1" t="s">
        <v>121</v>
      </c>
      <c r="AX43" s="1" t="s">
        <v>121</v>
      </c>
      <c r="AY43" s="1" t="s">
        <v>121</v>
      </c>
      <c r="AZ43" s="1" t="s">
        <v>121</v>
      </c>
      <c r="BA43" s="1" t="s">
        <v>121</v>
      </c>
      <c r="BB43" s="1" t="s">
        <v>121</v>
      </c>
      <c r="BC43" s="1" t="s">
        <v>121</v>
      </c>
      <c r="BD43" s="1" t="s">
        <v>121</v>
      </c>
      <c r="BE43" s="1" t="s">
        <v>121</v>
      </c>
      <c r="BF43" s="1" t="s">
        <v>121</v>
      </c>
      <c r="BG43" s="1" t="s">
        <v>121</v>
      </c>
      <c r="BH43" s="1" t="s">
        <v>121</v>
      </c>
      <c r="BI43" s="1" t="s">
        <v>121</v>
      </c>
      <c r="BJ43" s="1" t="s">
        <v>121</v>
      </c>
      <c r="BK43" s="1" t="s">
        <v>121</v>
      </c>
      <c r="BL43" s="1" t="s">
        <v>121</v>
      </c>
      <c r="BM43" s="1" t="s">
        <v>121</v>
      </c>
      <c r="BN43" s="1" t="s">
        <v>121</v>
      </c>
      <c r="BO43" s="1" t="s">
        <v>121</v>
      </c>
      <c r="BP43" s="1" t="s">
        <v>121</v>
      </c>
      <c r="BQ43" s="1" t="s">
        <v>121</v>
      </c>
      <c r="BR43" s="1" t="s">
        <v>121</v>
      </c>
      <c r="BS43" s="1" t="s">
        <v>121</v>
      </c>
      <c r="BT43" s="1" t="s">
        <v>121</v>
      </c>
      <c r="BU43" s="1" t="s">
        <v>121</v>
      </c>
      <c r="BV43" s="1" t="s">
        <v>121</v>
      </c>
      <c r="BW43" s="1" t="s">
        <v>121</v>
      </c>
      <c r="BX43" s="1" t="s">
        <v>121</v>
      </c>
      <c r="BY43" s="1" t="s">
        <v>121</v>
      </c>
      <c r="BZ43" s="1" t="s">
        <v>121</v>
      </c>
      <c r="CA43" s="1" t="s">
        <v>121</v>
      </c>
      <c r="CB43" s="1" t="s">
        <v>121</v>
      </c>
      <c r="CC43" s="1" t="s">
        <v>121</v>
      </c>
      <c r="CD43" s="1" t="s">
        <v>121</v>
      </c>
      <c r="CE43" s="1" t="s">
        <v>121</v>
      </c>
      <c r="CF43" s="1" t="s">
        <v>121</v>
      </c>
      <c r="CG43" s="1" t="s">
        <v>121</v>
      </c>
      <c r="CH43" s="1" t="s">
        <v>121</v>
      </c>
      <c r="CI43" s="1" t="s">
        <v>121</v>
      </c>
      <c r="CJ43" s="1" t="s">
        <v>121</v>
      </c>
      <c r="CK43" s="1" t="s">
        <v>121</v>
      </c>
      <c r="CL43" s="1" t="s">
        <v>121</v>
      </c>
      <c r="CM43" s="1" t="s">
        <v>121</v>
      </c>
      <c r="CN43" s="1" t="s">
        <v>121</v>
      </c>
      <c r="CO43" s="1" t="s">
        <v>121</v>
      </c>
      <c r="CP43" s="1" t="s">
        <v>121</v>
      </c>
      <c r="CQ43" s="1" t="s">
        <v>121</v>
      </c>
      <c r="CR43" s="1" t="s">
        <v>121</v>
      </c>
      <c r="CS43" s="1" t="s">
        <v>121</v>
      </c>
      <c r="CT43" s="1" t="s">
        <v>121</v>
      </c>
      <c r="CU43" s="1" t="s">
        <v>121</v>
      </c>
      <c r="CV43" s="1" t="s">
        <v>121</v>
      </c>
      <c r="CW43" s="1" t="s">
        <v>121</v>
      </c>
      <c r="CX43" s="1" t="s">
        <v>121</v>
      </c>
      <c r="CY43" s="1" t="s">
        <v>121</v>
      </c>
      <c r="CZ43" s="1" t="s">
        <v>121</v>
      </c>
      <c r="DA43" s="1" t="s">
        <v>121</v>
      </c>
      <c r="DB43" s="1" t="s">
        <v>121</v>
      </c>
      <c r="DC43" s="1" t="s">
        <v>121</v>
      </c>
      <c r="DD43" s="1" t="s">
        <v>121</v>
      </c>
      <c r="DE43" s="1" t="s">
        <v>121</v>
      </c>
      <c r="DF43" s="1" t="s">
        <v>121</v>
      </c>
      <c r="DG43" s="1" t="s">
        <v>121</v>
      </c>
      <c r="DH43" s="1" t="s">
        <v>121</v>
      </c>
      <c r="DI43" s="1" t="s">
        <v>121</v>
      </c>
      <c r="DJ43" s="1" t="s">
        <v>121</v>
      </c>
      <c r="DK43" s="1" t="s">
        <v>121</v>
      </c>
      <c r="DL43" s="1" t="s">
        <v>121</v>
      </c>
      <c r="DM43" s="1" t="s">
        <v>121</v>
      </c>
      <c r="DN43" s="1" t="s">
        <v>121</v>
      </c>
      <c r="DO43" s="1" t="s">
        <v>121</v>
      </c>
      <c r="DP43" s="1" t="s">
        <v>121</v>
      </c>
      <c r="DQ43" s="1" t="s">
        <v>121</v>
      </c>
      <c r="DR43" s="1" t="s">
        <v>121</v>
      </c>
      <c r="DS43" s="1" t="s">
        <v>121</v>
      </c>
      <c r="DT43" s="1" t="s">
        <v>121</v>
      </c>
      <c r="DU43" s="1" t="s">
        <v>121</v>
      </c>
      <c r="DV43" s="1" t="s">
        <v>121</v>
      </c>
      <c r="DW43" s="1" t="s">
        <v>121</v>
      </c>
      <c r="DX43" s="1" t="s">
        <v>121</v>
      </c>
      <c r="DY43" s="1" t="s">
        <v>121</v>
      </c>
      <c r="DZ43" s="1" t="s">
        <v>121</v>
      </c>
      <c r="EA43" s="1" t="s">
        <v>121</v>
      </c>
      <c r="EB43" s="1" t="s">
        <v>121</v>
      </c>
      <c r="EC43" s="1" t="s">
        <v>121</v>
      </c>
      <c r="ED43" s="1" t="s">
        <v>121</v>
      </c>
      <c r="EE43" s="1" t="s">
        <v>121</v>
      </c>
      <c r="EF43" s="1" t="s">
        <v>121</v>
      </c>
      <c r="EG43" s="1" t="s">
        <v>121</v>
      </c>
      <c r="EH43" s="1" t="s">
        <v>121</v>
      </c>
      <c r="EI43" s="1" t="s">
        <v>121</v>
      </c>
      <c r="EJ43" s="1" t="s">
        <v>121</v>
      </c>
      <c r="EK43" s="1" t="s">
        <v>121</v>
      </c>
      <c r="EL43" s="1" t="s">
        <v>121</v>
      </c>
      <c r="EM43" s="1" t="s">
        <v>121</v>
      </c>
      <c r="EN43" s="1" t="s">
        <v>121</v>
      </c>
      <c r="EO43" s="1" t="s">
        <v>121</v>
      </c>
      <c r="EP43" s="1" t="s">
        <v>121</v>
      </c>
      <c r="EQ43" s="1" t="s">
        <v>121</v>
      </c>
      <c r="ER43" s="1" t="s">
        <v>121</v>
      </c>
      <c r="ES43" s="1" t="s">
        <v>121</v>
      </c>
      <c r="ET43" s="1" t="s">
        <v>121</v>
      </c>
      <c r="EU43" s="1" t="s">
        <v>121</v>
      </c>
    </row>
    <row r="44" spans="1:151" ht="15.75" customHeight="1" x14ac:dyDescent="0.25">
      <c r="A44" s="72">
        <v>44</v>
      </c>
      <c r="B44" s="426" t="s">
        <v>381</v>
      </c>
      <c r="C44" s="440" t="s">
        <v>121</v>
      </c>
      <c r="D44" s="215" t="s">
        <v>121</v>
      </c>
      <c r="E44" s="442" t="s">
        <v>121</v>
      </c>
      <c r="F44" s="416">
        <v>45930</v>
      </c>
      <c r="G44" s="416">
        <v>45838</v>
      </c>
      <c r="H44" s="416">
        <v>45747</v>
      </c>
      <c r="I44" s="416">
        <v>45657</v>
      </c>
      <c r="J44" s="416">
        <v>45565</v>
      </c>
      <c r="K44" s="416">
        <v>45473</v>
      </c>
      <c r="L44" s="416">
        <v>45382</v>
      </c>
      <c r="M44" s="416">
        <v>45291</v>
      </c>
      <c r="N44" s="416">
        <v>45199</v>
      </c>
      <c r="O44" s="416">
        <v>45107</v>
      </c>
      <c r="P44" s="416">
        <v>45016</v>
      </c>
      <c r="Q44" s="416">
        <v>44926</v>
      </c>
      <c r="R44" s="416">
        <v>44834</v>
      </c>
      <c r="S44" s="416">
        <v>44742</v>
      </c>
      <c r="T44" s="416">
        <v>44651</v>
      </c>
      <c r="U44" s="416">
        <v>44561</v>
      </c>
      <c r="V44" s="416">
        <v>44469</v>
      </c>
      <c r="W44" s="416">
        <v>44377</v>
      </c>
      <c r="X44" s="416">
        <v>44286</v>
      </c>
      <c r="Y44" s="416">
        <v>44196</v>
      </c>
      <c r="Z44" s="416">
        <v>44104</v>
      </c>
      <c r="AA44" s="416">
        <v>44012</v>
      </c>
      <c r="AB44" s="416">
        <v>43921</v>
      </c>
      <c r="AC44" s="416">
        <v>43830</v>
      </c>
      <c r="AD44" s="416">
        <v>43738</v>
      </c>
      <c r="AE44" s="416">
        <v>43646</v>
      </c>
      <c r="AF44" s="416">
        <v>43555</v>
      </c>
      <c r="AG44" s="416">
        <v>43465</v>
      </c>
      <c r="AH44" s="416">
        <v>43373</v>
      </c>
      <c r="AI44" s="416">
        <v>43281</v>
      </c>
      <c r="AJ44" s="416">
        <v>43190</v>
      </c>
      <c r="AK44" s="416">
        <v>43100</v>
      </c>
      <c r="AL44" s="421">
        <v>43008</v>
      </c>
      <c r="AM44" s="416">
        <v>42916</v>
      </c>
      <c r="AN44" s="416">
        <v>42825</v>
      </c>
      <c r="AO44" s="416">
        <v>42735</v>
      </c>
      <c r="AP44" s="416">
        <v>42643</v>
      </c>
      <c r="AQ44" s="416">
        <v>42551</v>
      </c>
      <c r="AR44" s="416">
        <v>42460</v>
      </c>
      <c r="AS44" s="416">
        <v>42369</v>
      </c>
      <c r="AT44" s="416">
        <v>42277</v>
      </c>
      <c r="AU44" s="416">
        <v>42185</v>
      </c>
      <c r="AV44" s="416">
        <v>42094</v>
      </c>
      <c r="AW44" s="416">
        <v>42004</v>
      </c>
      <c r="AX44" s="416">
        <v>41912</v>
      </c>
      <c r="AY44" s="416">
        <v>41820</v>
      </c>
      <c r="AZ44" s="416">
        <v>41729</v>
      </c>
      <c r="BA44" s="416">
        <v>41639</v>
      </c>
      <c r="BB44" s="416">
        <v>41547</v>
      </c>
      <c r="BC44" s="416">
        <v>41455</v>
      </c>
      <c r="BD44" s="416">
        <v>41364</v>
      </c>
      <c r="BE44" s="416">
        <v>41274</v>
      </c>
      <c r="BF44" s="416">
        <v>41182</v>
      </c>
      <c r="BG44" s="416">
        <v>41090</v>
      </c>
      <c r="BH44" s="416">
        <v>40999</v>
      </c>
      <c r="BI44" s="416">
        <v>40908</v>
      </c>
      <c r="BJ44" s="416">
        <v>40816</v>
      </c>
      <c r="BK44" s="416">
        <v>40724</v>
      </c>
      <c r="BL44" s="416">
        <v>40633</v>
      </c>
      <c r="BM44" s="1">
        <v>40543</v>
      </c>
      <c r="BN44" s="1">
        <v>40451</v>
      </c>
      <c r="BO44" s="1">
        <v>40359</v>
      </c>
      <c r="BP44" s="1">
        <v>40268</v>
      </c>
      <c r="BQ44" s="1">
        <v>40178</v>
      </c>
      <c r="BR44" s="1" t="s">
        <v>121</v>
      </c>
      <c r="BS44" s="1" t="s">
        <v>121</v>
      </c>
      <c r="BT44" s="1" t="s">
        <v>121</v>
      </c>
      <c r="BU44" s="1" t="s">
        <v>121</v>
      </c>
      <c r="BV44" s="1" t="s">
        <v>121</v>
      </c>
      <c r="BW44" s="1" t="s">
        <v>121</v>
      </c>
      <c r="BX44" s="1" t="s">
        <v>121</v>
      </c>
      <c r="BY44" s="1" t="s">
        <v>121</v>
      </c>
      <c r="BZ44" s="1" t="s">
        <v>121</v>
      </c>
      <c r="CA44" s="1" t="s">
        <v>121</v>
      </c>
      <c r="CB44" s="1" t="s">
        <v>121</v>
      </c>
      <c r="CC44" s="1" t="s">
        <v>121</v>
      </c>
      <c r="CD44" s="1" t="s">
        <v>121</v>
      </c>
      <c r="CE44" s="1" t="s">
        <v>121</v>
      </c>
      <c r="CF44" s="1" t="s">
        <v>121</v>
      </c>
      <c r="CG44" s="1" t="s">
        <v>121</v>
      </c>
      <c r="CH44" s="1" t="s">
        <v>121</v>
      </c>
      <c r="CI44" s="1" t="s">
        <v>121</v>
      </c>
      <c r="CJ44" s="1" t="s">
        <v>121</v>
      </c>
      <c r="CK44" s="1" t="s">
        <v>121</v>
      </c>
      <c r="CL44" s="1" t="s">
        <v>121</v>
      </c>
      <c r="CM44" s="1" t="s">
        <v>121</v>
      </c>
      <c r="CN44" s="1" t="s">
        <v>121</v>
      </c>
      <c r="CO44" s="1" t="s">
        <v>121</v>
      </c>
      <c r="CP44" s="1" t="s">
        <v>121</v>
      </c>
      <c r="CQ44" s="1" t="s">
        <v>121</v>
      </c>
      <c r="CR44" s="1" t="s">
        <v>121</v>
      </c>
      <c r="CS44" s="1" t="s">
        <v>121</v>
      </c>
      <c r="CT44" s="1" t="s">
        <v>121</v>
      </c>
      <c r="CU44" s="1" t="s">
        <v>121</v>
      </c>
      <c r="CV44" s="1" t="s">
        <v>121</v>
      </c>
      <c r="CW44" s="1" t="s">
        <v>121</v>
      </c>
      <c r="CX44" s="1" t="s">
        <v>121</v>
      </c>
      <c r="CY44" s="1" t="s">
        <v>121</v>
      </c>
      <c r="CZ44" s="1" t="s">
        <v>121</v>
      </c>
      <c r="DA44" s="1" t="s">
        <v>121</v>
      </c>
      <c r="DB44" s="1" t="s">
        <v>121</v>
      </c>
      <c r="DC44" s="1" t="s">
        <v>121</v>
      </c>
      <c r="DD44" s="1" t="s">
        <v>121</v>
      </c>
      <c r="DE44" s="1" t="s">
        <v>121</v>
      </c>
      <c r="DF44" s="1" t="s">
        <v>121</v>
      </c>
      <c r="DG44" s="1" t="s">
        <v>121</v>
      </c>
      <c r="DH44" s="1" t="s">
        <v>121</v>
      </c>
      <c r="DI44" s="1" t="s">
        <v>121</v>
      </c>
      <c r="DJ44" s="1" t="s">
        <v>121</v>
      </c>
      <c r="DK44" s="1" t="s">
        <v>121</v>
      </c>
      <c r="DL44" s="1" t="s">
        <v>121</v>
      </c>
      <c r="DM44" s="1" t="s">
        <v>121</v>
      </c>
      <c r="DN44" s="1" t="s">
        <v>121</v>
      </c>
      <c r="DO44" s="1" t="s">
        <v>121</v>
      </c>
      <c r="DP44" s="1" t="s">
        <v>121</v>
      </c>
      <c r="DQ44" s="1" t="s">
        <v>121</v>
      </c>
      <c r="DR44" s="1" t="s">
        <v>121</v>
      </c>
      <c r="DS44" s="1" t="s">
        <v>121</v>
      </c>
      <c r="DT44" s="1" t="s">
        <v>121</v>
      </c>
      <c r="DU44" s="1" t="s">
        <v>121</v>
      </c>
      <c r="DV44" s="1" t="s">
        <v>121</v>
      </c>
      <c r="DW44" s="1" t="s">
        <v>121</v>
      </c>
      <c r="DX44" s="1" t="s">
        <v>121</v>
      </c>
      <c r="DY44" s="1" t="s">
        <v>121</v>
      </c>
      <c r="DZ44" s="1" t="s">
        <v>121</v>
      </c>
      <c r="EA44" s="1" t="s">
        <v>121</v>
      </c>
      <c r="EB44" s="1" t="s">
        <v>121</v>
      </c>
      <c r="EC44" s="1" t="s">
        <v>121</v>
      </c>
      <c r="ED44" s="1" t="s">
        <v>121</v>
      </c>
      <c r="EE44" s="1" t="s">
        <v>121</v>
      </c>
      <c r="EF44" s="1" t="s">
        <v>121</v>
      </c>
      <c r="EG44" s="1" t="s">
        <v>121</v>
      </c>
      <c r="EH44" s="1" t="s">
        <v>121</v>
      </c>
      <c r="EI44" s="1" t="s">
        <v>121</v>
      </c>
      <c r="EJ44" s="1" t="s">
        <v>121</v>
      </c>
      <c r="EK44" s="1" t="s">
        <v>121</v>
      </c>
      <c r="EL44" s="1" t="s">
        <v>121</v>
      </c>
      <c r="EM44" s="1" t="s">
        <v>121</v>
      </c>
      <c r="EN44" s="1" t="s">
        <v>121</v>
      </c>
      <c r="EO44" s="1" t="s">
        <v>121</v>
      </c>
      <c r="EP44" s="1" t="s">
        <v>121</v>
      </c>
      <c r="EQ44" s="1" t="s">
        <v>121</v>
      </c>
      <c r="ER44" s="1" t="s">
        <v>121</v>
      </c>
      <c r="ES44" s="1" t="s">
        <v>121</v>
      </c>
      <c r="ET44" s="1" t="s">
        <v>121</v>
      </c>
      <c r="EU44" s="1" t="s">
        <v>121</v>
      </c>
    </row>
    <row r="45" spans="1:151" ht="15" customHeight="1" x14ac:dyDescent="0.25">
      <c r="A45" s="72">
        <v>45</v>
      </c>
      <c r="B45" s="427"/>
      <c r="C45" s="456"/>
      <c r="D45" s="264"/>
      <c r="E45" s="455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8"/>
      <c r="V45" s="418"/>
      <c r="W45" s="418"/>
      <c r="X45" s="417"/>
      <c r="Y45" s="417"/>
      <c r="Z45" s="417"/>
      <c r="AA45" s="417"/>
      <c r="AB45" s="417"/>
      <c r="AC45" s="417"/>
      <c r="AD45" s="417"/>
      <c r="AE45" s="417"/>
      <c r="AF45" s="417"/>
      <c r="AG45" s="417"/>
      <c r="AH45" s="417"/>
      <c r="AI45" s="417"/>
      <c r="AJ45" s="417"/>
      <c r="AK45" s="417"/>
      <c r="AL45" s="422"/>
      <c r="AM45" s="417"/>
      <c r="AN45" s="417"/>
      <c r="AO45" s="417"/>
      <c r="AP45" s="417"/>
      <c r="AQ45" s="417"/>
      <c r="AR45" s="417"/>
      <c r="AS45" s="418"/>
      <c r="AT45" s="418"/>
      <c r="AU45" s="418"/>
      <c r="AV45" s="418"/>
      <c r="AW45" s="418"/>
      <c r="AX45" s="418"/>
      <c r="AY45" s="418"/>
      <c r="AZ45" s="418"/>
      <c r="BA45" s="418"/>
      <c r="BB45" s="418"/>
      <c r="BC45" s="418"/>
      <c r="BD45" s="418"/>
      <c r="BE45" s="418"/>
      <c r="BF45" s="418"/>
      <c r="BG45" s="418"/>
      <c r="BH45" s="418"/>
      <c r="BI45" s="418"/>
      <c r="BJ45" s="418"/>
      <c r="BK45" s="418"/>
      <c r="BL45" s="418"/>
    </row>
    <row r="46" spans="1:151" ht="9.75" customHeight="1" x14ac:dyDescent="0.25">
      <c r="A46" s="72">
        <v>46</v>
      </c>
      <c r="B46" s="8" t="s">
        <v>121</v>
      </c>
      <c r="C46" s="87" t="s">
        <v>121</v>
      </c>
      <c r="D46" s="56" t="s">
        <v>121</v>
      </c>
      <c r="E46" s="88" t="s">
        <v>121</v>
      </c>
      <c r="F46" s="56" t="s">
        <v>121</v>
      </c>
      <c r="G46" s="56" t="s">
        <v>121</v>
      </c>
      <c r="H46" s="56" t="s">
        <v>121</v>
      </c>
      <c r="I46" s="56" t="s">
        <v>121</v>
      </c>
      <c r="J46" s="56" t="s">
        <v>121</v>
      </c>
      <c r="K46" s="56" t="s">
        <v>121</v>
      </c>
      <c r="L46" s="56" t="s">
        <v>121</v>
      </c>
      <c r="M46" s="56" t="s">
        <v>121</v>
      </c>
      <c r="N46" s="56" t="s">
        <v>121</v>
      </c>
      <c r="O46" s="56" t="s">
        <v>121</v>
      </c>
      <c r="P46" s="56" t="s">
        <v>121</v>
      </c>
      <c r="Q46" s="56" t="s">
        <v>121</v>
      </c>
      <c r="R46" s="56" t="s">
        <v>121</v>
      </c>
      <c r="S46" s="56" t="s">
        <v>121</v>
      </c>
      <c r="T46" s="56" t="s">
        <v>121</v>
      </c>
      <c r="U46" s="56" t="s">
        <v>121</v>
      </c>
      <c r="V46" s="56" t="s">
        <v>121</v>
      </c>
      <c r="W46" s="56" t="s">
        <v>121</v>
      </c>
      <c r="X46" s="56" t="s">
        <v>121</v>
      </c>
      <c r="Y46" s="56" t="s">
        <v>121</v>
      </c>
      <c r="Z46" s="56" t="s">
        <v>121</v>
      </c>
      <c r="AA46" s="56" t="s">
        <v>121</v>
      </c>
      <c r="AB46" s="56" t="s">
        <v>121</v>
      </c>
      <c r="AC46" s="56" t="s">
        <v>121</v>
      </c>
      <c r="AD46" s="56" t="s">
        <v>121</v>
      </c>
      <c r="AE46" s="56" t="s">
        <v>121</v>
      </c>
      <c r="AF46" s="56" t="s">
        <v>121</v>
      </c>
      <c r="AG46" s="56" t="s">
        <v>121</v>
      </c>
      <c r="AH46" s="56" t="s">
        <v>121</v>
      </c>
      <c r="AI46" s="56" t="s">
        <v>121</v>
      </c>
      <c r="AJ46" s="56" t="s">
        <v>121</v>
      </c>
      <c r="AK46" s="56" t="s">
        <v>121</v>
      </c>
      <c r="AL46" s="168" t="s">
        <v>121</v>
      </c>
      <c r="AM46" s="56" t="s">
        <v>121</v>
      </c>
      <c r="AN46" s="56" t="s">
        <v>121</v>
      </c>
      <c r="AO46" s="56" t="s">
        <v>121</v>
      </c>
      <c r="AP46" s="56" t="s">
        <v>121</v>
      </c>
      <c r="AQ46" s="56" t="s">
        <v>121</v>
      </c>
      <c r="AR46" s="56" t="s">
        <v>121</v>
      </c>
      <c r="AS46" s="56" t="s">
        <v>121</v>
      </c>
      <c r="AT46" s="56" t="s">
        <v>121</v>
      </c>
      <c r="AU46" s="56" t="s">
        <v>121</v>
      </c>
      <c r="AV46" s="56" t="s">
        <v>121</v>
      </c>
      <c r="AW46" s="56" t="s">
        <v>121</v>
      </c>
      <c r="AX46" s="56" t="s">
        <v>121</v>
      </c>
      <c r="AY46" s="56" t="s">
        <v>121</v>
      </c>
      <c r="AZ46" s="8" t="s">
        <v>121</v>
      </c>
      <c r="BA46" s="11" t="s">
        <v>121</v>
      </c>
      <c r="BB46" s="11" t="s">
        <v>121</v>
      </c>
      <c r="BC46" s="11" t="s">
        <v>121</v>
      </c>
      <c r="BD46" s="11" t="s">
        <v>121</v>
      </c>
      <c r="BE46" s="11" t="s">
        <v>121</v>
      </c>
      <c r="BF46" s="11" t="s">
        <v>121</v>
      </c>
      <c r="BG46" s="11" t="s">
        <v>121</v>
      </c>
      <c r="BH46" s="11" t="s">
        <v>121</v>
      </c>
      <c r="BI46" s="11" t="s">
        <v>121</v>
      </c>
      <c r="BJ46" s="11" t="s">
        <v>121</v>
      </c>
      <c r="BK46" s="11" t="s">
        <v>121</v>
      </c>
      <c r="BL46" s="1" t="s">
        <v>121</v>
      </c>
      <c r="BM46" s="1" t="s">
        <v>121</v>
      </c>
      <c r="BN46" s="1" t="s">
        <v>121</v>
      </c>
      <c r="BO46" s="1" t="s">
        <v>121</v>
      </c>
      <c r="BP46" s="1" t="s">
        <v>121</v>
      </c>
      <c r="BQ46" s="1" t="s">
        <v>121</v>
      </c>
      <c r="BR46" s="1" t="s">
        <v>121</v>
      </c>
      <c r="BS46" s="1" t="s">
        <v>121</v>
      </c>
      <c r="BT46" s="1" t="s">
        <v>121</v>
      </c>
      <c r="BU46" s="1" t="s">
        <v>121</v>
      </c>
      <c r="BV46" s="1" t="s">
        <v>121</v>
      </c>
      <c r="BW46" s="1" t="s">
        <v>121</v>
      </c>
      <c r="BX46" s="1" t="s">
        <v>121</v>
      </c>
      <c r="BY46" s="1" t="s">
        <v>121</v>
      </c>
      <c r="BZ46" s="1" t="s">
        <v>121</v>
      </c>
      <c r="CA46" s="1" t="s">
        <v>121</v>
      </c>
      <c r="CB46" s="1" t="s">
        <v>121</v>
      </c>
      <c r="CC46" s="1" t="s">
        <v>121</v>
      </c>
      <c r="CD46" s="1" t="s">
        <v>121</v>
      </c>
      <c r="CE46" s="1" t="s">
        <v>121</v>
      </c>
      <c r="CF46" s="1" t="s">
        <v>121</v>
      </c>
      <c r="CG46" s="1" t="s">
        <v>121</v>
      </c>
      <c r="CH46" s="1" t="s">
        <v>121</v>
      </c>
      <c r="CI46" s="1" t="s">
        <v>121</v>
      </c>
      <c r="CJ46" s="1" t="s">
        <v>121</v>
      </c>
      <c r="CK46" s="1" t="s">
        <v>121</v>
      </c>
      <c r="CL46" s="1" t="s">
        <v>121</v>
      </c>
      <c r="CM46" s="1" t="s">
        <v>121</v>
      </c>
      <c r="CN46" s="1" t="s">
        <v>121</v>
      </c>
      <c r="CO46" s="1" t="s">
        <v>121</v>
      </c>
      <c r="CP46" s="1" t="s">
        <v>121</v>
      </c>
      <c r="CQ46" s="1" t="s">
        <v>121</v>
      </c>
      <c r="CR46" s="1" t="s">
        <v>121</v>
      </c>
      <c r="CS46" s="1" t="s">
        <v>121</v>
      </c>
      <c r="CT46" s="1" t="s">
        <v>121</v>
      </c>
      <c r="CU46" s="1" t="s">
        <v>121</v>
      </c>
      <c r="CV46" s="1" t="s">
        <v>121</v>
      </c>
      <c r="CW46" s="1" t="s">
        <v>121</v>
      </c>
      <c r="CX46" s="1" t="s">
        <v>121</v>
      </c>
      <c r="CY46" s="1" t="s">
        <v>121</v>
      </c>
      <c r="CZ46" s="1" t="s">
        <v>121</v>
      </c>
      <c r="DA46" s="1" t="s">
        <v>121</v>
      </c>
      <c r="DB46" s="1" t="s">
        <v>121</v>
      </c>
      <c r="DC46" s="1" t="s">
        <v>121</v>
      </c>
      <c r="DD46" s="1" t="s">
        <v>121</v>
      </c>
      <c r="DE46" s="1" t="s">
        <v>121</v>
      </c>
      <c r="DF46" s="1" t="s">
        <v>121</v>
      </c>
      <c r="DG46" s="1" t="s">
        <v>121</v>
      </c>
      <c r="DH46" s="1" t="s">
        <v>121</v>
      </c>
      <c r="DI46" s="1" t="s">
        <v>121</v>
      </c>
      <c r="DJ46" s="1" t="s">
        <v>121</v>
      </c>
      <c r="DK46" s="1" t="s">
        <v>121</v>
      </c>
      <c r="DL46" s="1" t="s">
        <v>121</v>
      </c>
      <c r="DM46" s="1" t="s">
        <v>121</v>
      </c>
      <c r="DN46" s="1" t="s">
        <v>121</v>
      </c>
      <c r="DO46" s="1" t="s">
        <v>121</v>
      </c>
      <c r="DP46" s="1" t="s">
        <v>121</v>
      </c>
      <c r="DQ46" s="1" t="s">
        <v>121</v>
      </c>
      <c r="DR46" s="1" t="s">
        <v>121</v>
      </c>
      <c r="DS46" s="1" t="s">
        <v>121</v>
      </c>
      <c r="DT46" s="1" t="s">
        <v>121</v>
      </c>
      <c r="DU46" s="1" t="s">
        <v>121</v>
      </c>
      <c r="DV46" s="1" t="s">
        <v>121</v>
      </c>
      <c r="DW46" s="1" t="s">
        <v>121</v>
      </c>
      <c r="DX46" s="1" t="s">
        <v>121</v>
      </c>
      <c r="DY46" s="1" t="s">
        <v>121</v>
      </c>
      <c r="DZ46" s="1" t="s">
        <v>121</v>
      </c>
      <c r="EA46" s="1" t="s">
        <v>121</v>
      </c>
      <c r="EB46" s="1" t="s">
        <v>121</v>
      </c>
      <c r="EC46" s="1" t="s">
        <v>121</v>
      </c>
      <c r="ED46" s="1" t="s">
        <v>121</v>
      </c>
      <c r="EE46" s="1" t="s">
        <v>121</v>
      </c>
      <c r="EF46" s="1" t="s">
        <v>121</v>
      </c>
      <c r="EG46" s="1" t="s">
        <v>121</v>
      </c>
      <c r="EH46" s="1" t="s">
        <v>121</v>
      </c>
      <c r="EI46" s="1" t="s">
        <v>121</v>
      </c>
      <c r="EJ46" s="1" t="s">
        <v>121</v>
      </c>
      <c r="EK46" s="1" t="s">
        <v>121</v>
      </c>
      <c r="EL46" s="1" t="s">
        <v>121</v>
      </c>
      <c r="EM46" s="1" t="s">
        <v>121</v>
      </c>
      <c r="EN46" s="1" t="s">
        <v>121</v>
      </c>
      <c r="EO46" s="1" t="s">
        <v>121</v>
      </c>
      <c r="EP46" s="1" t="s">
        <v>121</v>
      </c>
      <c r="EQ46" s="1" t="s">
        <v>121</v>
      </c>
      <c r="ER46" s="1" t="s">
        <v>121</v>
      </c>
      <c r="ES46" s="1" t="s">
        <v>121</v>
      </c>
      <c r="ET46" s="1" t="s">
        <v>121</v>
      </c>
      <c r="EU46" s="1" t="s">
        <v>121</v>
      </c>
    </row>
    <row r="47" spans="1:151" x14ac:dyDescent="0.25">
      <c r="A47" s="72">
        <v>47</v>
      </c>
      <c r="B47" s="5" t="s">
        <v>6</v>
      </c>
      <c r="C47" s="89" t="s">
        <v>121</v>
      </c>
      <c r="D47" s="122" t="s">
        <v>121</v>
      </c>
      <c r="E47" s="90" t="s">
        <v>121</v>
      </c>
      <c r="F47" s="290">
        <v>0.57752639924508198</v>
      </c>
      <c r="G47" s="290">
        <v>0.64616352769052254</v>
      </c>
      <c r="H47" s="290">
        <v>0.64058246236588945</v>
      </c>
      <c r="I47" s="290">
        <v>0.61373582485824862</v>
      </c>
      <c r="J47" s="335"/>
      <c r="K47" s="335"/>
      <c r="L47" s="335"/>
      <c r="M47" s="290">
        <v>0.61194343851854827</v>
      </c>
      <c r="N47" s="335"/>
      <c r="O47" s="335"/>
      <c r="P47" s="335"/>
      <c r="Q47" s="335"/>
      <c r="R47" s="335"/>
      <c r="S47" s="335"/>
      <c r="T47" s="335"/>
      <c r="U47" s="127">
        <v>0.59097298985918201</v>
      </c>
      <c r="V47" s="127">
        <v>0.58217182061424633</v>
      </c>
      <c r="W47" s="127">
        <v>0.55777030288488094</v>
      </c>
      <c r="X47" s="127" t="s">
        <v>121</v>
      </c>
      <c r="Y47" s="13">
        <v>0.58614557177249604</v>
      </c>
      <c r="Z47" s="13" t="s">
        <v>121</v>
      </c>
      <c r="AA47" s="13">
        <v>0.59064760176276121</v>
      </c>
      <c r="AB47" s="13" t="s">
        <v>121</v>
      </c>
      <c r="AC47" s="13">
        <v>0.60672952105464617</v>
      </c>
      <c r="AD47" s="13" t="s">
        <v>121</v>
      </c>
      <c r="AE47" s="13">
        <v>0.63159723640681009</v>
      </c>
      <c r="AF47" s="13" t="s">
        <v>121</v>
      </c>
      <c r="AG47" s="122">
        <v>0.61234965857580459</v>
      </c>
      <c r="AH47" s="13" t="s">
        <v>121</v>
      </c>
      <c r="AI47" s="122">
        <v>0.60802792428190244</v>
      </c>
      <c r="AJ47" s="13" t="s">
        <v>121</v>
      </c>
      <c r="AK47" s="13">
        <v>0.58244592715003674</v>
      </c>
      <c r="AL47" s="127" t="s">
        <v>121</v>
      </c>
      <c r="AM47" s="13">
        <v>0.62867253028839243</v>
      </c>
      <c r="AN47" s="13" t="s">
        <v>121</v>
      </c>
      <c r="AO47" s="13">
        <v>0.53556821413366174</v>
      </c>
      <c r="AP47" s="13" t="s">
        <v>121</v>
      </c>
      <c r="AQ47" s="13">
        <v>0.56602403495685571</v>
      </c>
      <c r="AR47" s="13" t="s">
        <v>121</v>
      </c>
      <c r="AS47" s="13">
        <v>0.57763107794472057</v>
      </c>
      <c r="AT47" s="127" t="s">
        <v>121</v>
      </c>
      <c r="AU47" s="13">
        <v>0.53604873108276851</v>
      </c>
      <c r="AV47" s="13" t="s">
        <v>121</v>
      </c>
      <c r="AW47" s="13">
        <v>0.50572965048617413</v>
      </c>
      <c r="AX47" s="13" t="s">
        <v>121</v>
      </c>
      <c r="AY47" s="13">
        <v>0.51905527390943818</v>
      </c>
      <c r="AZ47" s="13" t="s">
        <v>121</v>
      </c>
      <c r="BA47" s="13">
        <v>0.49502419318349988</v>
      </c>
      <c r="BB47" s="13" t="s">
        <v>121</v>
      </c>
      <c r="BC47" s="13">
        <v>0.48368299582210184</v>
      </c>
      <c r="BD47" s="13" t="s">
        <v>121</v>
      </c>
      <c r="BE47" s="13">
        <v>0.45431610321540888</v>
      </c>
      <c r="BF47" s="13" t="s">
        <v>121</v>
      </c>
      <c r="BG47" s="1">
        <v>0.44442875843494162</v>
      </c>
      <c r="BH47" s="13" t="s">
        <v>121</v>
      </c>
      <c r="BI47" s="13">
        <v>0.38549115540609119</v>
      </c>
      <c r="BJ47" s="13" t="s">
        <v>121</v>
      </c>
      <c r="BK47" s="13">
        <v>0.36945923459975683</v>
      </c>
      <c r="BL47" s="13" t="s">
        <v>121</v>
      </c>
      <c r="BM47" s="1">
        <v>0.37759500302792887</v>
      </c>
      <c r="BN47" s="1" t="s">
        <v>121</v>
      </c>
      <c r="BO47" s="1">
        <v>0.39624405613485597</v>
      </c>
      <c r="BP47" s="1" t="s">
        <v>121</v>
      </c>
      <c r="BQ47" s="1">
        <v>0.34507733392827533</v>
      </c>
      <c r="BR47" s="1" t="s">
        <v>121</v>
      </c>
      <c r="BS47" s="1" t="s">
        <v>121</v>
      </c>
      <c r="BT47" s="1" t="s">
        <v>121</v>
      </c>
      <c r="BU47" s="1" t="s">
        <v>121</v>
      </c>
      <c r="BV47" s="1" t="s">
        <v>121</v>
      </c>
      <c r="BW47" s="1" t="s">
        <v>121</v>
      </c>
      <c r="BX47" s="1" t="s">
        <v>121</v>
      </c>
      <c r="BY47" s="1" t="s">
        <v>121</v>
      </c>
      <c r="BZ47" s="1" t="s">
        <v>121</v>
      </c>
      <c r="CA47" s="1" t="s">
        <v>121</v>
      </c>
      <c r="CB47" s="1" t="s">
        <v>121</v>
      </c>
      <c r="CC47" s="1" t="s">
        <v>121</v>
      </c>
      <c r="CD47" s="1" t="s">
        <v>121</v>
      </c>
      <c r="CE47" s="1" t="s">
        <v>121</v>
      </c>
      <c r="CF47" s="1" t="s">
        <v>121</v>
      </c>
      <c r="CG47" s="1" t="s">
        <v>121</v>
      </c>
      <c r="CH47" s="1" t="s">
        <v>121</v>
      </c>
      <c r="CI47" s="1" t="s">
        <v>121</v>
      </c>
      <c r="CJ47" s="1" t="s">
        <v>121</v>
      </c>
      <c r="CK47" s="1" t="s">
        <v>121</v>
      </c>
      <c r="CL47" s="1" t="s">
        <v>121</v>
      </c>
      <c r="CM47" s="1" t="s">
        <v>121</v>
      </c>
      <c r="CN47" s="1" t="s">
        <v>121</v>
      </c>
      <c r="CO47" s="1" t="s">
        <v>121</v>
      </c>
      <c r="CP47" s="1" t="s">
        <v>121</v>
      </c>
      <c r="CQ47" s="1" t="s">
        <v>121</v>
      </c>
      <c r="CR47" s="1" t="s">
        <v>121</v>
      </c>
      <c r="CS47" s="1" t="s">
        <v>121</v>
      </c>
      <c r="CT47" s="1" t="s">
        <v>121</v>
      </c>
      <c r="CU47" s="1" t="s">
        <v>121</v>
      </c>
      <c r="CV47" s="1" t="s">
        <v>121</v>
      </c>
      <c r="CW47" s="1" t="s">
        <v>121</v>
      </c>
      <c r="CX47" s="1" t="s">
        <v>121</v>
      </c>
      <c r="CY47" s="1" t="s">
        <v>121</v>
      </c>
      <c r="CZ47" s="1" t="s">
        <v>121</v>
      </c>
      <c r="DA47" s="1" t="s">
        <v>121</v>
      </c>
      <c r="DB47" s="1" t="s">
        <v>121</v>
      </c>
      <c r="DC47" s="1" t="s">
        <v>121</v>
      </c>
      <c r="DD47" s="1" t="s">
        <v>121</v>
      </c>
      <c r="DE47" s="1" t="s">
        <v>121</v>
      </c>
      <c r="DF47" s="1" t="s">
        <v>121</v>
      </c>
      <c r="DG47" s="1" t="s">
        <v>121</v>
      </c>
      <c r="DH47" s="1" t="s">
        <v>121</v>
      </c>
      <c r="DI47" s="1" t="s">
        <v>121</v>
      </c>
      <c r="DJ47" s="1" t="s">
        <v>121</v>
      </c>
      <c r="DK47" s="1" t="s">
        <v>121</v>
      </c>
      <c r="DL47" s="1" t="s">
        <v>121</v>
      </c>
      <c r="DM47" s="1" t="s">
        <v>121</v>
      </c>
      <c r="DN47" s="1" t="s">
        <v>121</v>
      </c>
      <c r="DO47" s="1" t="s">
        <v>121</v>
      </c>
      <c r="DP47" s="1" t="s">
        <v>121</v>
      </c>
      <c r="DQ47" s="1" t="s">
        <v>121</v>
      </c>
      <c r="DR47" s="1" t="s">
        <v>121</v>
      </c>
      <c r="DS47" s="1" t="s">
        <v>121</v>
      </c>
      <c r="DT47" s="1" t="s">
        <v>121</v>
      </c>
      <c r="DU47" s="1" t="s">
        <v>121</v>
      </c>
      <c r="DV47" s="1" t="s">
        <v>121</v>
      </c>
      <c r="DW47" s="1" t="s">
        <v>121</v>
      </c>
      <c r="DX47" s="1" t="s">
        <v>121</v>
      </c>
      <c r="DY47" s="1" t="s">
        <v>121</v>
      </c>
      <c r="DZ47" s="1" t="s">
        <v>121</v>
      </c>
      <c r="EA47" s="1" t="s">
        <v>121</v>
      </c>
      <c r="EB47" s="1" t="s">
        <v>121</v>
      </c>
      <c r="EC47" s="1" t="s">
        <v>121</v>
      </c>
      <c r="ED47" s="1" t="s">
        <v>121</v>
      </c>
      <c r="EE47" s="1" t="s">
        <v>121</v>
      </c>
      <c r="EF47" s="1" t="s">
        <v>121</v>
      </c>
      <c r="EG47" s="1" t="s">
        <v>121</v>
      </c>
      <c r="EH47" s="1" t="s">
        <v>121</v>
      </c>
      <c r="EI47" s="1" t="s">
        <v>121</v>
      </c>
      <c r="EJ47" s="1" t="s">
        <v>121</v>
      </c>
      <c r="EK47" s="1" t="s">
        <v>121</v>
      </c>
      <c r="EL47" s="1" t="s">
        <v>121</v>
      </c>
      <c r="EM47" s="1" t="s">
        <v>121</v>
      </c>
      <c r="EN47" s="1" t="s">
        <v>121</v>
      </c>
      <c r="EO47" s="1" t="s">
        <v>121</v>
      </c>
      <c r="EP47" s="1" t="s">
        <v>121</v>
      </c>
      <c r="EQ47" s="1" t="s">
        <v>121</v>
      </c>
      <c r="ER47" s="1" t="s">
        <v>121</v>
      </c>
      <c r="ES47" s="1" t="s">
        <v>121</v>
      </c>
      <c r="ET47" s="1" t="s">
        <v>121</v>
      </c>
      <c r="EU47" s="1" t="s">
        <v>121</v>
      </c>
    </row>
    <row r="48" spans="1:151" s="39" customFormat="1" x14ac:dyDescent="0.25">
      <c r="A48" s="72">
        <v>48</v>
      </c>
      <c r="B48" s="40" t="s">
        <v>382</v>
      </c>
      <c r="C48" s="91" t="s">
        <v>121</v>
      </c>
      <c r="D48" s="86" t="s">
        <v>121</v>
      </c>
      <c r="E48" s="92" t="s">
        <v>121</v>
      </c>
      <c r="F48" s="290">
        <v>0.18312279272734103</v>
      </c>
      <c r="G48" s="290">
        <v>8.0810601977116855E-2</v>
      </c>
      <c r="H48" s="290">
        <v>7.4699897424523862E-2</v>
      </c>
      <c r="I48" s="290">
        <v>7.363058005580056E-2</v>
      </c>
      <c r="J48" s="335"/>
      <c r="K48" s="335"/>
      <c r="L48" s="335"/>
      <c r="M48" s="290">
        <v>3.0990939705807283E-2</v>
      </c>
      <c r="N48" s="335"/>
      <c r="O48" s="335"/>
      <c r="P48" s="335"/>
      <c r="Q48" s="335"/>
      <c r="R48" s="335"/>
      <c r="S48" s="335"/>
      <c r="T48" s="335"/>
      <c r="U48" s="127">
        <v>4.4097739542782073E-2</v>
      </c>
      <c r="V48" s="127">
        <v>4.6836084578089562E-2</v>
      </c>
      <c r="W48" s="127">
        <v>4.1250682846851731E-2</v>
      </c>
      <c r="X48" s="127" t="s">
        <v>121</v>
      </c>
      <c r="Y48" s="13">
        <v>4.6105041769455235E-2</v>
      </c>
      <c r="Z48" s="13" t="s">
        <v>121</v>
      </c>
      <c r="AA48" s="13">
        <v>3.3968011595615848E-2</v>
      </c>
      <c r="AB48" s="13" t="s">
        <v>121</v>
      </c>
      <c r="AC48" s="13">
        <v>3.758104542247874E-2</v>
      </c>
      <c r="AD48" s="13" t="s">
        <v>121</v>
      </c>
      <c r="AE48" s="13">
        <v>4.409373086669946E-2</v>
      </c>
      <c r="AF48" s="13" t="s">
        <v>121</v>
      </c>
      <c r="AG48" s="86">
        <v>4.5512773454132655E-2</v>
      </c>
      <c r="AH48" s="13" t="s">
        <v>121</v>
      </c>
      <c r="AI48" s="86">
        <v>3.1199495136894132E-2</v>
      </c>
      <c r="AJ48" s="13" t="s">
        <v>121</v>
      </c>
      <c r="AK48" s="13">
        <v>4.0493381931086522E-2</v>
      </c>
      <c r="AL48" s="127" t="s">
        <v>121</v>
      </c>
      <c r="AM48" s="13">
        <v>3.8306791625279793E-2</v>
      </c>
      <c r="AN48" s="13" t="s">
        <v>121</v>
      </c>
      <c r="AO48" s="13">
        <v>8.883986548418249E-2</v>
      </c>
      <c r="AP48" s="13" t="s">
        <v>121</v>
      </c>
      <c r="AQ48" s="13">
        <v>5.356201431931349E-2</v>
      </c>
      <c r="AR48" s="13" t="s">
        <v>121</v>
      </c>
      <c r="AS48" s="13">
        <v>4.5534968784548505E-2</v>
      </c>
      <c r="AT48" s="13" t="s">
        <v>121</v>
      </c>
      <c r="AU48" s="13">
        <v>7.4424590083490144E-2</v>
      </c>
      <c r="AV48" s="13" t="s">
        <v>121</v>
      </c>
      <c r="AW48" s="13">
        <v>5.8619143964800946E-2</v>
      </c>
      <c r="AX48" s="13" t="s">
        <v>121</v>
      </c>
      <c r="AY48" s="41">
        <v>9.1021139735907433E-2</v>
      </c>
      <c r="AZ48" s="41" t="s">
        <v>121</v>
      </c>
      <c r="BA48" s="41">
        <v>9.8651385638224204E-2</v>
      </c>
      <c r="BB48" s="41" t="s">
        <v>121</v>
      </c>
      <c r="BC48" s="41">
        <v>0.10075425353138509</v>
      </c>
      <c r="BD48" s="41" t="s">
        <v>121</v>
      </c>
      <c r="BE48" s="41">
        <v>0.10772558721619321</v>
      </c>
      <c r="BF48" s="41" t="s">
        <v>121</v>
      </c>
      <c r="BG48" s="39">
        <v>0.15019712780572536</v>
      </c>
      <c r="BH48" s="41" t="s">
        <v>121</v>
      </c>
      <c r="BI48" s="41">
        <v>0.16417111841847273</v>
      </c>
      <c r="BJ48" s="41" t="s">
        <v>121</v>
      </c>
      <c r="BK48" s="41">
        <v>0.21365959009168847</v>
      </c>
      <c r="BL48" s="41" t="s">
        <v>121</v>
      </c>
      <c r="BM48" s="39">
        <v>0.19857787130479598</v>
      </c>
      <c r="BN48" s="39" t="s">
        <v>121</v>
      </c>
      <c r="BO48" s="39">
        <v>0.16447156422660039</v>
      </c>
      <c r="BP48" s="39" t="s">
        <v>121</v>
      </c>
      <c r="BQ48" s="39">
        <v>0.18592750836176844</v>
      </c>
      <c r="BR48" s="39" t="s">
        <v>121</v>
      </c>
      <c r="BS48" s="39" t="s">
        <v>121</v>
      </c>
      <c r="BT48" s="39" t="s">
        <v>121</v>
      </c>
      <c r="BU48" s="39" t="s">
        <v>121</v>
      </c>
      <c r="BV48" s="39" t="s">
        <v>121</v>
      </c>
      <c r="BW48" s="39" t="s">
        <v>121</v>
      </c>
      <c r="BX48" s="39" t="s">
        <v>121</v>
      </c>
      <c r="BY48" s="39" t="s">
        <v>121</v>
      </c>
      <c r="BZ48" s="39" t="s">
        <v>121</v>
      </c>
      <c r="CA48" s="39" t="s">
        <v>121</v>
      </c>
      <c r="CB48" s="39" t="s">
        <v>121</v>
      </c>
      <c r="CC48" s="39" t="s">
        <v>121</v>
      </c>
      <c r="CD48" s="39" t="s">
        <v>121</v>
      </c>
      <c r="CE48" s="39" t="s">
        <v>121</v>
      </c>
      <c r="CF48" s="39" t="s">
        <v>121</v>
      </c>
      <c r="CG48" s="39" t="s">
        <v>121</v>
      </c>
      <c r="CH48" s="39" t="s">
        <v>121</v>
      </c>
      <c r="CI48" s="39" t="s">
        <v>121</v>
      </c>
      <c r="CJ48" s="39" t="s">
        <v>121</v>
      </c>
      <c r="CK48" s="39" t="s">
        <v>121</v>
      </c>
      <c r="CL48" s="39" t="s">
        <v>121</v>
      </c>
      <c r="CM48" s="39" t="s">
        <v>121</v>
      </c>
      <c r="CN48" s="39" t="s">
        <v>121</v>
      </c>
      <c r="CO48" s="39" t="s">
        <v>121</v>
      </c>
      <c r="CP48" s="39" t="s">
        <v>121</v>
      </c>
      <c r="CQ48" s="39" t="s">
        <v>121</v>
      </c>
      <c r="CR48" s="39" t="s">
        <v>121</v>
      </c>
      <c r="CS48" s="39" t="s">
        <v>121</v>
      </c>
      <c r="CT48" s="39" t="s">
        <v>121</v>
      </c>
      <c r="CU48" s="39" t="s">
        <v>121</v>
      </c>
      <c r="CV48" s="39" t="s">
        <v>121</v>
      </c>
      <c r="CW48" s="39" t="s">
        <v>121</v>
      </c>
      <c r="CX48" s="39" t="s">
        <v>121</v>
      </c>
      <c r="CY48" s="39" t="s">
        <v>121</v>
      </c>
      <c r="CZ48" s="39" t="s">
        <v>121</v>
      </c>
      <c r="DA48" s="39" t="s">
        <v>121</v>
      </c>
      <c r="DB48" s="39" t="s">
        <v>121</v>
      </c>
      <c r="DC48" s="39" t="s">
        <v>121</v>
      </c>
      <c r="DD48" s="39" t="s">
        <v>121</v>
      </c>
      <c r="DE48" s="39" t="s">
        <v>121</v>
      </c>
      <c r="DF48" s="39" t="s">
        <v>121</v>
      </c>
      <c r="DG48" s="39" t="s">
        <v>121</v>
      </c>
      <c r="DH48" s="39" t="s">
        <v>121</v>
      </c>
      <c r="DI48" s="39" t="s">
        <v>121</v>
      </c>
      <c r="DJ48" s="39" t="s">
        <v>121</v>
      </c>
      <c r="DK48" s="39" t="s">
        <v>121</v>
      </c>
      <c r="DL48" s="39" t="s">
        <v>121</v>
      </c>
      <c r="DM48" s="39" t="s">
        <v>121</v>
      </c>
      <c r="DN48" s="39" t="s">
        <v>121</v>
      </c>
      <c r="DO48" s="39" t="s">
        <v>121</v>
      </c>
      <c r="DP48" s="39" t="s">
        <v>121</v>
      </c>
      <c r="DQ48" s="39" t="s">
        <v>121</v>
      </c>
      <c r="DR48" s="39" t="s">
        <v>121</v>
      </c>
      <c r="DS48" s="39" t="s">
        <v>121</v>
      </c>
      <c r="DT48" s="39" t="s">
        <v>121</v>
      </c>
      <c r="DU48" s="39" t="s">
        <v>121</v>
      </c>
      <c r="DV48" s="39" t="s">
        <v>121</v>
      </c>
      <c r="DW48" s="39" t="s">
        <v>121</v>
      </c>
      <c r="DX48" s="39" t="s">
        <v>121</v>
      </c>
      <c r="DY48" s="39" t="s">
        <v>121</v>
      </c>
      <c r="DZ48" s="39" t="s">
        <v>121</v>
      </c>
      <c r="EA48" s="39" t="s">
        <v>121</v>
      </c>
      <c r="EB48" s="39" t="s">
        <v>121</v>
      </c>
      <c r="EC48" s="39" t="s">
        <v>121</v>
      </c>
      <c r="ED48" s="39" t="s">
        <v>121</v>
      </c>
      <c r="EE48" s="39" t="s">
        <v>121</v>
      </c>
      <c r="EF48" s="39" t="s">
        <v>121</v>
      </c>
      <c r="EG48" s="39" t="s">
        <v>121</v>
      </c>
      <c r="EH48" s="39" t="s">
        <v>121</v>
      </c>
      <c r="EI48" s="39" t="s">
        <v>121</v>
      </c>
      <c r="EJ48" s="39" t="s">
        <v>121</v>
      </c>
      <c r="EK48" s="39" t="s">
        <v>121</v>
      </c>
      <c r="EL48" s="39" t="s">
        <v>121</v>
      </c>
      <c r="EM48" s="39" t="s">
        <v>121</v>
      </c>
      <c r="EN48" s="39" t="s">
        <v>121</v>
      </c>
      <c r="EO48" s="39" t="s">
        <v>121</v>
      </c>
      <c r="EP48" s="39" t="s">
        <v>121</v>
      </c>
      <c r="EQ48" s="39" t="s">
        <v>121</v>
      </c>
      <c r="ER48" s="39" t="s">
        <v>121</v>
      </c>
      <c r="ES48" s="39" t="s">
        <v>121</v>
      </c>
      <c r="ET48" s="39" t="s">
        <v>121</v>
      </c>
      <c r="EU48" s="39" t="s">
        <v>121</v>
      </c>
    </row>
    <row r="49" spans="1:151" s="39" customFormat="1" ht="15" customHeight="1" x14ac:dyDescent="0.25">
      <c r="A49" s="72">
        <v>49</v>
      </c>
      <c r="B49" s="40" t="s">
        <v>17</v>
      </c>
      <c r="C49" s="91" t="s">
        <v>121</v>
      </c>
      <c r="D49" s="86" t="s">
        <v>121</v>
      </c>
      <c r="E49" s="92" t="s">
        <v>121</v>
      </c>
      <c r="F49" s="290">
        <v>7.6107993657373779E-2</v>
      </c>
      <c r="G49" s="290">
        <v>9.4594128127580598E-2</v>
      </c>
      <c r="H49" s="290">
        <v>9.0421668376257938E-2</v>
      </c>
      <c r="I49" s="290">
        <v>9.4654227792277917E-2</v>
      </c>
      <c r="J49" s="335"/>
      <c r="K49" s="335"/>
      <c r="L49" s="335"/>
      <c r="M49" s="290">
        <v>0.10848221122535955</v>
      </c>
      <c r="N49" s="335"/>
      <c r="O49" s="335"/>
      <c r="P49" s="335"/>
      <c r="Q49" s="335"/>
      <c r="R49" s="335"/>
      <c r="S49" s="335"/>
      <c r="T49" s="335"/>
      <c r="U49" s="127">
        <v>7.6114208359366234E-2</v>
      </c>
      <c r="V49" s="127">
        <v>7.9563541018661296E-2</v>
      </c>
      <c r="W49" s="127">
        <v>7.5548807289781111E-2</v>
      </c>
      <c r="X49" s="127" t="s">
        <v>121</v>
      </c>
      <c r="Y49" s="13">
        <v>7.8705143521816207E-2</v>
      </c>
      <c r="Z49" s="13" t="s">
        <v>121</v>
      </c>
      <c r="AA49" s="13">
        <v>8.256533579404042E-2</v>
      </c>
      <c r="AB49" s="13" t="s">
        <v>121</v>
      </c>
      <c r="AC49" s="13">
        <v>6.1393606409820486E-2</v>
      </c>
      <c r="AD49" s="13" t="s">
        <v>121</v>
      </c>
      <c r="AE49" s="13">
        <v>5.840382588770409E-2</v>
      </c>
      <c r="AF49" s="13" t="s">
        <v>121</v>
      </c>
      <c r="AG49" s="86">
        <v>6.0982266442894215E-2</v>
      </c>
      <c r="AH49" s="13" t="s">
        <v>121</v>
      </c>
      <c r="AI49" s="86">
        <v>7.3012801892343424E-2</v>
      </c>
      <c r="AJ49" s="13" t="s">
        <v>121</v>
      </c>
      <c r="AK49" s="13">
        <v>8.4649480615677342E-2</v>
      </c>
      <c r="AL49" s="127" t="s">
        <v>121</v>
      </c>
      <c r="AM49" s="13">
        <v>7.5241133034207319E-2</v>
      </c>
      <c r="AN49" s="13" t="s">
        <v>121</v>
      </c>
      <c r="AO49" s="13">
        <v>5.9128368186270992E-2</v>
      </c>
      <c r="AP49" s="13" t="s">
        <v>121</v>
      </c>
      <c r="AQ49" s="13">
        <v>7.359138109459025E-2</v>
      </c>
      <c r="AR49" s="13" t="s">
        <v>121</v>
      </c>
      <c r="AS49" s="13">
        <v>7.4728358077847515E-2</v>
      </c>
      <c r="AT49" s="13" t="s">
        <v>121</v>
      </c>
      <c r="AU49" s="13">
        <v>8.2894770624358849E-2</v>
      </c>
      <c r="AV49" s="13" t="s">
        <v>121</v>
      </c>
      <c r="AW49" s="13">
        <v>7.9507295036541387E-2</v>
      </c>
      <c r="AX49" s="13" t="s">
        <v>121</v>
      </c>
      <c r="AY49" s="41">
        <v>8.1742435768300203E-2</v>
      </c>
      <c r="AZ49" s="41" t="s">
        <v>121</v>
      </c>
      <c r="BA49" s="41">
        <v>7.2301619188110372E-2</v>
      </c>
      <c r="BB49" s="41" t="s">
        <v>121</v>
      </c>
      <c r="BC49" s="41">
        <v>6.9712202292495376E-2</v>
      </c>
      <c r="BD49" s="41" t="s">
        <v>121</v>
      </c>
      <c r="BE49" s="41">
        <v>5.759379309393288E-2</v>
      </c>
      <c r="BF49" s="41" t="s">
        <v>121</v>
      </c>
      <c r="BG49" s="39">
        <v>5.6121897151311946E-2</v>
      </c>
      <c r="BH49" s="41" t="s">
        <v>121</v>
      </c>
      <c r="BI49" s="41">
        <v>5.8772373832552377E-2</v>
      </c>
      <c r="BJ49" s="41" t="s">
        <v>121</v>
      </c>
      <c r="BK49" s="41">
        <v>6.396453586090621E-2</v>
      </c>
      <c r="BL49" s="41" t="s">
        <v>121</v>
      </c>
      <c r="BM49" s="39">
        <v>7.6534700310951068E-2</v>
      </c>
      <c r="BN49" s="39" t="s">
        <v>121</v>
      </c>
      <c r="BO49" s="39">
        <v>7.6440660280086947E-2</v>
      </c>
      <c r="BP49" s="39" t="s">
        <v>121</v>
      </c>
      <c r="BQ49" s="39">
        <v>8.9308458641955496E-2</v>
      </c>
      <c r="BR49" s="39" t="s">
        <v>121</v>
      </c>
      <c r="BS49" s="39" t="s">
        <v>121</v>
      </c>
      <c r="BT49" s="39" t="s">
        <v>121</v>
      </c>
      <c r="BU49" s="39" t="s">
        <v>121</v>
      </c>
      <c r="BV49" s="39" t="s">
        <v>121</v>
      </c>
      <c r="BW49" s="39" t="s">
        <v>121</v>
      </c>
      <c r="BX49" s="39" t="s">
        <v>121</v>
      </c>
      <c r="BY49" s="39" t="s">
        <v>121</v>
      </c>
      <c r="BZ49" s="39" t="s">
        <v>121</v>
      </c>
      <c r="CA49" s="39" t="s">
        <v>121</v>
      </c>
      <c r="CB49" s="39" t="s">
        <v>121</v>
      </c>
      <c r="CC49" s="39" t="s">
        <v>121</v>
      </c>
      <c r="CD49" s="39" t="s">
        <v>121</v>
      </c>
      <c r="CE49" s="39" t="s">
        <v>121</v>
      </c>
      <c r="CF49" s="39" t="s">
        <v>121</v>
      </c>
      <c r="CG49" s="39" t="s">
        <v>121</v>
      </c>
      <c r="CH49" s="39" t="s">
        <v>121</v>
      </c>
      <c r="CI49" s="39" t="s">
        <v>121</v>
      </c>
      <c r="CJ49" s="39" t="s">
        <v>121</v>
      </c>
      <c r="CK49" s="39" t="s">
        <v>121</v>
      </c>
      <c r="CL49" s="39" t="s">
        <v>121</v>
      </c>
      <c r="CM49" s="39" t="s">
        <v>121</v>
      </c>
      <c r="CN49" s="39" t="s">
        <v>121</v>
      </c>
      <c r="CO49" s="39" t="s">
        <v>121</v>
      </c>
      <c r="CP49" s="39" t="s">
        <v>121</v>
      </c>
      <c r="CQ49" s="39" t="s">
        <v>121</v>
      </c>
      <c r="CR49" s="39" t="s">
        <v>121</v>
      </c>
      <c r="CS49" s="39" t="s">
        <v>121</v>
      </c>
      <c r="CT49" s="39" t="s">
        <v>121</v>
      </c>
      <c r="CU49" s="39" t="s">
        <v>121</v>
      </c>
      <c r="CV49" s="39" t="s">
        <v>121</v>
      </c>
      <c r="CW49" s="39" t="s">
        <v>121</v>
      </c>
      <c r="CX49" s="39" t="s">
        <v>121</v>
      </c>
      <c r="CY49" s="39" t="s">
        <v>121</v>
      </c>
      <c r="CZ49" s="39" t="s">
        <v>121</v>
      </c>
      <c r="DA49" s="39" t="s">
        <v>121</v>
      </c>
      <c r="DB49" s="39" t="s">
        <v>121</v>
      </c>
      <c r="DC49" s="39" t="s">
        <v>121</v>
      </c>
      <c r="DD49" s="39" t="s">
        <v>121</v>
      </c>
      <c r="DE49" s="39" t="s">
        <v>121</v>
      </c>
      <c r="DF49" s="39" t="s">
        <v>121</v>
      </c>
      <c r="DG49" s="39" t="s">
        <v>121</v>
      </c>
      <c r="DH49" s="39" t="s">
        <v>121</v>
      </c>
      <c r="DI49" s="39" t="s">
        <v>121</v>
      </c>
      <c r="DJ49" s="39" t="s">
        <v>121</v>
      </c>
      <c r="DK49" s="39" t="s">
        <v>121</v>
      </c>
      <c r="DL49" s="39" t="s">
        <v>121</v>
      </c>
      <c r="DM49" s="39" t="s">
        <v>121</v>
      </c>
      <c r="DN49" s="39" t="s">
        <v>121</v>
      </c>
      <c r="DO49" s="39" t="s">
        <v>121</v>
      </c>
      <c r="DP49" s="39" t="s">
        <v>121</v>
      </c>
      <c r="DQ49" s="39" t="s">
        <v>121</v>
      </c>
      <c r="DR49" s="39" t="s">
        <v>121</v>
      </c>
      <c r="DS49" s="39" t="s">
        <v>121</v>
      </c>
      <c r="DT49" s="39" t="s">
        <v>121</v>
      </c>
      <c r="DU49" s="39" t="s">
        <v>121</v>
      </c>
      <c r="DV49" s="39" t="s">
        <v>121</v>
      </c>
      <c r="DW49" s="39" t="s">
        <v>121</v>
      </c>
      <c r="DX49" s="39" t="s">
        <v>121</v>
      </c>
      <c r="DY49" s="39" t="s">
        <v>121</v>
      </c>
      <c r="DZ49" s="39" t="s">
        <v>121</v>
      </c>
      <c r="EA49" s="39" t="s">
        <v>121</v>
      </c>
      <c r="EB49" s="39" t="s">
        <v>121</v>
      </c>
      <c r="EC49" s="39" t="s">
        <v>121</v>
      </c>
      <c r="ED49" s="39" t="s">
        <v>121</v>
      </c>
      <c r="EE49" s="39" t="s">
        <v>121</v>
      </c>
      <c r="EF49" s="39" t="s">
        <v>121</v>
      </c>
      <c r="EG49" s="39" t="s">
        <v>121</v>
      </c>
      <c r="EH49" s="39" t="s">
        <v>121</v>
      </c>
      <c r="EI49" s="39" t="s">
        <v>121</v>
      </c>
      <c r="EJ49" s="39" t="s">
        <v>121</v>
      </c>
      <c r="EK49" s="39" t="s">
        <v>121</v>
      </c>
      <c r="EL49" s="39" t="s">
        <v>121</v>
      </c>
      <c r="EM49" s="39" t="s">
        <v>121</v>
      </c>
      <c r="EN49" s="39" t="s">
        <v>121</v>
      </c>
      <c r="EO49" s="39" t="s">
        <v>121</v>
      </c>
      <c r="EP49" s="39" t="s">
        <v>121</v>
      </c>
      <c r="EQ49" s="39" t="s">
        <v>121</v>
      </c>
      <c r="ER49" s="39" t="s">
        <v>121</v>
      </c>
      <c r="ES49" s="39" t="s">
        <v>121</v>
      </c>
      <c r="ET49" s="39" t="s">
        <v>121</v>
      </c>
      <c r="EU49" s="39" t="s">
        <v>121</v>
      </c>
    </row>
    <row r="50" spans="1:151" s="39" customFormat="1" ht="15" customHeight="1" x14ac:dyDescent="0.25">
      <c r="A50" s="72">
        <v>50</v>
      </c>
      <c r="B50" s="40" t="s">
        <v>325</v>
      </c>
      <c r="C50" s="91" t="s">
        <v>121</v>
      </c>
      <c r="D50" s="86" t="s">
        <v>121</v>
      </c>
      <c r="E50" s="92" t="s">
        <v>121</v>
      </c>
      <c r="F50" s="290">
        <v>3.5505326796656855E-2</v>
      </c>
      <c r="G50" s="290">
        <v>4.5610965218568861E-2</v>
      </c>
      <c r="H50" s="290">
        <v>4.5582323750381196E-2</v>
      </c>
      <c r="I50" s="290">
        <v>4.2235734857348571E-2</v>
      </c>
      <c r="J50" s="335"/>
      <c r="K50" s="335"/>
      <c r="L50" s="335"/>
      <c r="M50" s="290">
        <v>5.4898545433732383E-2</v>
      </c>
      <c r="N50" s="335"/>
      <c r="O50" s="335"/>
      <c r="P50" s="335"/>
      <c r="Q50" s="335"/>
      <c r="R50" s="335"/>
      <c r="S50" s="335"/>
      <c r="T50" s="335"/>
      <c r="U50" s="127">
        <v>4.5064962112109704E-2</v>
      </c>
      <c r="V50" s="127">
        <v>4.7814843111470523E-2</v>
      </c>
      <c r="W50" s="127">
        <v>4.7407929011829511E-2</v>
      </c>
      <c r="X50" s="127" t="s">
        <v>121</v>
      </c>
      <c r="Y50" s="13">
        <v>4.8588704920533597E-2</v>
      </c>
      <c r="Z50" s="13" t="s">
        <v>121</v>
      </c>
      <c r="AA50" s="13">
        <v>5.8162329832688334E-2</v>
      </c>
      <c r="AB50" s="13" t="s">
        <v>121</v>
      </c>
      <c r="AC50" s="13">
        <v>4.3694062758390322E-2</v>
      </c>
      <c r="AD50" s="13" t="s">
        <v>121</v>
      </c>
      <c r="AE50" s="13">
        <v>4.8843241375246094E-2</v>
      </c>
      <c r="AF50" s="13" t="s">
        <v>121</v>
      </c>
      <c r="AG50" s="86">
        <v>4.8890924200960056E-2</v>
      </c>
      <c r="AH50" s="13" t="s">
        <v>121</v>
      </c>
      <c r="AI50" s="86">
        <v>5.0310856762777814E-2</v>
      </c>
      <c r="AJ50" s="13" t="s">
        <v>121</v>
      </c>
      <c r="AK50" s="13">
        <v>5.3425498603362882E-2</v>
      </c>
      <c r="AL50" s="127" t="s">
        <v>121</v>
      </c>
      <c r="AM50" s="13">
        <v>4.9258432566921306E-2</v>
      </c>
      <c r="AN50" s="13" t="s">
        <v>121</v>
      </c>
      <c r="AO50" s="13">
        <v>5.8751654560626386E-2</v>
      </c>
      <c r="AP50" s="13" t="s">
        <v>121</v>
      </c>
      <c r="AQ50" s="13">
        <v>3.5264853573888345E-2</v>
      </c>
      <c r="AR50" s="13" t="s">
        <v>121</v>
      </c>
      <c r="AS50" s="13">
        <v>5.3463919213462462E-2</v>
      </c>
      <c r="AT50" s="13" t="s">
        <v>121</v>
      </c>
      <c r="AU50" s="13">
        <v>6.7219070245493631E-2</v>
      </c>
      <c r="AV50" s="13" t="s">
        <v>121</v>
      </c>
      <c r="AW50" s="13">
        <v>6.4696498996240387E-2</v>
      </c>
      <c r="AX50" s="13" t="s">
        <v>121</v>
      </c>
      <c r="AY50" s="41">
        <v>3.9719961607558918E-2</v>
      </c>
      <c r="AZ50" s="41" t="s">
        <v>121</v>
      </c>
      <c r="BA50" s="41">
        <v>4.380494476196168E-2</v>
      </c>
      <c r="BB50" s="41" t="s">
        <v>121</v>
      </c>
      <c r="BC50" s="41">
        <v>5.2881255871052177E-2</v>
      </c>
      <c r="BD50" s="41" t="s">
        <v>121</v>
      </c>
      <c r="BE50" s="41">
        <v>5.5808461716498947E-2</v>
      </c>
      <c r="BF50" s="41" t="s">
        <v>121</v>
      </c>
      <c r="BG50" s="39">
        <v>6.6934830568422865E-2</v>
      </c>
      <c r="BH50" s="41" t="s">
        <v>121</v>
      </c>
      <c r="BI50" s="41">
        <v>8.4120877329794952E-2</v>
      </c>
      <c r="BJ50" s="41" t="s">
        <v>121</v>
      </c>
      <c r="BK50" s="41">
        <v>7.0349835261720714E-2</v>
      </c>
      <c r="BL50" s="41" t="s">
        <v>121</v>
      </c>
      <c r="BM50" s="39">
        <v>7.8535313675350521E-2</v>
      </c>
      <c r="BN50" s="39" t="s">
        <v>121</v>
      </c>
      <c r="BO50" s="39">
        <v>6.3185051181419358E-2</v>
      </c>
      <c r="BP50" s="39" t="s">
        <v>121</v>
      </c>
      <c r="BQ50" s="39">
        <v>9.1790516117355669E-2</v>
      </c>
      <c r="BR50" s="39" t="s">
        <v>121</v>
      </c>
      <c r="BS50" s="39" t="s">
        <v>121</v>
      </c>
      <c r="BT50" s="39" t="s">
        <v>121</v>
      </c>
      <c r="BU50" s="39" t="s">
        <v>121</v>
      </c>
      <c r="BV50" s="39" t="s">
        <v>121</v>
      </c>
      <c r="BW50" s="39" t="s">
        <v>121</v>
      </c>
      <c r="BX50" s="39" t="s">
        <v>121</v>
      </c>
      <c r="BY50" s="39" t="s">
        <v>121</v>
      </c>
      <c r="BZ50" s="39" t="s">
        <v>121</v>
      </c>
      <c r="CA50" s="39" t="s">
        <v>121</v>
      </c>
      <c r="CB50" s="39" t="s">
        <v>121</v>
      </c>
      <c r="CC50" s="39" t="s">
        <v>121</v>
      </c>
      <c r="CD50" s="39" t="s">
        <v>121</v>
      </c>
      <c r="CE50" s="39" t="s">
        <v>121</v>
      </c>
      <c r="CF50" s="39" t="s">
        <v>121</v>
      </c>
      <c r="CG50" s="39" t="s">
        <v>121</v>
      </c>
      <c r="CH50" s="39" t="s">
        <v>121</v>
      </c>
      <c r="CI50" s="39" t="s">
        <v>121</v>
      </c>
      <c r="CJ50" s="39" t="s">
        <v>121</v>
      </c>
      <c r="CK50" s="39" t="s">
        <v>121</v>
      </c>
      <c r="CL50" s="39" t="s">
        <v>121</v>
      </c>
      <c r="CM50" s="39" t="s">
        <v>121</v>
      </c>
      <c r="CN50" s="39" t="s">
        <v>121</v>
      </c>
      <c r="CO50" s="39" t="s">
        <v>121</v>
      </c>
      <c r="CP50" s="39" t="s">
        <v>121</v>
      </c>
      <c r="CQ50" s="39" t="s">
        <v>121</v>
      </c>
      <c r="CR50" s="39" t="s">
        <v>121</v>
      </c>
      <c r="CS50" s="39" t="s">
        <v>121</v>
      </c>
      <c r="CT50" s="39" t="s">
        <v>121</v>
      </c>
      <c r="CU50" s="39" t="s">
        <v>121</v>
      </c>
      <c r="CV50" s="39" t="s">
        <v>121</v>
      </c>
      <c r="CW50" s="39" t="s">
        <v>121</v>
      </c>
      <c r="CX50" s="39" t="s">
        <v>121</v>
      </c>
      <c r="CY50" s="39" t="s">
        <v>121</v>
      </c>
      <c r="CZ50" s="39" t="s">
        <v>121</v>
      </c>
      <c r="DA50" s="39" t="s">
        <v>121</v>
      </c>
      <c r="DB50" s="39" t="s">
        <v>121</v>
      </c>
      <c r="DC50" s="39" t="s">
        <v>121</v>
      </c>
      <c r="DD50" s="39" t="s">
        <v>121</v>
      </c>
      <c r="DE50" s="39" t="s">
        <v>121</v>
      </c>
      <c r="DF50" s="39" t="s">
        <v>121</v>
      </c>
      <c r="DG50" s="39" t="s">
        <v>121</v>
      </c>
      <c r="DH50" s="39" t="s">
        <v>121</v>
      </c>
      <c r="DI50" s="39" t="s">
        <v>121</v>
      </c>
      <c r="DJ50" s="39" t="s">
        <v>121</v>
      </c>
      <c r="DK50" s="39" t="s">
        <v>121</v>
      </c>
      <c r="DL50" s="39" t="s">
        <v>121</v>
      </c>
      <c r="DM50" s="39" t="s">
        <v>121</v>
      </c>
      <c r="DN50" s="39" t="s">
        <v>121</v>
      </c>
      <c r="DO50" s="39" t="s">
        <v>121</v>
      </c>
      <c r="DP50" s="39" t="s">
        <v>121</v>
      </c>
      <c r="DQ50" s="39" t="s">
        <v>121</v>
      </c>
      <c r="DR50" s="39" t="s">
        <v>121</v>
      </c>
      <c r="DS50" s="39" t="s">
        <v>121</v>
      </c>
      <c r="DT50" s="39" t="s">
        <v>121</v>
      </c>
      <c r="DU50" s="39" t="s">
        <v>121</v>
      </c>
      <c r="DV50" s="39" t="s">
        <v>121</v>
      </c>
      <c r="DW50" s="39" t="s">
        <v>121</v>
      </c>
      <c r="DX50" s="39" t="s">
        <v>121</v>
      </c>
      <c r="DY50" s="39" t="s">
        <v>121</v>
      </c>
      <c r="DZ50" s="39" t="s">
        <v>121</v>
      </c>
      <c r="EA50" s="39" t="s">
        <v>121</v>
      </c>
      <c r="EB50" s="39" t="s">
        <v>121</v>
      </c>
      <c r="EC50" s="39" t="s">
        <v>121</v>
      </c>
      <c r="ED50" s="39" t="s">
        <v>121</v>
      </c>
      <c r="EE50" s="39" t="s">
        <v>121</v>
      </c>
      <c r="EF50" s="39" t="s">
        <v>121</v>
      </c>
      <c r="EG50" s="39" t="s">
        <v>121</v>
      </c>
      <c r="EH50" s="39" t="s">
        <v>121</v>
      </c>
      <c r="EI50" s="39" t="s">
        <v>121</v>
      </c>
      <c r="EJ50" s="39" t="s">
        <v>121</v>
      </c>
      <c r="EK50" s="39" t="s">
        <v>121</v>
      </c>
      <c r="EL50" s="39" t="s">
        <v>121</v>
      </c>
      <c r="EM50" s="39" t="s">
        <v>121</v>
      </c>
      <c r="EN50" s="39" t="s">
        <v>121</v>
      </c>
      <c r="EO50" s="39" t="s">
        <v>121</v>
      </c>
      <c r="EP50" s="39" t="s">
        <v>121</v>
      </c>
      <c r="EQ50" s="39" t="s">
        <v>121</v>
      </c>
      <c r="ER50" s="39" t="s">
        <v>121</v>
      </c>
      <c r="ES50" s="39" t="s">
        <v>121</v>
      </c>
      <c r="ET50" s="39" t="s">
        <v>121</v>
      </c>
      <c r="EU50" s="39" t="s">
        <v>121</v>
      </c>
    </row>
    <row r="51" spans="1:151" x14ac:dyDescent="0.25">
      <c r="A51" s="72">
        <v>52</v>
      </c>
      <c r="B51" s="40" t="s">
        <v>20</v>
      </c>
      <c r="C51" s="91" t="s">
        <v>121</v>
      </c>
      <c r="D51" s="86" t="s">
        <v>121</v>
      </c>
      <c r="E51" s="92" t="s">
        <v>121</v>
      </c>
      <c r="F51" s="290">
        <v>3.4108634492666191E-2</v>
      </c>
      <c r="G51" s="290">
        <v>3.6572413298673161E-2</v>
      </c>
      <c r="H51" s="290">
        <v>3.9929583321782043E-2</v>
      </c>
      <c r="I51" s="290">
        <v>3.8029599045990459E-2</v>
      </c>
      <c r="J51" s="335"/>
      <c r="K51" s="335"/>
      <c r="L51" s="335"/>
      <c r="M51" s="290">
        <v>4.2077695464593383E-2</v>
      </c>
      <c r="N51" s="335"/>
      <c r="O51" s="335"/>
      <c r="P51" s="335"/>
      <c r="Q51" s="335"/>
      <c r="R51" s="335"/>
      <c r="S51" s="335"/>
      <c r="T51" s="335"/>
      <c r="U51" s="127">
        <v>6.2697249323144452E-2</v>
      </c>
      <c r="V51" s="127">
        <v>6.2716868392284728E-2</v>
      </c>
      <c r="W51" s="127">
        <v>7.2982820313511762E-2</v>
      </c>
      <c r="X51" s="127" t="s">
        <v>121</v>
      </c>
      <c r="Y51" s="13">
        <v>5.3258856586558469E-2</v>
      </c>
      <c r="Z51" s="13" t="s">
        <v>121</v>
      </c>
      <c r="AA51" s="13">
        <v>5.7053008104295526E-2</v>
      </c>
      <c r="AB51" s="13" t="s">
        <v>121</v>
      </c>
      <c r="AC51" s="13">
        <v>5.3592397944757231E-2</v>
      </c>
      <c r="AD51" s="13" t="s">
        <v>121</v>
      </c>
      <c r="AE51" s="13">
        <v>4.8401509945803903E-2</v>
      </c>
      <c r="AF51" s="13" t="s">
        <v>121</v>
      </c>
      <c r="AG51" s="86">
        <v>4.5504626721156828E-2</v>
      </c>
      <c r="AH51" s="13" t="s">
        <v>121</v>
      </c>
      <c r="AI51" s="86">
        <v>4.8218752899888438E-2</v>
      </c>
      <c r="AJ51" s="13" t="s">
        <v>121</v>
      </c>
      <c r="AK51" s="13">
        <v>5.3512545131464584E-2</v>
      </c>
      <c r="AL51" s="127" t="s">
        <v>121</v>
      </c>
      <c r="AM51" s="13">
        <v>4.7300302261869633E-2</v>
      </c>
      <c r="AN51" s="13" t="s">
        <v>121</v>
      </c>
      <c r="AO51" s="13">
        <v>4.3148851092738409E-2</v>
      </c>
      <c r="AP51" s="13" t="s">
        <v>121</v>
      </c>
      <c r="AQ51" s="13">
        <v>7.9225263647728209E-2</v>
      </c>
      <c r="AR51" s="13" t="s">
        <v>121</v>
      </c>
      <c r="AS51" s="13">
        <v>3.1138500531122621E-2</v>
      </c>
      <c r="AT51" s="13" t="s">
        <v>121</v>
      </c>
      <c r="AU51" s="13">
        <v>3.0809693329201471E-2</v>
      </c>
      <c r="AV51" s="13" t="s">
        <v>121</v>
      </c>
      <c r="AW51" s="13">
        <v>3.672371120090738E-2</v>
      </c>
      <c r="AX51" s="13" t="s">
        <v>121</v>
      </c>
      <c r="AY51" s="41">
        <v>3.458306939731564E-2</v>
      </c>
      <c r="AZ51" s="41" t="s">
        <v>121</v>
      </c>
      <c r="BA51" s="41">
        <v>4.2596722610996535E-2</v>
      </c>
      <c r="BB51" s="41" t="s">
        <v>121</v>
      </c>
      <c r="BC51" s="41">
        <v>3.6291212716482432E-2</v>
      </c>
      <c r="BD51" s="41" t="s">
        <v>121</v>
      </c>
      <c r="BE51" s="41">
        <v>4.7223789196119907E-2</v>
      </c>
      <c r="BF51" s="41" t="s">
        <v>121</v>
      </c>
      <c r="BG51" s="39">
        <v>3.8126453865417791E-2</v>
      </c>
      <c r="BH51" s="41" t="s">
        <v>121</v>
      </c>
      <c r="BI51" s="41">
        <v>3.0888878390566612E-2</v>
      </c>
      <c r="BJ51" s="41" t="s">
        <v>121</v>
      </c>
      <c r="BK51" s="41">
        <v>4.7239561732673754E-2</v>
      </c>
      <c r="BL51" s="41" t="s">
        <v>121</v>
      </c>
      <c r="BM51" s="1">
        <v>4.9675097465859505E-2</v>
      </c>
      <c r="BN51" s="1" t="s">
        <v>121</v>
      </c>
      <c r="BO51" s="1">
        <v>4.4076625236180972E-2</v>
      </c>
      <c r="BP51" s="1" t="s">
        <v>121</v>
      </c>
      <c r="BQ51" s="1">
        <v>3.7289836977591334E-2</v>
      </c>
      <c r="BR51" s="1" t="s">
        <v>121</v>
      </c>
      <c r="BS51" s="1" t="s">
        <v>121</v>
      </c>
      <c r="BT51" s="1" t="s">
        <v>121</v>
      </c>
      <c r="BU51" s="1" t="s">
        <v>121</v>
      </c>
      <c r="BV51" s="1" t="s">
        <v>121</v>
      </c>
      <c r="BW51" s="1" t="s">
        <v>121</v>
      </c>
      <c r="BX51" s="1" t="s">
        <v>121</v>
      </c>
      <c r="BY51" s="1" t="s">
        <v>121</v>
      </c>
      <c r="BZ51" s="1" t="s">
        <v>121</v>
      </c>
      <c r="CA51" s="1" t="s">
        <v>121</v>
      </c>
      <c r="CB51" s="1" t="s">
        <v>121</v>
      </c>
      <c r="CC51" s="1" t="s">
        <v>121</v>
      </c>
      <c r="CD51" s="1" t="s">
        <v>121</v>
      </c>
      <c r="CE51" s="1" t="s">
        <v>121</v>
      </c>
      <c r="CF51" s="1" t="s">
        <v>121</v>
      </c>
      <c r="CG51" s="1" t="s">
        <v>121</v>
      </c>
      <c r="CH51" s="1" t="s">
        <v>121</v>
      </c>
      <c r="CI51" s="1" t="s">
        <v>121</v>
      </c>
      <c r="CJ51" s="1" t="s">
        <v>121</v>
      </c>
      <c r="CK51" s="1" t="s">
        <v>121</v>
      </c>
      <c r="CL51" s="1" t="s">
        <v>121</v>
      </c>
      <c r="CM51" s="1" t="s">
        <v>121</v>
      </c>
      <c r="CN51" s="1" t="s">
        <v>121</v>
      </c>
      <c r="CO51" s="1" t="s">
        <v>121</v>
      </c>
      <c r="CP51" s="1" t="s">
        <v>121</v>
      </c>
      <c r="CQ51" s="1" t="s">
        <v>121</v>
      </c>
      <c r="CR51" s="1" t="s">
        <v>121</v>
      </c>
      <c r="CS51" s="1" t="s">
        <v>121</v>
      </c>
      <c r="CT51" s="1" t="s">
        <v>121</v>
      </c>
      <c r="CU51" s="1" t="s">
        <v>121</v>
      </c>
      <c r="CV51" s="1" t="s">
        <v>121</v>
      </c>
      <c r="CW51" s="1" t="s">
        <v>121</v>
      </c>
      <c r="CX51" s="1" t="s">
        <v>121</v>
      </c>
      <c r="CY51" s="1" t="s">
        <v>121</v>
      </c>
      <c r="CZ51" s="1" t="s">
        <v>121</v>
      </c>
      <c r="DA51" s="1" t="s">
        <v>121</v>
      </c>
      <c r="DB51" s="1" t="s">
        <v>121</v>
      </c>
      <c r="DC51" s="1" t="s">
        <v>121</v>
      </c>
      <c r="DD51" s="1" t="s">
        <v>121</v>
      </c>
      <c r="DE51" s="1" t="s">
        <v>121</v>
      </c>
      <c r="DF51" s="1" t="s">
        <v>121</v>
      </c>
      <c r="DG51" s="1" t="s">
        <v>121</v>
      </c>
      <c r="DH51" s="1" t="s">
        <v>121</v>
      </c>
      <c r="DI51" s="1" t="s">
        <v>121</v>
      </c>
      <c r="DJ51" s="1" t="s">
        <v>121</v>
      </c>
      <c r="DK51" s="1" t="s">
        <v>121</v>
      </c>
      <c r="DL51" s="1" t="s">
        <v>121</v>
      </c>
      <c r="DM51" s="1" t="s">
        <v>121</v>
      </c>
      <c r="DN51" s="1" t="s">
        <v>121</v>
      </c>
      <c r="DO51" s="1" t="s">
        <v>121</v>
      </c>
      <c r="DP51" s="1" t="s">
        <v>121</v>
      </c>
      <c r="DQ51" s="1" t="s">
        <v>121</v>
      </c>
      <c r="DR51" s="1" t="s">
        <v>121</v>
      </c>
      <c r="DS51" s="1" t="s">
        <v>121</v>
      </c>
      <c r="DT51" s="1" t="s">
        <v>121</v>
      </c>
      <c r="DU51" s="1" t="s">
        <v>121</v>
      </c>
      <c r="DV51" s="1" t="s">
        <v>121</v>
      </c>
      <c r="DW51" s="1" t="s">
        <v>121</v>
      </c>
      <c r="DX51" s="1" t="s">
        <v>121</v>
      </c>
      <c r="DY51" s="1" t="s">
        <v>121</v>
      </c>
      <c r="DZ51" s="1" t="s">
        <v>121</v>
      </c>
      <c r="EA51" s="1" t="s">
        <v>121</v>
      </c>
      <c r="EB51" s="1" t="s">
        <v>121</v>
      </c>
      <c r="EC51" s="1" t="s">
        <v>121</v>
      </c>
      <c r="ED51" s="1" t="s">
        <v>121</v>
      </c>
      <c r="EE51" s="1" t="s">
        <v>121</v>
      </c>
      <c r="EF51" s="1" t="s">
        <v>121</v>
      </c>
      <c r="EG51" s="1" t="s">
        <v>121</v>
      </c>
      <c r="EH51" s="1" t="s">
        <v>121</v>
      </c>
      <c r="EI51" s="1" t="s">
        <v>121</v>
      </c>
      <c r="EJ51" s="1" t="s">
        <v>121</v>
      </c>
      <c r="EK51" s="1" t="s">
        <v>121</v>
      </c>
      <c r="EL51" s="1" t="s">
        <v>121</v>
      </c>
      <c r="EM51" s="1" t="s">
        <v>121</v>
      </c>
      <c r="EN51" s="1" t="s">
        <v>121</v>
      </c>
      <c r="EO51" s="1" t="s">
        <v>121</v>
      </c>
      <c r="EP51" s="1" t="s">
        <v>121</v>
      </c>
      <c r="EQ51" s="1" t="s">
        <v>121</v>
      </c>
      <c r="ER51" s="1" t="s">
        <v>121</v>
      </c>
      <c r="ES51" s="1" t="s">
        <v>121</v>
      </c>
      <c r="ET51" s="1" t="s">
        <v>121</v>
      </c>
      <c r="EU51" s="1" t="s">
        <v>121</v>
      </c>
    </row>
    <row r="52" spans="1:151" s="39" customFormat="1" x14ac:dyDescent="0.25">
      <c r="A52" s="72">
        <v>51</v>
      </c>
      <c r="B52" s="40" t="s">
        <v>16</v>
      </c>
      <c r="C52" s="91" t="s">
        <v>121</v>
      </c>
      <c r="D52" s="86" t="s">
        <v>121</v>
      </c>
      <c r="E52" s="92" t="s">
        <v>121</v>
      </c>
      <c r="F52" s="290">
        <v>3.4511210509698798E-2</v>
      </c>
      <c r="G52" s="290">
        <v>3.5960372694226639E-2</v>
      </c>
      <c r="H52" s="290">
        <v>4.4395774999306921E-2</v>
      </c>
      <c r="I52" s="290">
        <v>4.38220007200072E-2</v>
      </c>
      <c r="J52" s="335"/>
      <c r="K52" s="335"/>
      <c r="L52" s="335"/>
      <c r="M52" s="290">
        <v>7.0463626561806311E-2</v>
      </c>
      <c r="N52" s="335"/>
      <c r="O52" s="335"/>
      <c r="P52" s="335"/>
      <c r="Q52" s="335"/>
      <c r="R52" s="335"/>
      <c r="S52" s="335"/>
      <c r="T52" s="335"/>
      <c r="U52" s="127">
        <v>8.4957386136075994E-2</v>
      </c>
      <c r="V52" s="127">
        <v>7.1986183353405286E-2</v>
      </c>
      <c r="W52" s="127">
        <v>9.9414664940617598E-2</v>
      </c>
      <c r="X52" s="127" t="s">
        <v>121</v>
      </c>
      <c r="Y52" s="13">
        <v>9.2617405985989373E-2</v>
      </c>
      <c r="Z52" s="13" t="s">
        <v>121</v>
      </c>
      <c r="AA52" s="13">
        <v>8.3455394478558542E-2</v>
      </c>
      <c r="AB52" s="13" t="s">
        <v>121</v>
      </c>
      <c r="AC52" s="13">
        <v>9.8064596870228782E-2</v>
      </c>
      <c r="AD52" s="13" t="s">
        <v>121</v>
      </c>
      <c r="AE52" s="13">
        <v>7.9345451119481047E-2</v>
      </c>
      <c r="AF52" s="13" t="s">
        <v>121</v>
      </c>
      <c r="AG52" s="86">
        <v>8.9775279057377658E-2</v>
      </c>
      <c r="AH52" s="13" t="s">
        <v>121</v>
      </c>
      <c r="AI52" s="86">
        <v>7.0059565090154416E-2</v>
      </c>
      <c r="AJ52" s="13" t="s">
        <v>121</v>
      </c>
      <c r="AK52" s="13">
        <v>8.0164449689101233E-2</v>
      </c>
      <c r="AL52" s="127" t="s">
        <v>121</v>
      </c>
      <c r="AM52" s="13">
        <v>6.0112484996162528E-2</v>
      </c>
      <c r="AN52" s="13" t="s">
        <v>121</v>
      </c>
      <c r="AO52" s="13">
        <v>0.11422984205614924</v>
      </c>
      <c r="AP52" s="13" t="s">
        <v>121</v>
      </c>
      <c r="AQ52" s="13">
        <v>8.5624897685889503E-2</v>
      </c>
      <c r="AR52" s="13" t="s">
        <v>121</v>
      </c>
      <c r="AS52" s="13">
        <v>0.10243467468221332</v>
      </c>
      <c r="AT52" s="13" t="s">
        <v>121</v>
      </c>
      <c r="AU52" s="13">
        <v>7.1514479205775291E-2</v>
      </c>
      <c r="AV52" s="13" t="s">
        <v>121</v>
      </c>
      <c r="AW52" s="13">
        <v>0.13354983410670759</v>
      </c>
      <c r="AX52" s="13" t="s">
        <v>121</v>
      </c>
      <c r="AY52" s="41">
        <v>0.11482270920492228</v>
      </c>
      <c r="AZ52" s="41" t="s">
        <v>121</v>
      </c>
      <c r="BA52" s="41">
        <v>0.12568954487013412</v>
      </c>
      <c r="BB52" s="41" t="s">
        <v>121</v>
      </c>
      <c r="BC52" s="41">
        <v>0.11713221627550249</v>
      </c>
      <c r="BD52" s="41" t="s">
        <v>121</v>
      </c>
      <c r="BE52" s="41">
        <v>0.15276047089631037</v>
      </c>
      <c r="BF52" s="41" t="s">
        <v>121</v>
      </c>
      <c r="BG52" s="39">
        <v>0.12711992233896832</v>
      </c>
      <c r="BH52" s="41" t="s">
        <v>121</v>
      </c>
      <c r="BI52" s="41">
        <v>0.12438013913276534</v>
      </c>
      <c r="BJ52" s="41" t="s">
        <v>121</v>
      </c>
      <c r="BK52" s="41">
        <v>7.405628808442434E-2</v>
      </c>
      <c r="BL52" s="41" t="s">
        <v>121</v>
      </c>
      <c r="BM52" s="39">
        <v>9.3155010125872142E-2</v>
      </c>
      <c r="BN52" s="39" t="s">
        <v>121</v>
      </c>
      <c r="BO52" s="39">
        <v>0.10164068069223665</v>
      </c>
      <c r="BP52" s="39" t="s">
        <v>121</v>
      </c>
      <c r="BQ52" s="39">
        <v>9.4500216841516091E-2</v>
      </c>
      <c r="BR52" s="39" t="s">
        <v>121</v>
      </c>
      <c r="BS52" s="39" t="s">
        <v>121</v>
      </c>
      <c r="BT52" s="39" t="s">
        <v>121</v>
      </c>
      <c r="BU52" s="39" t="s">
        <v>121</v>
      </c>
      <c r="BV52" s="39" t="s">
        <v>121</v>
      </c>
      <c r="BW52" s="39" t="s">
        <v>121</v>
      </c>
      <c r="BX52" s="39" t="s">
        <v>121</v>
      </c>
      <c r="BY52" s="39" t="s">
        <v>121</v>
      </c>
      <c r="BZ52" s="39" t="s">
        <v>121</v>
      </c>
      <c r="CA52" s="39" t="s">
        <v>121</v>
      </c>
      <c r="CB52" s="39" t="s">
        <v>121</v>
      </c>
      <c r="CC52" s="39" t="s">
        <v>121</v>
      </c>
      <c r="CD52" s="39" t="s">
        <v>121</v>
      </c>
      <c r="CE52" s="39" t="s">
        <v>121</v>
      </c>
      <c r="CF52" s="39" t="s">
        <v>121</v>
      </c>
      <c r="CG52" s="39" t="s">
        <v>121</v>
      </c>
      <c r="CH52" s="39" t="s">
        <v>121</v>
      </c>
      <c r="CI52" s="39" t="s">
        <v>121</v>
      </c>
      <c r="CJ52" s="39" t="s">
        <v>121</v>
      </c>
      <c r="CK52" s="39" t="s">
        <v>121</v>
      </c>
      <c r="CL52" s="39" t="s">
        <v>121</v>
      </c>
      <c r="CM52" s="39" t="s">
        <v>121</v>
      </c>
      <c r="CN52" s="39" t="s">
        <v>121</v>
      </c>
      <c r="CO52" s="39" t="s">
        <v>121</v>
      </c>
      <c r="CP52" s="39" t="s">
        <v>121</v>
      </c>
      <c r="CQ52" s="39" t="s">
        <v>121</v>
      </c>
      <c r="CR52" s="39" t="s">
        <v>121</v>
      </c>
      <c r="CS52" s="39" t="s">
        <v>121</v>
      </c>
      <c r="CT52" s="39" t="s">
        <v>121</v>
      </c>
      <c r="CU52" s="39" t="s">
        <v>121</v>
      </c>
      <c r="CV52" s="39" t="s">
        <v>121</v>
      </c>
      <c r="CW52" s="39" t="s">
        <v>121</v>
      </c>
      <c r="CX52" s="39" t="s">
        <v>121</v>
      </c>
      <c r="CY52" s="39" t="s">
        <v>121</v>
      </c>
      <c r="CZ52" s="39" t="s">
        <v>121</v>
      </c>
      <c r="DA52" s="39" t="s">
        <v>121</v>
      </c>
      <c r="DB52" s="39" t="s">
        <v>121</v>
      </c>
      <c r="DC52" s="39" t="s">
        <v>121</v>
      </c>
      <c r="DD52" s="39" t="s">
        <v>121</v>
      </c>
      <c r="DE52" s="39" t="s">
        <v>121</v>
      </c>
      <c r="DF52" s="39" t="s">
        <v>121</v>
      </c>
      <c r="DG52" s="39" t="s">
        <v>121</v>
      </c>
      <c r="DH52" s="39" t="s">
        <v>121</v>
      </c>
      <c r="DI52" s="39" t="s">
        <v>121</v>
      </c>
      <c r="DJ52" s="39" t="s">
        <v>121</v>
      </c>
      <c r="DK52" s="39" t="s">
        <v>121</v>
      </c>
      <c r="DL52" s="39" t="s">
        <v>121</v>
      </c>
      <c r="DM52" s="39" t="s">
        <v>121</v>
      </c>
      <c r="DN52" s="39" t="s">
        <v>121</v>
      </c>
      <c r="DO52" s="39" t="s">
        <v>121</v>
      </c>
      <c r="DP52" s="39" t="s">
        <v>121</v>
      </c>
      <c r="DQ52" s="39" t="s">
        <v>121</v>
      </c>
      <c r="DR52" s="39" t="s">
        <v>121</v>
      </c>
      <c r="DS52" s="39" t="s">
        <v>121</v>
      </c>
      <c r="DT52" s="39" t="s">
        <v>121</v>
      </c>
      <c r="DU52" s="39" t="s">
        <v>121</v>
      </c>
      <c r="DV52" s="39" t="s">
        <v>121</v>
      </c>
      <c r="DW52" s="39" t="s">
        <v>121</v>
      </c>
      <c r="DX52" s="39" t="s">
        <v>121</v>
      </c>
      <c r="DY52" s="39" t="s">
        <v>121</v>
      </c>
      <c r="DZ52" s="39" t="s">
        <v>121</v>
      </c>
      <c r="EA52" s="39" t="s">
        <v>121</v>
      </c>
      <c r="EB52" s="39" t="s">
        <v>121</v>
      </c>
      <c r="EC52" s="39" t="s">
        <v>121</v>
      </c>
      <c r="ED52" s="39" t="s">
        <v>121</v>
      </c>
      <c r="EE52" s="39" t="s">
        <v>121</v>
      </c>
      <c r="EF52" s="39" t="s">
        <v>121</v>
      </c>
      <c r="EG52" s="39" t="s">
        <v>121</v>
      </c>
      <c r="EH52" s="39" t="s">
        <v>121</v>
      </c>
      <c r="EI52" s="39" t="s">
        <v>121</v>
      </c>
      <c r="EJ52" s="39" t="s">
        <v>121</v>
      </c>
      <c r="EK52" s="39" t="s">
        <v>121</v>
      </c>
      <c r="EL52" s="39" t="s">
        <v>121</v>
      </c>
      <c r="EM52" s="39" t="s">
        <v>121</v>
      </c>
      <c r="EN52" s="39" t="s">
        <v>121</v>
      </c>
      <c r="EO52" s="39" t="s">
        <v>121</v>
      </c>
      <c r="EP52" s="39" t="s">
        <v>121</v>
      </c>
      <c r="EQ52" s="39" t="s">
        <v>121</v>
      </c>
      <c r="ER52" s="39" t="s">
        <v>121</v>
      </c>
      <c r="ES52" s="39" t="s">
        <v>121</v>
      </c>
      <c r="ET52" s="39" t="s">
        <v>121</v>
      </c>
      <c r="EU52" s="39" t="s">
        <v>121</v>
      </c>
    </row>
    <row r="53" spans="1:151" s="39" customFormat="1" ht="15" customHeight="1" x14ac:dyDescent="0.25">
      <c r="A53" s="72">
        <v>54</v>
      </c>
      <c r="B53" s="40" t="s">
        <v>24</v>
      </c>
      <c r="C53" s="91" t="s">
        <v>121</v>
      </c>
      <c r="D53" s="86" t="s">
        <v>121</v>
      </c>
      <c r="E53" s="92" t="s">
        <v>121</v>
      </c>
      <c r="F53" s="290">
        <v>1.5652343332789524E-2</v>
      </c>
      <c r="G53" s="290">
        <v>1.6924715022742419E-2</v>
      </c>
      <c r="H53" s="290">
        <v>1.634831304926395E-2</v>
      </c>
      <c r="I53" s="290">
        <v>2.5768382683826838E-2</v>
      </c>
      <c r="J53" s="335"/>
      <c r="K53" s="335"/>
      <c r="L53" s="335"/>
      <c r="M53" s="290">
        <v>2.7248946936098396E-2</v>
      </c>
      <c r="N53" s="335"/>
      <c r="O53" s="335"/>
      <c r="P53" s="335"/>
      <c r="Q53" s="335"/>
      <c r="R53" s="335"/>
      <c r="S53" s="335"/>
      <c r="T53" s="335"/>
      <c r="U53" s="127">
        <v>2.11367168100479E-2</v>
      </c>
      <c r="V53" s="127">
        <v>2.6553225164361104E-2</v>
      </c>
      <c r="W53" s="127">
        <v>2.5075473541944757E-2</v>
      </c>
      <c r="X53" s="127" t="s">
        <v>121</v>
      </c>
      <c r="Y53" s="13">
        <v>1.7187475377411478E-2</v>
      </c>
      <c r="Z53" s="13" t="s">
        <v>121</v>
      </c>
      <c r="AA53" s="13">
        <v>2.4321219709541618E-2</v>
      </c>
      <c r="AB53" s="13" t="s">
        <v>121</v>
      </c>
      <c r="AC53" s="13">
        <v>1.8640794440269566E-2</v>
      </c>
      <c r="AD53" s="13" t="s">
        <v>121</v>
      </c>
      <c r="AE53" s="13">
        <v>2.6355121305324105E-2</v>
      </c>
      <c r="AF53" s="13" t="s">
        <v>121</v>
      </c>
      <c r="AG53" s="86">
        <v>3.0405033266977612E-2</v>
      </c>
      <c r="AH53" s="13" t="s">
        <v>121</v>
      </c>
      <c r="AI53" s="86">
        <v>3.0010391440785704E-2</v>
      </c>
      <c r="AJ53" s="13" t="s">
        <v>121</v>
      </c>
      <c r="AK53" s="13">
        <v>2.4942596887276212E-2</v>
      </c>
      <c r="AL53" s="127" t="s">
        <v>121</v>
      </c>
      <c r="AM53" s="13">
        <v>2.4088792154020568E-2</v>
      </c>
      <c r="AN53" s="13" t="s">
        <v>121</v>
      </c>
      <c r="AO53" s="13">
        <v>2.8086224142026849E-2</v>
      </c>
      <c r="AP53" s="13" t="s">
        <v>121</v>
      </c>
      <c r="AQ53" s="13">
        <v>2.8665878604796469E-2</v>
      </c>
      <c r="AR53" s="13" t="s">
        <v>121</v>
      </c>
      <c r="AS53" s="13">
        <v>2.2673691378214438E-2</v>
      </c>
      <c r="AT53" s="13" t="s">
        <v>121</v>
      </c>
      <c r="AU53" s="13">
        <v>3.3030116578635874E-2</v>
      </c>
      <c r="AV53" s="13" t="s">
        <v>121</v>
      </c>
      <c r="AW53" s="13">
        <v>2.2368621239356307E-2</v>
      </c>
      <c r="AX53" s="13" t="s">
        <v>121</v>
      </c>
      <c r="AY53" s="41">
        <v>2.5814525009654275E-2</v>
      </c>
      <c r="AZ53" s="41" t="s">
        <v>121</v>
      </c>
      <c r="BA53" s="41">
        <v>2.8398083713541578E-2</v>
      </c>
      <c r="BB53" s="41" t="s">
        <v>121</v>
      </c>
      <c r="BC53" s="41">
        <v>2.421890255186681E-2</v>
      </c>
      <c r="BD53" s="41" t="s">
        <v>121</v>
      </c>
      <c r="BE53" s="41">
        <v>2.2955156963835925E-2</v>
      </c>
      <c r="BF53" s="41" t="s">
        <v>121</v>
      </c>
      <c r="BG53" s="39">
        <v>2.1983362195448018E-2</v>
      </c>
      <c r="BH53" s="41" t="s">
        <v>121</v>
      </c>
      <c r="BI53" s="41">
        <v>3.6407242095590403E-2</v>
      </c>
      <c r="BJ53" s="41" t="s">
        <v>121</v>
      </c>
      <c r="BK53" s="41">
        <v>3.4426425993632152E-2</v>
      </c>
      <c r="BL53" s="41" t="s">
        <v>121</v>
      </c>
      <c r="BM53" s="39">
        <v>3.5359340884772522E-2</v>
      </c>
      <c r="BN53" s="39" t="s">
        <v>121</v>
      </c>
      <c r="BO53" s="39">
        <v>4.7292116517268425E-2</v>
      </c>
      <c r="BP53" s="39" t="s">
        <v>121</v>
      </c>
      <c r="BQ53" s="39">
        <v>4.0205878638163918E-2</v>
      </c>
      <c r="BR53" s="39" t="s">
        <v>121</v>
      </c>
      <c r="BS53" s="39" t="s">
        <v>121</v>
      </c>
      <c r="BT53" s="39" t="s">
        <v>121</v>
      </c>
      <c r="BU53" s="39" t="s">
        <v>121</v>
      </c>
      <c r="BV53" s="39" t="s">
        <v>121</v>
      </c>
      <c r="BW53" s="39" t="s">
        <v>121</v>
      </c>
      <c r="BX53" s="39" t="s">
        <v>121</v>
      </c>
      <c r="BY53" s="39" t="s">
        <v>121</v>
      </c>
      <c r="BZ53" s="39" t="s">
        <v>121</v>
      </c>
      <c r="CA53" s="39" t="s">
        <v>121</v>
      </c>
      <c r="CB53" s="39" t="s">
        <v>121</v>
      </c>
      <c r="CC53" s="39" t="s">
        <v>121</v>
      </c>
      <c r="CD53" s="39" t="s">
        <v>121</v>
      </c>
      <c r="CE53" s="39" t="s">
        <v>121</v>
      </c>
      <c r="CF53" s="39" t="s">
        <v>121</v>
      </c>
      <c r="CG53" s="39" t="s">
        <v>121</v>
      </c>
      <c r="CH53" s="39" t="s">
        <v>121</v>
      </c>
      <c r="CI53" s="39" t="s">
        <v>121</v>
      </c>
      <c r="CJ53" s="39" t="s">
        <v>121</v>
      </c>
      <c r="CK53" s="39" t="s">
        <v>121</v>
      </c>
      <c r="CL53" s="39" t="s">
        <v>121</v>
      </c>
      <c r="CM53" s="39" t="s">
        <v>121</v>
      </c>
      <c r="CN53" s="39" t="s">
        <v>121</v>
      </c>
      <c r="CO53" s="39" t="s">
        <v>121</v>
      </c>
      <c r="CP53" s="39" t="s">
        <v>121</v>
      </c>
      <c r="CQ53" s="39" t="s">
        <v>121</v>
      </c>
      <c r="CR53" s="39" t="s">
        <v>121</v>
      </c>
      <c r="CS53" s="39" t="s">
        <v>121</v>
      </c>
      <c r="CT53" s="39" t="s">
        <v>121</v>
      </c>
      <c r="CU53" s="39" t="s">
        <v>121</v>
      </c>
      <c r="CV53" s="39" t="s">
        <v>121</v>
      </c>
      <c r="CW53" s="39" t="s">
        <v>121</v>
      </c>
      <c r="CX53" s="39" t="s">
        <v>121</v>
      </c>
      <c r="CY53" s="39" t="s">
        <v>121</v>
      </c>
      <c r="CZ53" s="39" t="s">
        <v>121</v>
      </c>
      <c r="DA53" s="39" t="s">
        <v>121</v>
      </c>
      <c r="DB53" s="39" t="s">
        <v>121</v>
      </c>
      <c r="DC53" s="39" t="s">
        <v>121</v>
      </c>
      <c r="DD53" s="39" t="s">
        <v>121</v>
      </c>
      <c r="DE53" s="39" t="s">
        <v>121</v>
      </c>
      <c r="DF53" s="39" t="s">
        <v>121</v>
      </c>
      <c r="DG53" s="39" t="s">
        <v>121</v>
      </c>
      <c r="DH53" s="39" t="s">
        <v>121</v>
      </c>
      <c r="DI53" s="39" t="s">
        <v>121</v>
      </c>
      <c r="DJ53" s="39" t="s">
        <v>121</v>
      </c>
      <c r="DK53" s="39" t="s">
        <v>121</v>
      </c>
      <c r="DL53" s="39" t="s">
        <v>121</v>
      </c>
      <c r="DM53" s="39" t="s">
        <v>121</v>
      </c>
      <c r="DN53" s="39" t="s">
        <v>121</v>
      </c>
      <c r="DO53" s="39" t="s">
        <v>121</v>
      </c>
      <c r="DP53" s="39" t="s">
        <v>121</v>
      </c>
      <c r="DQ53" s="39" t="s">
        <v>121</v>
      </c>
      <c r="DR53" s="39" t="s">
        <v>121</v>
      </c>
      <c r="DS53" s="39" t="s">
        <v>121</v>
      </c>
      <c r="DT53" s="39" t="s">
        <v>121</v>
      </c>
      <c r="DU53" s="39" t="s">
        <v>121</v>
      </c>
      <c r="DV53" s="39" t="s">
        <v>121</v>
      </c>
      <c r="DW53" s="39" t="s">
        <v>121</v>
      </c>
      <c r="DX53" s="39" t="s">
        <v>121</v>
      </c>
      <c r="DY53" s="39" t="s">
        <v>121</v>
      </c>
      <c r="DZ53" s="39" t="s">
        <v>121</v>
      </c>
      <c r="EA53" s="39" t="s">
        <v>121</v>
      </c>
      <c r="EB53" s="39" t="s">
        <v>121</v>
      </c>
      <c r="EC53" s="39" t="s">
        <v>121</v>
      </c>
      <c r="ED53" s="39" t="s">
        <v>121</v>
      </c>
      <c r="EE53" s="39" t="s">
        <v>121</v>
      </c>
      <c r="EF53" s="39" t="s">
        <v>121</v>
      </c>
      <c r="EG53" s="39" t="s">
        <v>121</v>
      </c>
      <c r="EH53" s="39" t="s">
        <v>121</v>
      </c>
      <c r="EI53" s="39" t="s">
        <v>121</v>
      </c>
      <c r="EJ53" s="39" t="s">
        <v>121</v>
      </c>
      <c r="EK53" s="39" t="s">
        <v>121</v>
      </c>
      <c r="EL53" s="39" t="s">
        <v>121</v>
      </c>
      <c r="EM53" s="39" t="s">
        <v>121</v>
      </c>
      <c r="EN53" s="39" t="s">
        <v>121</v>
      </c>
      <c r="EO53" s="39" t="s">
        <v>121</v>
      </c>
      <c r="EP53" s="39" t="s">
        <v>121</v>
      </c>
      <c r="EQ53" s="39" t="s">
        <v>121</v>
      </c>
      <c r="ER53" s="39" t="s">
        <v>121</v>
      </c>
      <c r="ES53" s="39" t="s">
        <v>121</v>
      </c>
      <c r="ET53" s="39" t="s">
        <v>121</v>
      </c>
      <c r="EU53" s="39" t="s">
        <v>121</v>
      </c>
    </row>
    <row r="54" spans="1:151" s="39" customFormat="1" ht="15" customHeight="1" x14ac:dyDescent="0.25">
      <c r="A54" s="72">
        <v>53</v>
      </c>
      <c r="B54" s="5" t="s">
        <v>383</v>
      </c>
      <c r="C54" s="91" t="s">
        <v>121</v>
      </c>
      <c r="D54" s="86" t="s">
        <v>121</v>
      </c>
      <c r="E54" s="92" t="s">
        <v>121</v>
      </c>
      <c r="F54" s="290">
        <v>1.6439890001678378E-2</v>
      </c>
      <c r="G54" s="290">
        <v>1.6777347328396294E-2</v>
      </c>
      <c r="H54" s="290">
        <v>1.8105957694546867E-2</v>
      </c>
      <c r="I54" s="290">
        <v>1.9386756367563675E-2</v>
      </c>
      <c r="J54" s="335"/>
      <c r="K54" s="335"/>
      <c r="L54" s="335"/>
      <c r="M54" s="290">
        <v>2.4712002685448306E-2</v>
      </c>
      <c r="N54" s="335"/>
      <c r="O54" s="335"/>
      <c r="P54" s="335"/>
      <c r="Q54" s="335"/>
      <c r="R54" s="335"/>
      <c r="S54" s="335"/>
      <c r="T54" s="335"/>
      <c r="U54" s="127">
        <v>3.4517630284679836E-2</v>
      </c>
      <c r="V54" s="127">
        <v>4.7278184780370054E-2</v>
      </c>
      <c r="W54" s="127">
        <v>4.6513845522751313E-2</v>
      </c>
      <c r="X54" s="127" t="s">
        <v>121</v>
      </c>
      <c r="Y54" s="13">
        <v>4.2375267138595171E-2</v>
      </c>
      <c r="Z54" s="13" t="s">
        <v>121</v>
      </c>
      <c r="AA54" s="13">
        <v>3.5445295851653687E-2</v>
      </c>
      <c r="AB54" s="13" t="s">
        <v>121</v>
      </c>
      <c r="AC54" s="13">
        <v>4.480355558243386E-2</v>
      </c>
      <c r="AD54" s="13" t="s">
        <v>121</v>
      </c>
      <c r="AE54" s="13">
        <v>3.1494355948509169E-2</v>
      </c>
      <c r="AF54" s="13" t="s">
        <v>121</v>
      </c>
      <c r="AG54" s="86">
        <v>3.0521258188028973E-2</v>
      </c>
      <c r="AH54" s="13" t="s">
        <v>121</v>
      </c>
      <c r="AI54" s="86">
        <v>3.376745419873621E-2</v>
      </c>
      <c r="AJ54" s="13" t="s">
        <v>121</v>
      </c>
      <c r="AK54" s="13">
        <v>3.7153798321787126E-2</v>
      </c>
      <c r="AL54" s="127" t="s">
        <v>121</v>
      </c>
      <c r="AM54" s="13">
        <v>3.9810450516004167E-2</v>
      </c>
      <c r="AN54" s="13" t="s">
        <v>121</v>
      </c>
      <c r="AO54" s="13">
        <v>3.7380882522329198E-2</v>
      </c>
      <c r="AP54" s="13" t="s">
        <v>121</v>
      </c>
      <c r="AQ54" s="13">
        <v>4.472384111808167E-2</v>
      </c>
      <c r="AR54" s="13" t="s">
        <v>121</v>
      </c>
      <c r="AS54" s="13">
        <v>4.5020870961237504E-2</v>
      </c>
      <c r="AT54" s="13" t="s">
        <v>121</v>
      </c>
      <c r="AU54" s="13">
        <v>5.2289398042288923E-2</v>
      </c>
      <c r="AV54" s="13" t="s">
        <v>121</v>
      </c>
      <c r="AW54" s="13">
        <v>3.9487729015628477E-2</v>
      </c>
      <c r="AX54" s="13" t="s">
        <v>121</v>
      </c>
      <c r="AY54" s="13">
        <v>4.1841863398218E-2</v>
      </c>
      <c r="AZ54" s="13" t="s">
        <v>121</v>
      </c>
      <c r="BA54" s="13">
        <v>4.2190689742735002E-2</v>
      </c>
      <c r="BB54" s="13" t="s">
        <v>121</v>
      </c>
      <c r="BC54" s="13">
        <v>3.6431463035023086E-2</v>
      </c>
      <c r="BD54" s="13" t="s">
        <v>121</v>
      </c>
      <c r="BE54" s="13">
        <v>3.3660102934902091E-2</v>
      </c>
      <c r="BF54" s="13" t="s">
        <v>121</v>
      </c>
      <c r="BG54" s="1">
        <v>2.8960061847991866E-2</v>
      </c>
      <c r="BH54" s="13" t="s">
        <v>121</v>
      </c>
      <c r="BI54" s="13">
        <v>2.9288620890540917E-2</v>
      </c>
      <c r="BJ54" s="13" t="s">
        <v>121</v>
      </c>
      <c r="BK54" s="13">
        <v>2.6774055712672072E-2</v>
      </c>
      <c r="BL54" s="13" t="s">
        <v>121</v>
      </c>
      <c r="BM54" s="39">
        <v>3.6031206592587052E-2</v>
      </c>
      <c r="BN54" s="39" t="s">
        <v>121</v>
      </c>
      <c r="BO54" s="39">
        <v>2.7904828833413151E-2</v>
      </c>
      <c r="BP54" s="39" t="s">
        <v>121</v>
      </c>
      <c r="BQ54" s="39">
        <v>3.0287916348836624E-2</v>
      </c>
      <c r="BR54" s="39" t="s">
        <v>121</v>
      </c>
      <c r="BS54" s="39" t="s">
        <v>121</v>
      </c>
      <c r="BT54" s="39" t="s">
        <v>121</v>
      </c>
      <c r="BU54" s="39" t="s">
        <v>121</v>
      </c>
      <c r="BV54" s="39" t="s">
        <v>121</v>
      </c>
      <c r="BW54" s="39" t="s">
        <v>121</v>
      </c>
      <c r="BX54" s="39" t="s">
        <v>121</v>
      </c>
      <c r="BY54" s="39" t="s">
        <v>121</v>
      </c>
      <c r="BZ54" s="39" t="s">
        <v>121</v>
      </c>
      <c r="CA54" s="39" t="s">
        <v>121</v>
      </c>
      <c r="CB54" s="39" t="s">
        <v>121</v>
      </c>
      <c r="CC54" s="39" t="s">
        <v>121</v>
      </c>
      <c r="CD54" s="39" t="s">
        <v>121</v>
      </c>
      <c r="CE54" s="39" t="s">
        <v>121</v>
      </c>
      <c r="CF54" s="39" t="s">
        <v>121</v>
      </c>
      <c r="CG54" s="39" t="s">
        <v>121</v>
      </c>
      <c r="CH54" s="39" t="s">
        <v>121</v>
      </c>
      <c r="CI54" s="39" t="s">
        <v>121</v>
      </c>
      <c r="CJ54" s="39" t="s">
        <v>121</v>
      </c>
      <c r="CK54" s="39" t="s">
        <v>121</v>
      </c>
      <c r="CL54" s="39" t="s">
        <v>121</v>
      </c>
      <c r="CM54" s="39" t="s">
        <v>121</v>
      </c>
      <c r="CN54" s="39" t="s">
        <v>121</v>
      </c>
      <c r="CO54" s="39" t="s">
        <v>121</v>
      </c>
      <c r="CP54" s="39" t="s">
        <v>121</v>
      </c>
      <c r="CQ54" s="39" t="s">
        <v>121</v>
      </c>
      <c r="CR54" s="39" t="s">
        <v>121</v>
      </c>
      <c r="CS54" s="39" t="s">
        <v>121</v>
      </c>
      <c r="CT54" s="39" t="s">
        <v>121</v>
      </c>
      <c r="CU54" s="39" t="s">
        <v>121</v>
      </c>
      <c r="CV54" s="39" t="s">
        <v>121</v>
      </c>
      <c r="CW54" s="39" t="s">
        <v>121</v>
      </c>
      <c r="CX54" s="39" t="s">
        <v>121</v>
      </c>
      <c r="CY54" s="39" t="s">
        <v>121</v>
      </c>
      <c r="CZ54" s="39" t="s">
        <v>121</v>
      </c>
      <c r="DA54" s="39" t="s">
        <v>121</v>
      </c>
      <c r="DB54" s="39" t="s">
        <v>121</v>
      </c>
      <c r="DC54" s="39" t="s">
        <v>121</v>
      </c>
      <c r="DD54" s="39" t="s">
        <v>121</v>
      </c>
      <c r="DE54" s="39" t="s">
        <v>121</v>
      </c>
      <c r="DF54" s="39" t="s">
        <v>121</v>
      </c>
      <c r="DG54" s="39" t="s">
        <v>121</v>
      </c>
      <c r="DH54" s="39" t="s">
        <v>121</v>
      </c>
      <c r="DI54" s="39" t="s">
        <v>121</v>
      </c>
      <c r="DJ54" s="39" t="s">
        <v>121</v>
      </c>
      <c r="DK54" s="39" t="s">
        <v>121</v>
      </c>
      <c r="DL54" s="39" t="s">
        <v>121</v>
      </c>
      <c r="DM54" s="39" t="s">
        <v>121</v>
      </c>
      <c r="DN54" s="39" t="s">
        <v>121</v>
      </c>
      <c r="DO54" s="39" t="s">
        <v>121</v>
      </c>
      <c r="DP54" s="39" t="s">
        <v>121</v>
      </c>
      <c r="DQ54" s="39" t="s">
        <v>121</v>
      </c>
      <c r="DR54" s="39" t="s">
        <v>121</v>
      </c>
      <c r="DS54" s="39" t="s">
        <v>121</v>
      </c>
      <c r="DT54" s="39" t="s">
        <v>121</v>
      </c>
      <c r="DU54" s="39" t="s">
        <v>121</v>
      </c>
      <c r="DV54" s="39" t="s">
        <v>121</v>
      </c>
      <c r="DW54" s="39" t="s">
        <v>121</v>
      </c>
      <c r="DX54" s="39" t="s">
        <v>121</v>
      </c>
      <c r="DY54" s="39" t="s">
        <v>121</v>
      </c>
      <c r="DZ54" s="39" t="s">
        <v>121</v>
      </c>
      <c r="EA54" s="39" t="s">
        <v>121</v>
      </c>
      <c r="EB54" s="39" t="s">
        <v>121</v>
      </c>
      <c r="EC54" s="39" t="s">
        <v>121</v>
      </c>
      <c r="ED54" s="39" t="s">
        <v>121</v>
      </c>
      <c r="EE54" s="39" t="s">
        <v>121</v>
      </c>
      <c r="EF54" s="39" t="s">
        <v>121</v>
      </c>
      <c r="EG54" s="39" t="s">
        <v>121</v>
      </c>
      <c r="EH54" s="39" t="s">
        <v>121</v>
      </c>
      <c r="EI54" s="39" t="s">
        <v>121</v>
      </c>
      <c r="EJ54" s="39" t="s">
        <v>121</v>
      </c>
      <c r="EK54" s="39" t="s">
        <v>121</v>
      </c>
      <c r="EL54" s="39" t="s">
        <v>121</v>
      </c>
      <c r="EM54" s="39" t="s">
        <v>121</v>
      </c>
      <c r="EN54" s="39" t="s">
        <v>121</v>
      </c>
      <c r="EO54" s="39" t="s">
        <v>121</v>
      </c>
      <c r="EP54" s="39" t="s">
        <v>121</v>
      </c>
      <c r="EQ54" s="39" t="s">
        <v>121</v>
      </c>
      <c r="ER54" s="39" t="s">
        <v>121</v>
      </c>
      <c r="ES54" s="39" t="s">
        <v>121</v>
      </c>
      <c r="ET54" s="39" t="s">
        <v>121</v>
      </c>
      <c r="EU54" s="39" t="s">
        <v>121</v>
      </c>
    </row>
    <row r="55" spans="1:151" s="39" customFormat="1" ht="15" customHeight="1" x14ac:dyDescent="0.25">
      <c r="A55" s="72">
        <v>55</v>
      </c>
      <c r="B55" s="40" t="s">
        <v>384</v>
      </c>
      <c r="C55" s="91" t="s">
        <v>121</v>
      </c>
      <c r="D55" s="86" t="s">
        <v>121</v>
      </c>
      <c r="E55" s="92" t="s">
        <v>121</v>
      </c>
      <c r="F55" s="290">
        <v>4.6748112998275847E-3</v>
      </c>
      <c r="G55" s="290">
        <v>5.3105475440045243E-3</v>
      </c>
      <c r="H55" s="290">
        <v>5.4170940644839346E-3</v>
      </c>
      <c r="I55" s="290">
        <v>4.9612996129961302E-3</v>
      </c>
      <c r="J55" s="335"/>
      <c r="K55" s="335"/>
      <c r="L55" s="335"/>
      <c r="M55" s="290">
        <v>5.9324275617335994E-3</v>
      </c>
      <c r="N55" s="335"/>
      <c r="O55" s="335"/>
      <c r="P55" s="335"/>
      <c r="Q55" s="335"/>
      <c r="R55" s="335"/>
      <c r="S55" s="335"/>
      <c r="T55" s="335"/>
      <c r="U55" s="127">
        <v>7.4734464362954771E-3</v>
      </c>
      <c r="V55" s="127">
        <v>6.5415691265146552E-3</v>
      </c>
      <c r="W55" s="127">
        <v>2.3673264194855811E-3</v>
      </c>
      <c r="X55" s="127" t="s">
        <v>121</v>
      </c>
      <c r="Y55" s="13">
        <v>1.4983699489387143E-3</v>
      </c>
      <c r="Z55" s="13" t="s">
        <v>121</v>
      </c>
      <c r="AA55" s="13">
        <v>2.44100396357119E-3</v>
      </c>
      <c r="AB55" s="13" t="s">
        <v>121</v>
      </c>
      <c r="AC55" s="13">
        <v>3.1562178510080295E-3</v>
      </c>
      <c r="AD55" s="13" t="s">
        <v>121</v>
      </c>
      <c r="AE55" s="13">
        <v>4.1381196471656475E-3</v>
      </c>
      <c r="AF55" s="13" t="s">
        <v>121</v>
      </c>
      <c r="AG55" s="86">
        <v>5.8098915414425845E-3</v>
      </c>
      <c r="AH55" s="13" t="s">
        <v>121</v>
      </c>
      <c r="AI55" s="86">
        <v>3.7709827863749942E-3</v>
      </c>
      <c r="AJ55" s="13" t="s">
        <v>121</v>
      </c>
      <c r="AK55" s="13">
        <v>8.8023602360829886E-3</v>
      </c>
      <c r="AL55" s="127" t="s">
        <v>121</v>
      </c>
      <c r="AM55" s="13">
        <v>1.6666773618772522E-3</v>
      </c>
      <c r="AN55" s="13" t="s">
        <v>121</v>
      </c>
      <c r="AO55" s="13">
        <v>3.7813727846981882E-3</v>
      </c>
      <c r="AP55" s="13" t="s">
        <v>121</v>
      </c>
      <c r="AQ55" s="13">
        <v>4.8669437256887499E-3</v>
      </c>
      <c r="AR55" s="13" t="s">
        <v>121</v>
      </c>
      <c r="AS55" s="13">
        <v>1.3503755329462649E-2</v>
      </c>
      <c r="AT55" s="13" t="s">
        <v>121</v>
      </c>
      <c r="AU55" s="13">
        <v>4.7056953117669753E-3</v>
      </c>
      <c r="AV55" s="13" t="s">
        <v>121</v>
      </c>
      <c r="AW55" s="13">
        <v>5.7261705394151844E-3</v>
      </c>
      <c r="AX55" s="13" t="s">
        <v>121</v>
      </c>
      <c r="AY55" s="41">
        <v>4.5562477488225988E-3</v>
      </c>
      <c r="AZ55" s="41" t="s">
        <v>121</v>
      </c>
      <c r="BA55" s="41">
        <v>3.6625525297467824E-3</v>
      </c>
      <c r="BB55" s="41" t="s">
        <v>121</v>
      </c>
      <c r="BC55" s="41">
        <v>4.6505938909935174E-3</v>
      </c>
      <c r="BD55" s="41" t="s">
        <v>121</v>
      </c>
      <c r="BE55" s="41">
        <v>1.3341645304369676E-2</v>
      </c>
      <c r="BF55" s="41" t="s">
        <v>121</v>
      </c>
      <c r="BG55" s="39">
        <v>8.0640756387956401E-3</v>
      </c>
      <c r="BH55" s="41" t="s">
        <v>121</v>
      </c>
      <c r="BI55" s="41">
        <v>1.6003836563353913E-2</v>
      </c>
      <c r="BJ55" s="41" t="s">
        <v>121</v>
      </c>
      <c r="BK55" s="41">
        <v>1.3436933241114179E-2</v>
      </c>
      <c r="BL55" s="41" t="s">
        <v>121</v>
      </c>
      <c r="BM55" s="39">
        <v>1.8115776555261535E-2</v>
      </c>
      <c r="BN55" s="39" t="s">
        <v>121</v>
      </c>
      <c r="BO55" s="39">
        <v>1.9350218449718893E-2</v>
      </c>
      <c r="BP55" s="39" t="s">
        <v>121</v>
      </c>
      <c r="BQ55" s="39">
        <v>1.5111754692094253E-2</v>
      </c>
      <c r="BR55" s="39" t="s">
        <v>121</v>
      </c>
      <c r="BS55" s="39" t="s">
        <v>121</v>
      </c>
      <c r="BT55" s="39" t="s">
        <v>121</v>
      </c>
      <c r="BU55" s="39" t="s">
        <v>121</v>
      </c>
      <c r="BV55" s="39" t="s">
        <v>121</v>
      </c>
      <c r="BW55" s="39" t="s">
        <v>121</v>
      </c>
      <c r="BX55" s="39" t="s">
        <v>121</v>
      </c>
      <c r="BY55" s="39" t="s">
        <v>121</v>
      </c>
      <c r="BZ55" s="39" t="s">
        <v>121</v>
      </c>
      <c r="CA55" s="39" t="s">
        <v>121</v>
      </c>
      <c r="CB55" s="39" t="s">
        <v>121</v>
      </c>
      <c r="CC55" s="39" t="s">
        <v>121</v>
      </c>
      <c r="CD55" s="39" t="s">
        <v>121</v>
      </c>
      <c r="CE55" s="39" t="s">
        <v>121</v>
      </c>
      <c r="CF55" s="39" t="s">
        <v>121</v>
      </c>
      <c r="CG55" s="39" t="s">
        <v>121</v>
      </c>
      <c r="CH55" s="39" t="s">
        <v>121</v>
      </c>
      <c r="CI55" s="39" t="s">
        <v>121</v>
      </c>
      <c r="CJ55" s="39" t="s">
        <v>121</v>
      </c>
      <c r="CK55" s="39" t="s">
        <v>121</v>
      </c>
      <c r="CL55" s="39" t="s">
        <v>121</v>
      </c>
      <c r="CM55" s="39" t="s">
        <v>121</v>
      </c>
      <c r="CN55" s="39" t="s">
        <v>121</v>
      </c>
      <c r="CO55" s="39" t="s">
        <v>121</v>
      </c>
      <c r="CP55" s="39" t="s">
        <v>121</v>
      </c>
      <c r="CQ55" s="39" t="s">
        <v>121</v>
      </c>
      <c r="CR55" s="39" t="s">
        <v>121</v>
      </c>
      <c r="CS55" s="39" t="s">
        <v>121</v>
      </c>
      <c r="CT55" s="39" t="s">
        <v>121</v>
      </c>
      <c r="CU55" s="39" t="s">
        <v>121</v>
      </c>
      <c r="CV55" s="39" t="s">
        <v>121</v>
      </c>
      <c r="CW55" s="39" t="s">
        <v>121</v>
      </c>
      <c r="CX55" s="39" t="s">
        <v>121</v>
      </c>
      <c r="CY55" s="39" t="s">
        <v>121</v>
      </c>
      <c r="CZ55" s="39" t="s">
        <v>121</v>
      </c>
      <c r="DA55" s="39" t="s">
        <v>121</v>
      </c>
      <c r="DB55" s="39" t="s">
        <v>121</v>
      </c>
      <c r="DC55" s="39" t="s">
        <v>121</v>
      </c>
      <c r="DD55" s="39" t="s">
        <v>121</v>
      </c>
      <c r="DE55" s="39" t="s">
        <v>121</v>
      </c>
      <c r="DF55" s="39" t="s">
        <v>121</v>
      </c>
      <c r="DG55" s="39" t="s">
        <v>121</v>
      </c>
      <c r="DH55" s="39" t="s">
        <v>121</v>
      </c>
      <c r="DI55" s="39" t="s">
        <v>121</v>
      </c>
      <c r="DJ55" s="39" t="s">
        <v>121</v>
      </c>
      <c r="DK55" s="39" t="s">
        <v>121</v>
      </c>
      <c r="DL55" s="39" t="s">
        <v>121</v>
      </c>
      <c r="DM55" s="39" t="s">
        <v>121</v>
      </c>
      <c r="DN55" s="39" t="s">
        <v>121</v>
      </c>
      <c r="DO55" s="39" t="s">
        <v>121</v>
      </c>
      <c r="DP55" s="39" t="s">
        <v>121</v>
      </c>
      <c r="DQ55" s="39" t="s">
        <v>121</v>
      </c>
      <c r="DR55" s="39" t="s">
        <v>121</v>
      </c>
      <c r="DS55" s="39" t="s">
        <v>121</v>
      </c>
      <c r="DT55" s="39" t="s">
        <v>121</v>
      </c>
      <c r="DU55" s="39" t="s">
        <v>121</v>
      </c>
      <c r="DV55" s="39" t="s">
        <v>121</v>
      </c>
      <c r="DW55" s="39" t="s">
        <v>121</v>
      </c>
      <c r="DX55" s="39" t="s">
        <v>121</v>
      </c>
      <c r="DY55" s="39" t="s">
        <v>121</v>
      </c>
      <c r="DZ55" s="39" t="s">
        <v>121</v>
      </c>
      <c r="EA55" s="39" t="s">
        <v>121</v>
      </c>
      <c r="EB55" s="39" t="s">
        <v>121</v>
      </c>
      <c r="EC55" s="39" t="s">
        <v>121</v>
      </c>
      <c r="ED55" s="39" t="s">
        <v>121</v>
      </c>
      <c r="EE55" s="39" t="s">
        <v>121</v>
      </c>
      <c r="EF55" s="39" t="s">
        <v>121</v>
      </c>
      <c r="EG55" s="39" t="s">
        <v>121</v>
      </c>
      <c r="EH55" s="39" t="s">
        <v>121</v>
      </c>
      <c r="EI55" s="39" t="s">
        <v>121</v>
      </c>
      <c r="EJ55" s="39" t="s">
        <v>121</v>
      </c>
      <c r="EK55" s="39" t="s">
        <v>121</v>
      </c>
      <c r="EL55" s="39" t="s">
        <v>121</v>
      </c>
      <c r="EM55" s="39" t="s">
        <v>121</v>
      </c>
      <c r="EN55" s="39" t="s">
        <v>121</v>
      </c>
      <c r="EO55" s="39" t="s">
        <v>121</v>
      </c>
      <c r="EP55" s="39" t="s">
        <v>121</v>
      </c>
      <c r="EQ55" s="39" t="s">
        <v>121</v>
      </c>
      <c r="ER55" s="39" t="s">
        <v>121</v>
      </c>
      <c r="ES55" s="39" t="s">
        <v>121</v>
      </c>
      <c r="ET55" s="39" t="s">
        <v>121</v>
      </c>
      <c r="EU55" s="39" t="s">
        <v>121</v>
      </c>
    </row>
    <row r="56" spans="1:151" s="39" customFormat="1" ht="15" customHeight="1" x14ac:dyDescent="0.25">
      <c r="A56" s="72">
        <v>57</v>
      </c>
      <c r="B56" s="5" t="s">
        <v>26</v>
      </c>
      <c r="C56" s="91" t="s">
        <v>121</v>
      </c>
      <c r="D56" s="86" t="s">
        <v>121</v>
      </c>
      <c r="E56" s="92" t="s">
        <v>121</v>
      </c>
      <c r="F56" s="290">
        <v>8.0749941608872168E-4</v>
      </c>
      <c r="G56" s="290">
        <v>1.4869533123212668E-3</v>
      </c>
      <c r="H56" s="290">
        <v>9.6476393778935983E-4</v>
      </c>
      <c r="I56" s="290">
        <v>1.0251665016650167E-3</v>
      </c>
      <c r="J56" s="335"/>
      <c r="K56" s="335"/>
      <c r="L56" s="335"/>
      <c r="M56" s="290">
        <v>8.1986612978326144E-4</v>
      </c>
      <c r="N56" s="335"/>
      <c r="O56" s="335"/>
      <c r="P56" s="335"/>
      <c r="Q56" s="335"/>
      <c r="R56" s="335"/>
      <c r="S56" s="335"/>
      <c r="T56" s="335"/>
      <c r="U56" s="127">
        <v>1.0333060989090211E-3</v>
      </c>
      <c r="V56" s="127">
        <v>8.4745737108832177E-4</v>
      </c>
      <c r="W56" s="127">
        <v>8.9525087161754094E-4</v>
      </c>
      <c r="X56" s="127" t="s">
        <v>121</v>
      </c>
      <c r="Y56" s="13">
        <v>7.3969188991654779E-4</v>
      </c>
      <c r="Z56" s="13" t="s">
        <v>121</v>
      </c>
      <c r="AA56" s="13">
        <v>1.681787688314995E-3</v>
      </c>
      <c r="AB56" s="13" t="s">
        <v>121</v>
      </c>
      <c r="AC56" s="13">
        <v>1.4157363652450385E-3</v>
      </c>
      <c r="AD56" s="13" t="s">
        <v>121</v>
      </c>
      <c r="AE56" s="13">
        <v>1.3757394183292276E-3</v>
      </c>
      <c r="AF56" s="13" t="s">
        <v>121</v>
      </c>
      <c r="AG56" s="86">
        <v>1.3155375875325466E-3</v>
      </c>
      <c r="AH56" s="13" t="s">
        <v>121</v>
      </c>
      <c r="AI56" s="86">
        <v>1.9186941994922947E-3</v>
      </c>
      <c r="AJ56" s="13" t="s">
        <v>121</v>
      </c>
      <c r="AK56" s="13">
        <v>3.2995889522705341E-3</v>
      </c>
      <c r="AL56" s="127" t="s">
        <v>121</v>
      </c>
      <c r="AM56" s="13">
        <v>2.3566420948219445E-3</v>
      </c>
      <c r="AN56" s="13" t="s">
        <v>121</v>
      </c>
      <c r="AO56" s="13">
        <v>1.230928181521439E-3</v>
      </c>
      <c r="AP56" s="13" t="s">
        <v>121</v>
      </c>
      <c r="AQ56" s="13">
        <v>1.3540796570434331E-3</v>
      </c>
      <c r="AR56" s="13" t="s">
        <v>121</v>
      </c>
      <c r="AS56" s="13">
        <v>1.6950620569595033E-3</v>
      </c>
      <c r="AT56" s="13" t="s">
        <v>121</v>
      </c>
      <c r="AU56" s="13">
        <v>8.8281597626838862E-4</v>
      </c>
      <c r="AV56" s="13" t="s">
        <v>121</v>
      </c>
      <c r="AW56" s="13">
        <v>2.3276516170742051E-3</v>
      </c>
      <c r="AX56" s="13" t="s">
        <v>121</v>
      </c>
      <c r="AY56" s="13">
        <v>1.7785096561627669E-3</v>
      </c>
      <c r="AZ56" s="13" t="s">
        <v>121</v>
      </c>
      <c r="BA56" s="13">
        <v>1.9667417054607516E-3</v>
      </c>
      <c r="BB56" s="13" t="s">
        <v>121</v>
      </c>
      <c r="BC56" s="13">
        <v>3.281702234802176E-3</v>
      </c>
      <c r="BD56" s="13" t="s">
        <v>121</v>
      </c>
      <c r="BE56" s="13">
        <v>3.4894811339559405E-3</v>
      </c>
      <c r="BF56" s="13" t="s">
        <v>121</v>
      </c>
      <c r="BG56" s="1">
        <v>2.9941418423135085E-3</v>
      </c>
      <c r="BH56" s="13" t="s">
        <v>121</v>
      </c>
      <c r="BI56" s="13">
        <v>6.9993990813262243E-3</v>
      </c>
      <c r="BJ56" s="13" t="s">
        <v>121</v>
      </c>
      <c r="BK56" s="13">
        <v>2.8922096773305399E-3</v>
      </c>
      <c r="BL56" s="13" t="s">
        <v>121</v>
      </c>
      <c r="BM56" s="39">
        <v>3.6813333789623729E-3</v>
      </c>
      <c r="BN56" s="39" t="s">
        <v>121</v>
      </c>
      <c r="BO56" s="39">
        <v>1.0323179933701434E-2</v>
      </c>
      <c r="BP56" s="39" t="s">
        <v>121</v>
      </c>
      <c r="BQ56" s="39">
        <v>5.9518285679907197E-3</v>
      </c>
      <c r="BR56" s="39" t="s">
        <v>121</v>
      </c>
      <c r="BS56" s="39" t="s">
        <v>121</v>
      </c>
      <c r="BT56" s="39" t="s">
        <v>121</v>
      </c>
      <c r="BU56" s="39" t="s">
        <v>121</v>
      </c>
      <c r="BV56" s="39" t="s">
        <v>121</v>
      </c>
      <c r="BW56" s="39" t="s">
        <v>121</v>
      </c>
      <c r="BX56" s="39" t="s">
        <v>121</v>
      </c>
      <c r="BY56" s="39" t="s">
        <v>121</v>
      </c>
      <c r="BZ56" s="39" t="s">
        <v>121</v>
      </c>
      <c r="CA56" s="39" t="s">
        <v>121</v>
      </c>
      <c r="CB56" s="39" t="s">
        <v>121</v>
      </c>
      <c r="CC56" s="39" t="s">
        <v>121</v>
      </c>
      <c r="CD56" s="39" t="s">
        <v>121</v>
      </c>
      <c r="CE56" s="39" t="s">
        <v>121</v>
      </c>
      <c r="CF56" s="39" t="s">
        <v>121</v>
      </c>
      <c r="CG56" s="39" t="s">
        <v>121</v>
      </c>
      <c r="CH56" s="39" t="s">
        <v>121</v>
      </c>
      <c r="CI56" s="39" t="s">
        <v>121</v>
      </c>
      <c r="CJ56" s="39" t="s">
        <v>121</v>
      </c>
      <c r="CK56" s="39" t="s">
        <v>121</v>
      </c>
      <c r="CL56" s="39" t="s">
        <v>121</v>
      </c>
      <c r="CM56" s="39" t="s">
        <v>121</v>
      </c>
      <c r="CN56" s="39" t="s">
        <v>121</v>
      </c>
      <c r="CO56" s="39" t="s">
        <v>121</v>
      </c>
      <c r="CP56" s="39" t="s">
        <v>121</v>
      </c>
      <c r="CQ56" s="39" t="s">
        <v>121</v>
      </c>
      <c r="CR56" s="39" t="s">
        <v>121</v>
      </c>
      <c r="CS56" s="39" t="s">
        <v>121</v>
      </c>
      <c r="CT56" s="39" t="s">
        <v>121</v>
      </c>
      <c r="CU56" s="39" t="s">
        <v>121</v>
      </c>
      <c r="CV56" s="39" t="s">
        <v>121</v>
      </c>
      <c r="CW56" s="39" t="s">
        <v>121</v>
      </c>
      <c r="CX56" s="39" t="s">
        <v>121</v>
      </c>
      <c r="CY56" s="39" t="s">
        <v>121</v>
      </c>
      <c r="CZ56" s="39" t="s">
        <v>121</v>
      </c>
      <c r="DA56" s="39" t="s">
        <v>121</v>
      </c>
      <c r="DB56" s="39" t="s">
        <v>121</v>
      </c>
      <c r="DC56" s="39" t="s">
        <v>121</v>
      </c>
      <c r="DD56" s="39" t="s">
        <v>121</v>
      </c>
      <c r="DE56" s="39" t="s">
        <v>121</v>
      </c>
      <c r="DF56" s="39" t="s">
        <v>121</v>
      </c>
      <c r="DG56" s="39" t="s">
        <v>121</v>
      </c>
      <c r="DH56" s="39" t="s">
        <v>121</v>
      </c>
      <c r="DI56" s="39" t="s">
        <v>121</v>
      </c>
      <c r="DJ56" s="39" t="s">
        <v>121</v>
      </c>
      <c r="DK56" s="39" t="s">
        <v>121</v>
      </c>
      <c r="DL56" s="39" t="s">
        <v>121</v>
      </c>
      <c r="DM56" s="39" t="s">
        <v>121</v>
      </c>
      <c r="DN56" s="39" t="s">
        <v>121</v>
      </c>
      <c r="DO56" s="39" t="s">
        <v>121</v>
      </c>
      <c r="DP56" s="39" t="s">
        <v>121</v>
      </c>
      <c r="DQ56" s="39" t="s">
        <v>121</v>
      </c>
      <c r="DR56" s="39" t="s">
        <v>121</v>
      </c>
      <c r="DS56" s="39" t="s">
        <v>121</v>
      </c>
      <c r="DT56" s="39" t="s">
        <v>121</v>
      </c>
      <c r="DU56" s="39" t="s">
        <v>121</v>
      </c>
      <c r="DV56" s="39" t="s">
        <v>121</v>
      </c>
      <c r="DW56" s="39" t="s">
        <v>121</v>
      </c>
      <c r="DX56" s="39" t="s">
        <v>121</v>
      </c>
      <c r="DY56" s="39" t="s">
        <v>121</v>
      </c>
      <c r="DZ56" s="39" t="s">
        <v>121</v>
      </c>
      <c r="EA56" s="39" t="s">
        <v>121</v>
      </c>
      <c r="EB56" s="39" t="s">
        <v>121</v>
      </c>
      <c r="EC56" s="39" t="s">
        <v>121</v>
      </c>
      <c r="ED56" s="39" t="s">
        <v>121</v>
      </c>
      <c r="EE56" s="39" t="s">
        <v>121</v>
      </c>
      <c r="EF56" s="39" t="s">
        <v>121</v>
      </c>
      <c r="EG56" s="39" t="s">
        <v>121</v>
      </c>
      <c r="EH56" s="39" t="s">
        <v>121</v>
      </c>
      <c r="EI56" s="39" t="s">
        <v>121</v>
      </c>
      <c r="EJ56" s="39" t="s">
        <v>121</v>
      </c>
      <c r="EK56" s="39" t="s">
        <v>121</v>
      </c>
      <c r="EL56" s="39" t="s">
        <v>121</v>
      </c>
      <c r="EM56" s="39" t="s">
        <v>121</v>
      </c>
      <c r="EN56" s="39" t="s">
        <v>121</v>
      </c>
      <c r="EO56" s="39" t="s">
        <v>121</v>
      </c>
      <c r="EP56" s="39" t="s">
        <v>121</v>
      </c>
      <c r="EQ56" s="39" t="s">
        <v>121</v>
      </c>
      <c r="ER56" s="39" t="s">
        <v>121</v>
      </c>
      <c r="ES56" s="39" t="s">
        <v>121</v>
      </c>
      <c r="ET56" s="39" t="s">
        <v>121</v>
      </c>
      <c r="EU56" s="39" t="s">
        <v>121</v>
      </c>
    </row>
    <row r="57" spans="1:151" ht="15" customHeight="1" x14ac:dyDescent="0.25">
      <c r="A57" s="72">
        <v>56</v>
      </c>
      <c r="B57" s="5" t="s">
        <v>385</v>
      </c>
      <c r="C57" s="91" t="s">
        <v>121</v>
      </c>
      <c r="D57" s="86" t="s">
        <v>121</v>
      </c>
      <c r="E57" s="92" t="s">
        <v>121</v>
      </c>
      <c r="F57" s="290">
        <v>2.9764804058154044E-3</v>
      </c>
      <c r="G57" s="290">
        <v>3.0548924746886027E-3</v>
      </c>
      <c r="H57" s="290">
        <v>3.0204319259238724E-3</v>
      </c>
      <c r="I57" s="290">
        <v>2.4272117721177212E-3</v>
      </c>
      <c r="J57" s="335"/>
      <c r="K57" s="335"/>
      <c r="L57" s="335"/>
      <c r="M57" s="290">
        <v>3.5439873647800978E-3</v>
      </c>
      <c r="N57" s="335"/>
      <c r="O57" s="335"/>
      <c r="P57" s="335"/>
      <c r="Q57" s="335"/>
      <c r="R57" s="335"/>
      <c r="S57" s="335"/>
      <c r="T57" s="335"/>
      <c r="U57" s="127">
        <v>2.9036702391823264E-3</v>
      </c>
      <c r="V57" s="127">
        <v>2.7971358692371545E-3</v>
      </c>
      <c r="W57" s="127">
        <v>2.8895307465007687E-3</v>
      </c>
      <c r="X57" s="127" t="s">
        <v>121</v>
      </c>
      <c r="Y57" s="13">
        <v>2.3927754400964161E-3</v>
      </c>
      <c r="Z57" s="13" t="s">
        <v>121</v>
      </c>
      <c r="AA57" s="13">
        <v>3.5324615294397665E-3</v>
      </c>
      <c r="AB57" s="13" t="s">
        <v>121</v>
      </c>
      <c r="AC57" s="13">
        <v>2.1686229454851548E-3</v>
      </c>
      <c r="AD57" s="13" t="s">
        <v>121</v>
      </c>
      <c r="AE57" s="13">
        <v>2.179131589809881E-3</v>
      </c>
      <c r="AF57" s="13" t="s">
        <v>121</v>
      </c>
      <c r="AG57" s="86">
        <v>1.8491485974493306E-3</v>
      </c>
      <c r="AH57" s="13" t="s">
        <v>121</v>
      </c>
      <c r="AI57" s="86">
        <v>2.0363504413649946E-3</v>
      </c>
      <c r="AJ57" s="13" t="s">
        <v>121</v>
      </c>
      <c r="AK57" s="13">
        <v>2.2161890235033502E-3</v>
      </c>
      <c r="AL57" s="127" t="s">
        <v>121</v>
      </c>
      <c r="AM57" s="13">
        <v>2.2919984242784287E-3</v>
      </c>
      <c r="AN57" s="13" t="s">
        <v>121</v>
      </c>
      <c r="AO57" s="13">
        <v>1.643804646393614E-3</v>
      </c>
      <c r="AP57" s="13" t="s">
        <v>121</v>
      </c>
      <c r="AQ57" s="13">
        <v>1.5103959996131313E-3</v>
      </c>
      <c r="AR57" s="13" t="s">
        <v>121</v>
      </c>
      <c r="AS57" s="13">
        <v>1.5277411555452904E-3</v>
      </c>
      <c r="AT57" s="13" t="s">
        <v>121</v>
      </c>
      <c r="AU57" s="13">
        <v>1.8271013724367059E-3</v>
      </c>
      <c r="AV57" s="13" t="s">
        <v>121</v>
      </c>
      <c r="AW57" s="13">
        <v>1.5173507957267005E-3</v>
      </c>
      <c r="AX57" s="13" t="s">
        <v>121</v>
      </c>
      <c r="AY57" s="13">
        <v>2.886009717091095E-3</v>
      </c>
      <c r="AZ57" s="13" t="s">
        <v>121</v>
      </c>
      <c r="BA57" s="13">
        <v>3.0587693525310155E-3</v>
      </c>
      <c r="BB57" s="13" t="s">
        <v>121</v>
      </c>
      <c r="BC57" s="13">
        <v>2.5904449324735011E-3</v>
      </c>
      <c r="BD57" s="13" t="s">
        <v>121</v>
      </c>
      <c r="BE57" s="13">
        <v>2.36069887810833E-3</v>
      </c>
      <c r="BF57" s="13" t="s">
        <v>121</v>
      </c>
      <c r="BG57" s="1">
        <v>2.5990637060350611E-3</v>
      </c>
      <c r="BH57" s="13" t="s">
        <v>121</v>
      </c>
      <c r="BI57" s="13">
        <v>2.1796590241968243E-3</v>
      </c>
      <c r="BJ57" s="13" t="s">
        <v>121</v>
      </c>
      <c r="BK57" s="13">
        <v>2.2471040912432462E-3</v>
      </c>
      <c r="BL57" s="13" t="s">
        <v>121</v>
      </c>
      <c r="BM57" s="1">
        <v>4.2377813909804116E-3</v>
      </c>
      <c r="BN57" s="1" t="s">
        <v>121</v>
      </c>
      <c r="BO57" s="1">
        <v>2.164590528786607E-3</v>
      </c>
      <c r="BP57" s="1" t="s">
        <v>121</v>
      </c>
      <c r="BQ57" s="1">
        <v>1.6941219323221277E-3</v>
      </c>
      <c r="BR57" s="1" t="s">
        <v>121</v>
      </c>
      <c r="BS57" s="1" t="s">
        <v>121</v>
      </c>
      <c r="BT57" s="1" t="s">
        <v>121</v>
      </c>
      <c r="BU57" s="1" t="s">
        <v>121</v>
      </c>
      <c r="BV57" s="1" t="s">
        <v>121</v>
      </c>
      <c r="BW57" s="1" t="s">
        <v>121</v>
      </c>
      <c r="BX57" s="1" t="s">
        <v>121</v>
      </c>
      <c r="BY57" s="1" t="s">
        <v>121</v>
      </c>
      <c r="BZ57" s="1" t="s">
        <v>121</v>
      </c>
      <c r="CA57" s="1" t="s">
        <v>121</v>
      </c>
      <c r="CB57" s="1" t="s">
        <v>121</v>
      </c>
      <c r="CC57" s="1" t="s">
        <v>121</v>
      </c>
      <c r="CD57" s="1" t="s">
        <v>121</v>
      </c>
      <c r="CE57" s="1" t="s">
        <v>121</v>
      </c>
      <c r="CF57" s="1" t="s">
        <v>121</v>
      </c>
      <c r="CG57" s="1" t="s">
        <v>121</v>
      </c>
      <c r="CH57" s="1" t="s">
        <v>121</v>
      </c>
      <c r="CI57" s="1" t="s">
        <v>121</v>
      </c>
      <c r="CJ57" s="1" t="s">
        <v>121</v>
      </c>
      <c r="CK57" s="1" t="s">
        <v>121</v>
      </c>
      <c r="CL57" s="1" t="s">
        <v>121</v>
      </c>
      <c r="CM57" s="1" t="s">
        <v>121</v>
      </c>
      <c r="CN57" s="1" t="s">
        <v>121</v>
      </c>
      <c r="CO57" s="1" t="s">
        <v>121</v>
      </c>
      <c r="CP57" s="1" t="s">
        <v>121</v>
      </c>
      <c r="CQ57" s="1" t="s">
        <v>121</v>
      </c>
      <c r="CR57" s="1" t="s">
        <v>121</v>
      </c>
      <c r="CS57" s="1" t="s">
        <v>121</v>
      </c>
      <c r="CT57" s="1" t="s">
        <v>121</v>
      </c>
      <c r="CU57" s="1" t="s">
        <v>121</v>
      </c>
      <c r="CV57" s="1" t="s">
        <v>121</v>
      </c>
      <c r="CW57" s="1" t="s">
        <v>121</v>
      </c>
      <c r="CX57" s="1" t="s">
        <v>121</v>
      </c>
      <c r="CY57" s="1" t="s">
        <v>121</v>
      </c>
      <c r="CZ57" s="1" t="s">
        <v>121</v>
      </c>
      <c r="DA57" s="1" t="s">
        <v>121</v>
      </c>
      <c r="DB57" s="1" t="s">
        <v>121</v>
      </c>
      <c r="DC57" s="1" t="s">
        <v>121</v>
      </c>
      <c r="DD57" s="1" t="s">
        <v>121</v>
      </c>
      <c r="DE57" s="1" t="s">
        <v>121</v>
      </c>
      <c r="DF57" s="1" t="s">
        <v>121</v>
      </c>
      <c r="DG57" s="1" t="s">
        <v>121</v>
      </c>
      <c r="DH57" s="1" t="s">
        <v>121</v>
      </c>
      <c r="DI57" s="1" t="s">
        <v>121</v>
      </c>
      <c r="DJ57" s="1" t="s">
        <v>121</v>
      </c>
      <c r="DK57" s="1" t="s">
        <v>121</v>
      </c>
      <c r="DL57" s="1" t="s">
        <v>121</v>
      </c>
      <c r="DM57" s="1" t="s">
        <v>121</v>
      </c>
      <c r="DN57" s="1" t="s">
        <v>121</v>
      </c>
      <c r="DO57" s="1" t="s">
        <v>121</v>
      </c>
      <c r="DP57" s="1" t="s">
        <v>121</v>
      </c>
      <c r="DQ57" s="1" t="s">
        <v>121</v>
      </c>
      <c r="DR57" s="1" t="s">
        <v>121</v>
      </c>
      <c r="DS57" s="1" t="s">
        <v>121</v>
      </c>
      <c r="DT57" s="1" t="s">
        <v>121</v>
      </c>
      <c r="DU57" s="1" t="s">
        <v>121</v>
      </c>
      <c r="DV57" s="1" t="s">
        <v>121</v>
      </c>
      <c r="DW57" s="1" t="s">
        <v>121</v>
      </c>
      <c r="DX57" s="1" t="s">
        <v>121</v>
      </c>
      <c r="DY57" s="1" t="s">
        <v>121</v>
      </c>
      <c r="DZ57" s="1" t="s">
        <v>121</v>
      </c>
      <c r="EA57" s="1" t="s">
        <v>121</v>
      </c>
      <c r="EB57" s="1" t="s">
        <v>121</v>
      </c>
      <c r="EC57" s="1" t="s">
        <v>121</v>
      </c>
      <c r="ED57" s="1" t="s">
        <v>121</v>
      </c>
      <c r="EE57" s="1" t="s">
        <v>121</v>
      </c>
      <c r="EF57" s="1" t="s">
        <v>121</v>
      </c>
      <c r="EG57" s="1" t="s">
        <v>121</v>
      </c>
      <c r="EH57" s="1" t="s">
        <v>121</v>
      </c>
      <c r="EI57" s="1" t="s">
        <v>121</v>
      </c>
      <c r="EJ57" s="1" t="s">
        <v>121</v>
      </c>
      <c r="EK57" s="1" t="s">
        <v>121</v>
      </c>
      <c r="EL57" s="1" t="s">
        <v>121</v>
      </c>
      <c r="EM57" s="1" t="s">
        <v>121</v>
      </c>
      <c r="EN57" s="1" t="s">
        <v>121</v>
      </c>
      <c r="EO57" s="1" t="s">
        <v>121</v>
      </c>
      <c r="EP57" s="1" t="s">
        <v>121</v>
      </c>
      <c r="EQ57" s="1" t="s">
        <v>121</v>
      </c>
      <c r="ER57" s="1" t="s">
        <v>121</v>
      </c>
      <c r="ES57" s="1" t="s">
        <v>121</v>
      </c>
      <c r="ET57" s="1" t="s">
        <v>121</v>
      </c>
      <c r="EU57" s="1" t="s">
        <v>121</v>
      </c>
    </row>
    <row r="58" spans="1:151" ht="15" customHeight="1" x14ac:dyDescent="0.25">
      <c r="A58" s="72">
        <v>58</v>
      </c>
      <c r="B58" s="40" t="s">
        <v>386</v>
      </c>
      <c r="C58" s="91" t="s">
        <v>121</v>
      </c>
      <c r="D58" s="86" t="s">
        <v>121</v>
      </c>
      <c r="E58" s="92" t="s">
        <v>121</v>
      </c>
      <c r="F58" s="290">
        <v>2.8285953383340396E-4</v>
      </c>
      <c r="G58" s="290">
        <v>8.0985850046069003E-4</v>
      </c>
      <c r="H58" s="290">
        <v>6.9169138643231402E-4</v>
      </c>
      <c r="I58" s="290">
        <v>3.7547250472504725E-4</v>
      </c>
      <c r="J58" s="335"/>
      <c r="K58" s="335"/>
      <c r="L58" s="335"/>
      <c r="M58" s="290">
        <v>4.7335667115788304E-4</v>
      </c>
      <c r="N58" s="335"/>
      <c r="O58" s="335"/>
      <c r="P58" s="335"/>
      <c r="Q58" s="335"/>
      <c r="R58" s="335"/>
      <c r="S58" s="335"/>
      <c r="T58" s="335"/>
      <c r="U58" s="127">
        <v>4.2934268915909707E-3</v>
      </c>
      <c r="V58" s="127">
        <v>3.7766774373956657E-3</v>
      </c>
      <c r="W58" s="127">
        <v>4.1104114680635337E-3</v>
      </c>
      <c r="X58" s="127" t="s">
        <v>121</v>
      </c>
      <c r="Y58" s="13">
        <v>5.2662528216922385E-3</v>
      </c>
      <c r="Z58" s="13" t="s">
        <v>121</v>
      </c>
      <c r="AA58" s="13">
        <v>3.7125467472362999E-3</v>
      </c>
      <c r="AB58" s="13" t="s">
        <v>121</v>
      </c>
      <c r="AC58" s="13">
        <v>6.8648998789179834E-3</v>
      </c>
      <c r="AD58" s="13" t="s">
        <v>121</v>
      </c>
      <c r="AE58" s="13">
        <v>3.9031205203323232E-3</v>
      </c>
      <c r="AF58" s="13" t="s">
        <v>121</v>
      </c>
      <c r="AG58" s="86">
        <v>2.6744736131928183E-3</v>
      </c>
      <c r="AH58" s="13" t="s">
        <v>121</v>
      </c>
      <c r="AI58" s="86">
        <v>4.2646856215292411E-3</v>
      </c>
      <c r="AJ58" s="13" t="s">
        <v>121</v>
      </c>
      <c r="AK58" s="13">
        <v>4.1713942823613376E-3</v>
      </c>
      <c r="AL58" s="127" t="s">
        <v>121</v>
      </c>
      <c r="AM58" s="13">
        <v>3.4756602075288511E-3</v>
      </c>
      <c r="AN58" s="13" t="s">
        <v>121</v>
      </c>
      <c r="AO58" s="13">
        <v>2.2672257048215946E-3</v>
      </c>
      <c r="AP58" s="13" t="s">
        <v>121</v>
      </c>
      <c r="AQ58" s="13">
        <v>2.5421001337942047E-3</v>
      </c>
      <c r="AR58" s="13" t="s">
        <v>121</v>
      </c>
      <c r="AS58" s="13">
        <v>2.7993456065632232E-3</v>
      </c>
      <c r="AT58" s="13" t="s">
        <v>121</v>
      </c>
      <c r="AU58" s="13">
        <v>2.9010423878969168E-3</v>
      </c>
      <c r="AV58" s="13" t="s">
        <v>121</v>
      </c>
      <c r="AW58" s="13">
        <v>3.1856570462514681E-3</v>
      </c>
      <c r="AX58" s="13" t="s">
        <v>121</v>
      </c>
      <c r="AY58" s="41">
        <v>3.9915822763383138E-3</v>
      </c>
      <c r="AZ58" s="41" t="s">
        <v>121</v>
      </c>
      <c r="BA58" s="41">
        <v>2.7461203304230044E-3</v>
      </c>
      <c r="BB58" s="41" t="s">
        <v>121</v>
      </c>
      <c r="BC58" s="41">
        <v>4.1424207597155907E-3</v>
      </c>
      <c r="BD58" s="41" t="s">
        <v>121</v>
      </c>
      <c r="BE58" s="41">
        <v>4.5770195177098063E-3</v>
      </c>
      <c r="BF58" s="41" t="s">
        <v>121</v>
      </c>
      <c r="BG58" s="39">
        <v>5.4746967954083878E-3</v>
      </c>
      <c r="BH58" s="41" t="s">
        <v>121</v>
      </c>
      <c r="BI58" s="41">
        <v>1.5838739417922725E-2</v>
      </c>
      <c r="BJ58" s="41" t="s">
        <v>121</v>
      </c>
      <c r="BK58" s="41">
        <v>1.1391332416133301E-3</v>
      </c>
      <c r="BL58" s="41" t="s">
        <v>121</v>
      </c>
      <c r="BM58" s="1">
        <v>1.0562455279422708E-3</v>
      </c>
      <c r="BN58" s="1" t="s">
        <v>121</v>
      </c>
      <c r="BO58" s="1">
        <v>7.8655980296498502E-4</v>
      </c>
      <c r="BP58" s="1" t="s">
        <v>121</v>
      </c>
      <c r="BQ58" s="1">
        <v>7.0824364372296838E-4</v>
      </c>
      <c r="BR58" s="1" t="s">
        <v>121</v>
      </c>
      <c r="BS58" s="1" t="s">
        <v>121</v>
      </c>
      <c r="BT58" s="1" t="s">
        <v>121</v>
      </c>
      <c r="BU58" s="1" t="s">
        <v>121</v>
      </c>
      <c r="BV58" s="1" t="s">
        <v>121</v>
      </c>
      <c r="BW58" s="1" t="s">
        <v>121</v>
      </c>
      <c r="BX58" s="1" t="s">
        <v>121</v>
      </c>
      <c r="BY58" s="1" t="s">
        <v>121</v>
      </c>
      <c r="BZ58" s="1" t="s">
        <v>121</v>
      </c>
      <c r="CA58" s="1" t="s">
        <v>121</v>
      </c>
      <c r="CB58" s="1" t="s">
        <v>121</v>
      </c>
      <c r="CC58" s="1" t="s">
        <v>121</v>
      </c>
      <c r="CD58" s="1" t="s">
        <v>121</v>
      </c>
      <c r="CE58" s="1" t="s">
        <v>121</v>
      </c>
      <c r="CF58" s="1" t="s">
        <v>121</v>
      </c>
      <c r="CG58" s="1" t="s">
        <v>121</v>
      </c>
      <c r="CH58" s="1" t="s">
        <v>121</v>
      </c>
      <c r="CI58" s="1" t="s">
        <v>121</v>
      </c>
      <c r="CJ58" s="1" t="s">
        <v>121</v>
      </c>
      <c r="CK58" s="1" t="s">
        <v>121</v>
      </c>
      <c r="CL58" s="1" t="s">
        <v>121</v>
      </c>
      <c r="CM58" s="1" t="s">
        <v>121</v>
      </c>
      <c r="CN58" s="1" t="s">
        <v>121</v>
      </c>
      <c r="CO58" s="1" t="s">
        <v>121</v>
      </c>
      <c r="CP58" s="1" t="s">
        <v>121</v>
      </c>
      <c r="CQ58" s="1" t="s">
        <v>121</v>
      </c>
      <c r="CR58" s="1" t="s">
        <v>121</v>
      </c>
      <c r="CS58" s="1" t="s">
        <v>121</v>
      </c>
      <c r="CT58" s="1" t="s">
        <v>121</v>
      </c>
      <c r="CU58" s="1" t="s">
        <v>121</v>
      </c>
      <c r="CV58" s="1" t="s">
        <v>121</v>
      </c>
      <c r="CW58" s="1" t="s">
        <v>121</v>
      </c>
      <c r="CX58" s="1" t="s">
        <v>121</v>
      </c>
      <c r="CY58" s="1" t="s">
        <v>121</v>
      </c>
      <c r="CZ58" s="1" t="s">
        <v>121</v>
      </c>
      <c r="DA58" s="1" t="s">
        <v>121</v>
      </c>
      <c r="DB58" s="1" t="s">
        <v>121</v>
      </c>
      <c r="DC58" s="1" t="s">
        <v>121</v>
      </c>
      <c r="DD58" s="1" t="s">
        <v>121</v>
      </c>
      <c r="DE58" s="1" t="s">
        <v>121</v>
      </c>
      <c r="DF58" s="1" t="s">
        <v>121</v>
      </c>
      <c r="DG58" s="1" t="s">
        <v>121</v>
      </c>
      <c r="DH58" s="1" t="s">
        <v>121</v>
      </c>
      <c r="DI58" s="1" t="s">
        <v>121</v>
      </c>
      <c r="DJ58" s="1" t="s">
        <v>121</v>
      </c>
      <c r="DK58" s="1" t="s">
        <v>121</v>
      </c>
      <c r="DL58" s="1" t="s">
        <v>121</v>
      </c>
      <c r="DM58" s="1" t="s">
        <v>121</v>
      </c>
      <c r="DN58" s="1" t="s">
        <v>121</v>
      </c>
      <c r="DO58" s="1" t="s">
        <v>121</v>
      </c>
      <c r="DP58" s="1" t="s">
        <v>121</v>
      </c>
      <c r="DQ58" s="1" t="s">
        <v>121</v>
      </c>
      <c r="DR58" s="1" t="s">
        <v>121</v>
      </c>
      <c r="DS58" s="1" t="s">
        <v>121</v>
      </c>
      <c r="DT58" s="1" t="s">
        <v>121</v>
      </c>
      <c r="DU58" s="1" t="s">
        <v>121</v>
      </c>
      <c r="DV58" s="1" t="s">
        <v>121</v>
      </c>
      <c r="DW58" s="1" t="s">
        <v>121</v>
      </c>
      <c r="DX58" s="1" t="s">
        <v>121</v>
      </c>
      <c r="DY58" s="1" t="s">
        <v>121</v>
      </c>
      <c r="DZ58" s="1" t="s">
        <v>121</v>
      </c>
      <c r="EA58" s="1" t="s">
        <v>121</v>
      </c>
      <c r="EB58" s="1" t="s">
        <v>121</v>
      </c>
      <c r="EC58" s="1" t="s">
        <v>121</v>
      </c>
      <c r="ED58" s="1" t="s">
        <v>121</v>
      </c>
      <c r="EE58" s="1" t="s">
        <v>121</v>
      </c>
      <c r="EF58" s="1" t="s">
        <v>121</v>
      </c>
      <c r="EG58" s="1" t="s">
        <v>121</v>
      </c>
      <c r="EH58" s="1" t="s">
        <v>121</v>
      </c>
      <c r="EI58" s="1" t="s">
        <v>121</v>
      </c>
      <c r="EJ58" s="1" t="s">
        <v>121</v>
      </c>
      <c r="EK58" s="1" t="s">
        <v>121</v>
      </c>
      <c r="EL58" s="1" t="s">
        <v>121</v>
      </c>
      <c r="EM58" s="1" t="s">
        <v>121</v>
      </c>
      <c r="EN58" s="1" t="s">
        <v>121</v>
      </c>
      <c r="EO58" s="1" t="s">
        <v>121</v>
      </c>
      <c r="EP58" s="1" t="s">
        <v>121</v>
      </c>
      <c r="EQ58" s="1" t="s">
        <v>121</v>
      </c>
      <c r="ER58" s="1" t="s">
        <v>121</v>
      </c>
      <c r="ES58" s="1" t="s">
        <v>121</v>
      </c>
      <c r="ET58" s="1" t="s">
        <v>121</v>
      </c>
      <c r="EU58" s="1" t="s">
        <v>121</v>
      </c>
    </row>
    <row r="59" spans="1:151" ht="15" customHeight="1" x14ac:dyDescent="0.25">
      <c r="A59" s="72">
        <v>59</v>
      </c>
      <c r="B59" s="5" t="s">
        <v>7</v>
      </c>
      <c r="C59" s="91" t="s">
        <v>121</v>
      </c>
      <c r="D59" s="86" t="s">
        <v>121</v>
      </c>
      <c r="E59" s="92" t="s">
        <v>121</v>
      </c>
      <c r="F59" s="290">
        <v>1.8283758581148411E-2</v>
      </c>
      <c r="G59" s="290">
        <v>1.5923676810697566E-2</v>
      </c>
      <c r="H59" s="290">
        <v>1.9840037703418259E-2</v>
      </c>
      <c r="I59" s="290">
        <v>3.9947743227432275E-2</v>
      </c>
      <c r="J59" s="335"/>
      <c r="K59" s="335"/>
      <c r="L59" s="335"/>
      <c r="M59" s="290">
        <v>1.8412955741151246E-2</v>
      </c>
      <c r="N59" s="335"/>
      <c r="O59" s="335"/>
      <c r="P59" s="335"/>
      <c r="Q59" s="335"/>
      <c r="R59" s="335"/>
      <c r="S59" s="335"/>
      <c r="T59" s="335"/>
      <c r="U59" s="127">
        <v>2.4737267906633987E-2</v>
      </c>
      <c r="V59" s="127">
        <v>2.1116409182875318E-2</v>
      </c>
      <c r="W59" s="127">
        <v>2.3772952086912911E-2</v>
      </c>
      <c r="X59" s="127" t="s">
        <v>121</v>
      </c>
      <c r="Y59" s="13">
        <v>2.5119442826500485E-2</v>
      </c>
      <c r="Z59" s="13" t="s">
        <v>121</v>
      </c>
      <c r="AA59" s="13">
        <v>2.3014002942282619E-2</v>
      </c>
      <c r="AB59" s="13" t="s">
        <v>121</v>
      </c>
      <c r="AC59" s="13">
        <v>2.1895429873034035E-2</v>
      </c>
      <c r="AD59" s="13" t="s">
        <v>121</v>
      </c>
      <c r="AE59" s="13">
        <v>1.9869415968784943E-2</v>
      </c>
      <c r="AF59" s="13" t="s">
        <v>121</v>
      </c>
      <c r="AG59" s="86">
        <v>2.4409128753050114E-2</v>
      </c>
      <c r="AH59" s="13" t="s">
        <v>121</v>
      </c>
      <c r="AI59" s="86">
        <v>4.3402045247755872E-2</v>
      </c>
      <c r="AJ59" s="13" t="s">
        <v>121</v>
      </c>
      <c r="AK59" s="13">
        <v>2.4722789175989034E-2</v>
      </c>
      <c r="AL59" s="13" t="s">
        <v>121</v>
      </c>
      <c r="AM59" s="13">
        <v>2.7418104468635688E-2</v>
      </c>
      <c r="AN59" s="13" t="s">
        <v>121</v>
      </c>
      <c r="AO59" s="13">
        <v>2.5942766504579801E-2</v>
      </c>
      <c r="AP59" s="13" t="s">
        <v>121</v>
      </c>
      <c r="AQ59" s="13">
        <v>2.3044315482716807E-2</v>
      </c>
      <c r="AR59" s="13" t="s">
        <v>121</v>
      </c>
      <c r="AS59" s="13">
        <v>2.7848034278102472E-2</v>
      </c>
      <c r="AT59" s="13" t="s">
        <v>121</v>
      </c>
      <c r="AU59" s="13">
        <v>4.1452495759618381E-2</v>
      </c>
      <c r="AV59" s="13" t="s">
        <v>121</v>
      </c>
      <c r="AW59" s="13">
        <v>4.6560685955175728E-2</v>
      </c>
      <c r="AX59" s="13" t="s">
        <v>121</v>
      </c>
      <c r="AY59" s="13">
        <v>3.8186672570270218E-2</v>
      </c>
      <c r="AZ59" s="13" t="s">
        <v>121</v>
      </c>
      <c r="BA59" s="13">
        <v>3.9908632372634999E-2</v>
      </c>
      <c r="BB59" s="13" t="s">
        <v>121</v>
      </c>
      <c r="BC59" s="13">
        <v>6.4230336086106024E-2</v>
      </c>
      <c r="BD59" s="13" t="s">
        <v>121</v>
      </c>
      <c r="BE59" s="13">
        <v>4.418768993265404E-2</v>
      </c>
      <c r="BF59" s="13" t="s">
        <v>121</v>
      </c>
      <c r="BG59" s="1">
        <v>4.6995607809219631E-2</v>
      </c>
      <c r="BH59" s="13" t="s">
        <v>121</v>
      </c>
      <c r="BI59" s="13">
        <v>4.5457960416825732E-2</v>
      </c>
      <c r="BJ59" s="13" t="s">
        <v>121</v>
      </c>
      <c r="BK59" s="13">
        <v>8.0355092411224169E-2</v>
      </c>
      <c r="BL59" s="13" t="s">
        <v>121</v>
      </c>
      <c r="BM59" s="1">
        <v>2.744531975873583E-2</v>
      </c>
      <c r="BN59" s="1" t="s">
        <v>121</v>
      </c>
      <c r="BO59" s="1">
        <v>4.6119868182766241E-2</v>
      </c>
      <c r="BP59" s="1" t="s">
        <v>121</v>
      </c>
      <c r="BQ59" s="1">
        <v>6.2146385308407145E-2</v>
      </c>
      <c r="BR59" s="1" t="s">
        <v>121</v>
      </c>
      <c r="BS59" s="1" t="s">
        <v>121</v>
      </c>
      <c r="BT59" s="1" t="s">
        <v>121</v>
      </c>
      <c r="BU59" s="1" t="s">
        <v>121</v>
      </c>
      <c r="BV59" s="1" t="s">
        <v>121</v>
      </c>
      <c r="BW59" s="1" t="s">
        <v>121</v>
      </c>
      <c r="BX59" s="1" t="s">
        <v>121</v>
      </c>
      <c r="BY59" s="1" t="s">
        <v>121</v>
      </c>
      <c r="BZ59" s="1" t="s">
        <v>121</v>
      </c>
      <c r="CA59" s="1" t="s">
        <v>121</v>
      </c>
      <c r="CB59" s="1" t="s">
        <v>121</v>
      </c>
      <c r="CC59" s="1" t="s">
        <v>121</v>
      </c>
      <c r="CD59" s="1" t="s">
        <v>121</v>
      </c>
      <c r="CE59" s="1" t="s">
        <v>121</v>
      </c>
      <c r="CF59" s="1" t="s">
        <v>121</v>
      </c>
      <c r="CG59" s="1" t="s">
        <v>121</v>
      </c>
      <c r="CH59" s="1" t="s">
        <v>121</v>
      </c>
      <c r="CI59" s="1" t="s">
        <v>121</v>
      </c>
      <c r="CJ59" s="1" t="s">
        <v>121</v>
      </c>
      <c r="CK59" s="1" t="s">
        <v>121</v>
      </c>
      <c r="CL59" s="1" t="s">
        <v>121</v>
      </c>
      <c r="CM59" s="1" t="s">
        <v>121</v>
      </c>
      <c r="CN59" s="1" t="s">
        <v>121</v>
      </c>
      <c r="CO59" s="1" t="s">
        <v>121</v>
      </c>
      <c r="CP59" s="1" t="s">
        <v>121</v>
      </c>
      <c r="CQ59" s="1" t="s">
        <v>121</v>
      </c>
      <c r="CR59" s="1" t="s">
        <v>121</v>
      </c>
      <c r="CS59" s="1" t="s">
        <v>121</v>
      </c>
      <c r="CT59" s="1" t="s">
        <v>121</v>
      </c>
      <c r="CU59" s="1" t="s">
        <v>121</v>
      </c>
      <c r="CV59" s="1" t="s">
        <v>121</v>
      </c>
      <c r="CW59" s="1" t="s">
        <v>121</v>
      </c>
      <c r="CX59" s="1" t="s">
        <v>121</v>
      </c>
      <c r="CY59" s="1" t="s">
        <v>121</v>
      </c>
      <c r="CZ59" s="1" t="s">
        <v>121</v>
      </c>
      <c r="DA59" s="1" t="s">
        <v>121</v>
      </c>
      <c r="DB59" s="1" t="s">
        <v>121</v>
      </c>
      <c r="DC59" s="1" t="s">
        <v>121</v>
      </c>
      <c r="DD59" s="1" t="s">
        <v>121</v>
      </c>
      <c r="DE59" s="1" t="s">
        <v>121</v>
      </c>
      <c r="DF59" s="1" t="s">
        <v>121</v>
      </c>
      <c r="DG59" s="1" t="s">
        <v>121</v>
      </c>
      <c r="DH59" s="1" t="s">
        <v>121</v>
      </c>
      <c r="DI59" s="1" t="s">
        <v>121</v>
      </c>
      <c r="DJ59" s="1" t="s">
        <v>121</v>
      </c>
      <c r="DK59" s="1" t="s">
        <v>121</v>
      </c>
      <c r="DL59" s="1" t="s">
        <v>121</v>
      </c>
      <c r="DM59" s="1" t="s">
        <v>121</v>
      </c>
      <c r="DN59" s="1" t="s">
        <v>121</v>
      </c>
      <c r="DO59" s="1" t="s">
        <v>121</v>
      </c>
      <c r="DP59" s="1" t="s">
        <v>121</v>
      </c>
      <c r="DQ59" s="1" t="s">
        <v>121</v>
      </c>
      <c r="DR59" s="1" t="s">
        <v>121</v>
      </c>
      <c r="DS59" s="1" t="s">
        <v>121</v>
      </c>
      <c r="DT59" s="1" t="s">
        <v>121</v>
      </c>
      <c r="DU59" s="1" t="s">
        <v>121</v>
      </c>
      <c r="DV59" s="1" t="s">
        <v>121</v>
      </c>
      <c r="DW59" s="1" t="s">
        <v>121</v>
      </c>
      <c r="DX59" s="1" t="s">
        <v>121</v>
      </c>
      <c r="DY59" s="1" t="s">
        <v>121</v>
      </c>
      <c r="DZ59" s="1" t="s">
        <v>121</v>
      </c>
      <c r="EA59" s="1" t="s">
        <v>121</v>
      </c>
      <c r="EB59" s="1" t="s">
        <v>121</v>
      </c>
      <c r="EC59" s="1" t="s">
        <v>121</v>
      </c>
      <c r="ED59" s="1" t="s">
        <v>121</v>
      </c>
      <c r="EE59" s="1" t="s">
        <v>121</v>
      </c>
      <c r="EF59" s="1" t="s">
        <v>121</v>
      </c>
      <c r="EG59" s="1" t="s">
        <v>121</v>
      </c>
      <c r="EH59" s="1" t="s">
        <v>121</v>
      </c>
      <c r="EI59" s="1" t="s">
        <v>121</v>
      </c>
      <c r="EJ59" s="1" t="s">
        <v>121</v>
      </c>
      <c r="EK59" s="1" t="s">
        <v>121</v>
      </c>
      <c r="EL59" s="1" t="s">
        <v>121</v>
      </c>
      <c r="EM59" s="1" t="s">
        <v>121</v>
      </c>
      <c r="EN59" s="1" t="s">
        <v>121</v>
      </c>
      <c r="EO59" s="1" t="s">
        <v>121</v>
      </c>
      <c r="EP59" s="1" t="s">
        <v>121</v>
      </c>
      <c r="EQ59" s="1" t="s">
        <v>121</v>
      </c>
      <c r="ER59" s="1" t="s">
        <v>121</v>
      </c>
      <c r="ES59" s="1" t="s">
        <v>121</v>
      </c>
      <c r="ET59" s="1" t="s">
        <v>121</v>
      </c>
      <c r="EU59" s="1" t="s">
        <v>121</v>
      </c>
    </row>
    <row r="60" spans="1:151" s="20" customFormat="1" ht="26.1" customHeight="1" x14ac:dyDescent="0.25">
      <c r="A60" s="72">
        <v>60</v>
      </c>
      <c r="B60" s="21" t="s">
        <v>377</v>
      </c>
      <c r="C60" s="91" t="s">
        <v>121</v>
      </c>
      <c r="D60" s="86" t="s">
        <v>121</v>
      </c>
      <c r="E60" s="94" t="s">
        <v>121</v>
      </c>
      <c r="F60" s="20">
        <v>852013</v>
      </c>
      <c r="G60" s="20">
        <v>753218</v>
      </c>
      <c r="H60" s="20">
        <v>721420</v>
      </c>
      <c r="I60" s="20">
        <v>711104</v>
      </c>
      <c r="J60" s="20">
        <v>614943</v>
      </c>
      <c r="K60" s="20">
        <v>650375</v>
      </c>
      <c r="L60" s="20">
        <v>643804</v>
      </c>
      <c r="M60" s="20">
        <v>646447</v>
      </c>
      <c r="N60" s="20">
        <v>607559</v>
      </c>
      <c r="O60" s="20">
        <v>574351</v>
      </c>
      <c r="P60" s="20">
        <v>583039</v>
      </c>
      <c r="Q60" s="20">
        <v>641226</v>
      </c>
      <c r="R60" s="20">
        <v>599854</v>
      </c>
      <c r="S60" s="20">
        <v>605585</v>
      </c>
      <c r="T60" s="20">
        <v>591986</v>
      </c>
      <c r="U60" s="20">
        <v>499368</v>
      </c>
      <c r="V60" s="20">
        <v>486568.42700000003</v>
      </c>
      <c r="W60" s="20">
        <v>486558.58799999999</v>
      </c>
      <c r="X60" s="20">
        <v>477669.11799999996</v>
      </c>
      <c r="Y60" s="20">
        <v>470921.75100000005</v>
      </c>
      <c r="Z60" s="20">
        <v>466372.70999999996</v>
      </c>
      <c r="AA60" s="20">
        <v>423249.62</v>
      </c>
      <c r="AB60" s="20">
        <v>425884.47100000002</v>
      </c>
      <c r="AC60" s="20">
        <v>410343.348</v>
      </c>
      <c r="AD60" s="20">
        <v>409591.81800000003</v>
      </c>
      <c r="AE60" s="20">
        <v>393252.52500000002</v>
      </c>
      <c r="AF60" s="20" t="s">
        <v>121</v>
      </c>
      <c r="AG60" s="123">
        <v>406788.83299999998</v>
      </c>
      <c r="AH60" s="20" t="s">
        <v>121</v>
      </c>
      <c r="AI60" s="123">
        <v>354668.81599999999</v>
      </c>
      <c r="AJ60" s="20" t="s">
        <v>121</v>
      </c>
      <c r="AK60" s="20">
        <v>352972.14800000004</v>
      </c>
      <c r="AL60" s="153" t="s">
        <v>121</v>
      </c>
      <c r="AM60" s="20">
        <v>315405.97600000002</v>
      </c>
      <c r="AN60" s="20" t="s">
        <v>121</v>
      </c>
      <c r="AO60" s="20">
        <v>349944.86800000002</v>
      </c>
      <c r="AP60" s="20" t="s">
        <v>121</v>
      </c>
      <c r="AQ60" s="20">
        <v>331833.50599999999</v>
      </c>
      <c r="AR60" s="20" t="s">
        <v>121</v>
      </c>
      <c r="AS60" s="20">
        <v>325583.94999999995</v>
      </c>
      <c r="AT60" s="153" t="s">
        <v>121</v>
      </c>
      <c r="AU60" s="153">
        <v>298506.152</v>
      </c>
      <c r="AV60" s="153" t="s">
        <v>121</v>
      </c>
      <c r="AW60" s="20">
        <v>308481.73100000003</v>
      </c>
      <c r="AX60" s="20" t="s">
        <v>121</v>
      </c>
      <c r="AY60" s="20">
        <v>259403.14600000001</v>
      </c>
      <c r="AZ60" s="20" t="s">
        <v>121</v>
      </c>
      <c r="BA60" s="20">
        <v>253127.29100000003</v>
      </c>
      <c r="BB60" s="20" t="s">
        <v>121</v>
      </c>
      <c r="BC60" s="20">
        <v>242238.30899999998</v>
      </c>
      <c r="BD60" s="20" t="s">
        <v>121</v>
      </c>
      <c r="BE60" s="20">
        <v>222796.734</v>
      </c>
      <c r="BF60" s="20" t="s">
        <v>121</v>
      </c>
      <c r="BG60" s="20">
        <v>217865.764</v>
      </c>
      <c r="BH60" s="20" t="s">
        <v>121</v>
      </c>
      <c r="BI60" s="20">
        <v>226702.89</v>
      </c>
      <c r="BJ60" s="20" t="s">
        <v>121</v>
      </c>
      <c r="BK60" s="20">
        <v>201942.136</v>
      </c>
      <c r="BL60" s="20" t="s">
        <v>121</v>
      </c>
      <c r="BM60" s="20">
        <v>191807.67599999998</v>
      </c>
      <c r="BN60" s="20" t="s">
        <v>121</v>
      </c>
      <c r="BO60" s="20">
        <v>166175.54</v>
      </c>
      <c r="BP60" s="20" t="s">
        <v>121</v>
      </c>
      <c r="BQ60" s="20">
        <v>175990.28399999999</v>
      </c>
      <c r="BR60" s="20" t="s">
        <v>121</v>
      </c>
      <c r="BS60" s="20" t="s">
        <v>121</v>
      </c>
      <c r="BT60" s="20" t="s">
        <v>121</v>
      </c>
      <c r="BU60" s="20" t="s">
        <v>121</v>
      </c>
      <c r="BV60" s="20" t="s">
        <v>121</v>
      </c>
      <c r="BW60" s="20" t="s">
        <v>121</v>
      </c>
      <c r="BX60" s="20" t="s">
        <v>121</v>
      </c>
      <c r="BY60" s="20" t="s">
        <v>121</v>
      </c>
      <c r="BZ60" s="20" t="s">
        <v>121</v>
      </c>
      <c r="CA60" s="20" t="s">
        <v>121</v>
      </c>
      <c r="CB60" s="20" t="s">
        <v>121</v>
      </c>
      <c r="CC60" s="20" t="s">
        <v>121</v>
      </c>
      <c r="CD60" s="20" t="s">
        <v>121</v>
      </c>
      <c r="CE60" s="20" t="s">
        <v>121</v>
      </c>
      <c r="CF60" s="20" t="s">
        <v>121</v>
      </c>
      <c r="CG60" s="20" t="s">
        <v>121</v>
      </c>
      <c r="CH60" s="20" t="s">
        <v>121</v>
      </c>
      <c r="CI60" s="20" t="s">
        <v>121</v>
      </c>
      <c r="CJ60" s="20" t="s">
        <v>121</v>
      </c>
      <c r="CK60" s="20" t="s">
        <v>121</v>
      </c>
      <c r="CL60" s="20" t="s">
        <v>121</v>
      </c>
      <c r="CM60" s="20" t="s">
        <v>121</v>
      </c>
      <c r="CN60" s="20" t="s">
        <v>121</v>
      </c>
      <c r="CO60" s="20" t="s">
        <v>121</v>
      </c>
      <c r="CP60" s="20" t="s">
        <v>121</v>
      </c>
      <c r="CQ60" s="20" t="s">
        <v>121</v>
      </c>
      <c r="CR60" s="20" t="s">
        <v>121</v>
      </c>
      <c r="CS60" s="20" t="s">
        <v>121</v>
      </c>
      <c r="CT60" s="20" t="s">
        <v>121</v>
      </c>
      <c r="CU60" s="20" t="s">
        <v>121</v>
      </c>
      <c r="CV60" s="20" t="s">
        <v>121</v>
      </c>
      <c r="CW60" s="20" t="s">
        <v>121</v>
      </c>
      <c r="CX60" s="20" t="s">
        <v>121</v>
      </c>
      <c r="CY60" s="20" t="s">
        <v>121</v>
      </c>
      <c r="CZ60" s="20" t="s">
        <v>121</v>
      </c>
      <c r="DA60" s="20" t="s">
        <v>121</v>
      </c>
      <c r="DB60" s="20" t="s">
        <v>121</v>
      </c>
      <c r="DC60" s="20" t="s">
        <v>121</v>
      </c>
      <c r="DD60" s="20" t="s">
        <v>121</v>
      </c>
      <c r="DE60" s="20" t="s">
        <v>121</v>
      </c>
      <c r="DF60" s="20" t="s">
        <v>121</v>
      </c>
      <c r="DG60" s="20" t="s">
        <v>121</v>
      </c>
      <c r="DH60" s="20" t="s">
        <v>121</v>
      </c>
      <c r="DI60" s="20" t="s">
        <v>121</v>
      </c>
      <c r="DJ60" s="20" t="s">
        <v>121</v>
      </c>
      <c r="DK60" s="20" t="s">
        <v>121</v>
      </c>
      <c r="DL60" s="20" t="s">
        <v>121</v>
      </c>
      <c r="DM60" s="20" t="s">
        <v>121</v>
      </c>
      <c r="DN60" s="20" t="s">
        <v>121</v>
      </c>
      <c r="DO60" s="20" t="s">
        <v>121</v>
      </c>
      <c r="DP60" s="20" t="s">
        <v>121</v>
      </c>
      <c r="DQ60" s="20" t="s">
        <v>121</v>
      </c>
      <c r="DR60" s="20" t="s">
        <v>121</v>
      </c>
      <c r="DS60" s="20" t="s">
        <v>121</v>
      </c>
      <c r="DT60" s="20" t="s">
        <v>121</v>
      </c>
      <c r="DU60" s="20" t="s">
        <v>121</v>
      </c>
      <c r="DV60" s="20" t="s">
        <v>121</v>
      </c>
      <c r="DW60" s="20" t="s">
        <v>121</v>
      </c>
      <c r="DX60" s="20" t="s">
        <v>121</v>
      </c>
      <c r="DY60" s="20" t="s">
        <v>121</v>
      </c>
      <c r="DZ60" s="20" t="s">
        <v>121</v>
      </c>
      <c r="EA60" s="20" t="s">
        <v>121</v>
      </c>
      <c r="EB60" s="20" t="s">
        <v>121</v>
      </c>
      <c r="EC60" s="20" t="s">
        <v>121</v>
      </c>
      <c r="ED60" s="20" t="s">
        <v>121</v>
      </c>
      <c r="EE60" s="20" t="s">
        <v>121</v>
      </c>
      <c r="EF60" s="20" t="s">
        <v>121</v>
      </c>
      <c r="EG60" s="20" t="s">
        <v>121</v>
      </c>
      <c r="EH60" s="20" t="s">
        <v>121</v>
      </c>
      <c r="EI60" s="20" t="s">
        <v>121</v>
      </c>
      <c r="EJ60" s="20" t="s">
        <v>121</v>
      </c>
      <c r="EK60" s="20" t="s">
        <v>121</v>
      </c>
      <c r="EL60" s="20" t="s">
        <v>121</v>
      </c>
      <c r="EM60" s="20" t="s">
        <v>121</v>
      </c>
      <c r="EN60" s="20" t="s">
        <v>121</v>
      </c>
      <c r="EO60" s="20" t="s">
        <v>121</v>
      </c>
      <c r="EP60" s="20" t="s">
        <v>121</v>
      </c>
      <c r="EQ60" s="20" t="s">
        <v>121</v>
      </c>
      <c r="ER60" s="20" t="s">
        <v>121</v>
      </c>
      <c r="ES60" s="20" t="s">
        <v>121</v>
      </c>
      <c r="ET60" s="20" t="s">
        <v>121</v>
      </c>
      <c r="EU60" s="20" t="s">
        <v>121</v>
      </c>
    </row>
  </sheetData>
  <sortState ref="A47:BL58">
    <sortCondition descending="1" ref="I47:I58"/>
  </sortState>
  <customSheetViews>
    <customSheetView guid="{0284F5E2-DB98-486F-B3F7-128FA2A0A465}" showGridLines="0" fitToPage="1">
      <pane ySplit="5" topLeftCell="A24" activePane="bottomLeft" state="frozen"/>
      <selection pane="bottomLeft" activeCell="C36" sqref="C36:E36"/>
      <pageMargins left="0.23622047244094491" right="0.23622047244094491" top="0.74803149606299213" bottom="0.74803149606299213" header="0.31496062992125984" footer="0.31496062992125984"/>
      <pageSetup paperSize="9" scale="14" orientation="portrait" r:id="rId1"/>
    </customSheetView>
    <customSheetView guid="{E4AC4991-F371-4BAF-8335-AD017EF379C0}" showGridLines="0" fitToPage="1">
      <pane ySplit="5" topLeftCell="A18" activePane="bottomLeft" state="frozen"/>
      <selection pane="bottomLeft" activeCell="G39" sqref="G39"/>
      <pageMargins left="0.23622047244094491" right="0.23622047244094491" top="0.74803149606299213" bottom="0.74803149606299213" header="0.31496062992125984" footer="0.31496062992125984"/>
      <pageSetup paperSize="9" scale="14" orientation="portrait" r:id="rId2"/>
    </customSheetView>
  </customSheetViews>
  <mergeCells count="189">
    <mergeCell ref="BJ27:BJ28"/>
    <mergeCell ref="AX7:AX8"/>
    <mergeCell ref="R27:R28"/>
    <mergeCell ref="R44:R45"/>
    <mergeCell ref="AE44:AE45"/>
    <mergeCell ref="N44:N45"/>
    <mergeCell ref="AG27:AG28"/>
    <mergeCell ref="AF7:AF8"/>
    <mergeCell ref="Z44:Z45"/>
    <mergeCell ref="AG44:AG45"/>
    <mergeCell ref="V44:V45"/>
    <mergeCell ref="W7:W8"/>
    <mergeCell ref="V27:V28"/>
    <mergeCell ref="AE27:AE28"/>
    <mergeCell ref="AF27:AF28"/>
    <mergeCell ref="AD44:AD45"/>
    <mergeCell ref="AF44:AF45"/>
    <mergeCell ref="X27:X28"/>
    <mergeCell ref="X44:X45"/>
    <mergeCell ref="Y7:Y8"/>
    <mergeCell ref="Y27:Y28"/>
    <mergeCell ref="Y44:Y45"/>
    <mergeCell ref="T7:T8"/>
    <mergeCell ref="AT44:AT45"/>
    <mergeCell ref="BH7:BH8"/>
    <mergeCell ref="AY7:AY8"/>
    <mergeCell ref="BG7:BG8"/>
    <mergeCell ref="BE7:BE8"/>
    <mergeCell ref="BD7:BD8"/>
    <mergeCell ref="BD27:BD28"/>
    <mergeCell ref="AZ44:AZ45"/>
    <mergeCell ref="AY44:AY45"/>
    <mergeCell ref="AV44:AV45"/>
    <mergeCell ref="AW27:AW28"/>
    <mergeCell ref="AV27:AV28"/>
    <mergeCell ref="BA44:BA45"/>
    <mergeCell ref="AW44:AW45"/>
    <mergeCell ref="BB44:BB45"/>
    <mergeCell ref="BC44:BC45"/>
    <mergeCell ref="BA7:BA8"/>
    <mergeCell ref="BB7:BB8"/>
    <mergeCell ref="BC7:BC8"/>
    <mergeCell ref="AZ7:AZ8"/>
    <mergeCell ref="BB27:BB28"/>
    <mergeCell ref="BC27:BC28"/>
    <mergeCell ref="AV7:AV8"/>
    <mergeCell ref="AW7:AW8"/>
    <mergeCell ref="AZ27:AZ28"/>
    <mergeCell ref="BL44:BL45"/>
    <mergeCell ref="BL27:BL28"/>
    <mergeCell ref="BF27:BF28"/>
    <mergeCell ref="BG27:BG28"/>
    <mergeCell ref="BE27:BE28"/>
    <mergeCell ref="AX27:AX28"/>
    <mergeCell ref="AY27:AY28"/>
    <mergeCell ref="BL7:BL8"/>
    <mergeCell ref="BK44:BK45"/>
    <mergeCell ref="BE44:BE45"/>
    <mergeCell ref="BF44:BF45"/>
    <mergeCell ref="BG44:BG45"/>
    <mergeCell ref="BH44:BH45"/>
    <mergeCell ref="BI44:BI45"/>
    <mergeCell ref="BD44:BD45"/>
    <mergeCell ref="BJ44:BJ45"/>
    <mergeCell ref="BK7:BK8"/>
    <mergeCell ref="BJ7:BJ8"/>
    <mergeCell ref="BI27:BI28"/>
    <mergeCell ref="BI7:BI8"/>
    <mergeCell ref="AX44:AX45"/>
    <mergeCell ref="BK27:BK28"/>
    <mergeCell ref="BF7:BF8"/>
    <mergeCell ref="BH27:BH28"/>
    <mergeCell ref="C5:E5"/>
    <mergeCell ref="AK7:AK8"/>
    <mergeCell ref="AK27:AK28"/>
    <mergeCell ref="AM27:AM28"/>
    <mergeCell ref="D27:D28"/>
    <mergeCell ref="AL27:AL28"/>
    <mergeCell ref="AJ7:AJ8"/>
    <mergeCell ref="AJ27:AJ28"/>
    <mergeCell ref="AI7:AI8"/>
    <mergeCell ref="AI27:AI28"/>
    <mergeCell ref="AH7:AH8"/>
    <mergeCell ref="AH27:AH28"/>
    <mergeCell ref="C27:C28"/>
    <mergeCell ref="AL7:AL8"/>
    <mergeCell ref="AB7:AB8"/>
    <mergeCell ref="E7:E8"/>
    <mergeCell ref="E27:E28"/>
    <mergeCell ref="Z7:Z8"/>
    <mergeCell ref="N7:N8"/>
    <mergeCell ref="N27:N28"/>
    <mergeCell ref="O7:O8"/>
    <mergeCell ref="D7:D8"/>
    <mergeCell ref="W27:W28"/>
    <mergeCell ref="AG7:AG8"/>
    <mergeCell ref="AN7:AN8"/>
    <mergeCell ref="X7:X8"/>
    <mergeCell ref="AU27:AU28"/>
    <mergeCell ref="AR44:AR45"/>
    <mergeCell ref="AR27:AR28"/>
    <mergeCell ref="AP44:AP45"/>
    <mergeCell ref="AP27:AP28"/>
    <mergeCell ref="W44:W45"/>
    <mergeCell ref="U27:U28"/>
    <mergeCell ref="AU7:AU8"/>
    <mergeCell ref="AO44:AO45"/>
    <mergeCell ref="AQ44:AQ45"/>
    <mergeCell ref="AU44:AU45"/>
    <mergeCell ref="AQ27:AQ28"/>
    <mergeCell ref="AH44:AH45"/>
    <mergeCell ref="AM44:AM45"/>
    <mergeCell ref="AJ44:AJ45"/>
    <mergeCell ref="V7:V8"/>
    <mergeCell ref="AS44:AS45"/>
    <mergeCell ref="AL44:AL45"/>
    <mergeCell ref="AQ7:AQ8"/>
    <mergeCell ref="AM7:AM8"/>
    <mergeCell ref="AI44:AI45"/>
    <mergeCell ref="AE7:AE8"/>
    <mergeCell ref="BA27:BA28"/>
    <mergeCell ref="B7:B8"/>
    <mergeCell ref="B44:B45"/>
    <mergeCell ref="B27:B28"/>
    <mergeCell ref="AT7:AT8"/>
    <mergeCell ref="AT27:AT28"/>
    <mergeCell ref="AS7:AS8"/>
    <mergeCell ref="AS27:AS28"/>
    <mergeCell ref="AD7:AD8"/>
    <mergeCell ref="AD27:AD28"/>
    <mergeCell ref="AC7:AC8"/>
    <mergeCell ref="AC27:AC28"/>
    <mergeCell ref="C7:C8"/>
    <mergeCell ref="AO7:AO8"/>
    <mergeCell ref="AO27:AO28"/>
    <mergeCell ref="AN27:AN28"/>
    <mergeCell ref="AP7:AP8"/>
    <mergeCell ref="AN44:AN45"/>
    <mergeCell ref="E44:E45"/>
    <mergeCell ref="AA44:AA45"/>
    <mergeCell ref="AR7:AR8"/>
    <mergeCell ref="AK44:AK45"/>
    <mergeCell ref="L7:L8"/>
    <mergeCell ref="C44:C45"/>
    <mergeCell ref="U44:U45"/>
    <mergeCell ref="AB44:AB45"/>
    <mergeCell ref="AC44:AC45"/>
    <mergeCell ref="U7:U8"/>
    <mergeCell ref="AA7:AA8"/>
    <mergeCell ref="AA27:AA28"/>
    <mergeCell ref="Z27:Z28"/>
    <mergeCell ref="M7:M8"/>
    <mergeCell ref="M27:M28"/>
    <mergeCell ref="AB27:AB28"/>
    <mergeCell ref="M44:M45"/>
    <mergeCell ref="O27:O28"/>
    <mergeCell ref="P7:P8"/>
    <mergeCell ref="P27:P28"/>
    <mergeCell ref="S7:S8"/>
    <mergeCell ref="S27:S28"/>
    <mergeCell ref="Q27:Q28"/>
    <mergeCell ref="Q44:Q45"/>
    <mergeCell ref="T44:T45"/>
    <mergeCell ref="S44:S45"/>
    <mergeCell ref="P44:P45"/>
    <mergeCell ref="R7:R8"/>
    <mergeCell ref="Q7:Q8"/>
    <mergeCell ref="T27:T28"/>
    <mergeCell ref="F27:F28"/>
    <mergeCell ref="F7:F8"/>
    <mergeCell ref="F44:F45"/>
    <mergeCell ref="G7:G8"/>
    <mergeCell ref="G27:G28"/>
    <mergeCell ref="G44:G45"/>
    <mergeCell ref="H7:H8"/>
    <mergeCell ref="H27:H28"/>
    <mergeCell ref="H44:H45"/>
    <mergeCell ref="I7:I8"/>
    <mergeCell ref="I27:I28"/>
    <mergeCell ref="I44:I45"/>
    <mergeCell ref="J7:J8"/>
    <mergeCell ref="J27:J28"/>
    <mergeCell ref="J44:J45"/>
    <mergeCell ref="K7:K8"/>
    <mergeCell ref="O44:O45"/>
    <mergeCell ref="K27:K28"/>
    <mergeCell ref="K44:K45"/>
    <mergeCell ref="L27:L28"/>
    <mergeCell ref="L44:L45"/>
  </mergeCells>
  <phoneticPr fontId="14" type="noConversion"/>
  <hyperlinks>
    <hyperlink ref="C5" location="Contents!A1" display="Contents!A1"/>
    <hyperlink ref="F5" location="'Key Financials'!A1" display="Key financial and operational results"/>
    <hyperlink ref="H5" location="'Loan Portfolio IFRS 9'!A1" display="Loan portfolio"/>
    <hyperlink ref="J5" location="Capital!A1" display="Capital"/>
    <hyperlink ref="G5" location="'Assets and Liabili-s structure'!A1" display="Assets and Liabilities structure"/>
    <hyperlink ref="K5" location="'Income and Expenses structure'!A1" display="Income and Expenses structure"/>
  </hyperlinks>
  <pageMargins left="0.23622047244094491" right="0.23622047244094491" top="0.74803149606299213" bottom="0.74803149606299213" header="0.31496062992125984" footer="0.31496062992125984"/>
  <pageSetup paperSize="9" scale="13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EW42"/>
  <sheetViews>
    <sheetView showGridLines="0" zoomScale="85" zoomScaleNormal="85" workbookViewId="0">
      <pane ySplit="5" topLeftCell="A35" activePane="bottomLeft" state="frozen"/>
      <selection activeCell="A5" sqref="A5:XFD5"/>
      <selection pane="bottomLeft" activeCell="F49" sqref="F49"/>
    </sheetView>
  </sheetViews>
  <sheetFormatPr defaultColWidth="9.140625" defaultRowHeight="15" outlineLevelRow="1" x14ac:dyDescent="0.25"/>
  <cols>
    <col min="1" max="1" width="5.7109375" style="1" customWidth="1"/>
    <col min="2" max="2" width="54.42578125" style="1" customWidth="1"/>
    <col min="3" max="3" width="8.7109375" style="1" customWidth="1"/>
    <col min="4" max="4" width="7.85546875" style="1" customWidth="1"/>
    <col min="5" max="5" width="8.7109375" style="1" customWidth="1"/>
    <col min="6" max="22" width="16.7109375" style="1" customWidth="1"/>
    <col min="23" max="23" width="15.7109375" style="1" customWidth="1"/>
    <col min="24" max="37" width="16.7109375" style="1" customWidth="1"/>
    <col min="38" max="42" width="16.5703125" style="1" customWidth="1"/>
    <col min="43" max="16384" width="9.140625" style="1"/>
  </cols>
  <sheetData>
    <row r="1" spans="1:153" ht="22.5" customHeight="1" x14ac:dyDescent="0.25">
      <c r="A1" s="307">
        <v>1</v>
      </c>
      <c r="B1" s="358">
        <v>2</v>
      </c>
      <c r="C1" s="359">
        <v>3</v>
      </c>
      <c r="D1" s="358">
        <v>4</v>
      </c>
      <c r="E1" s="359">
        <v>5</v>
      </c>
      <c r="F1" s="358">
        <v>6</v>
      </c>
      <c r="G1" s="359">
        <v>7</v>
      </c>
      <c r="H1" s="358">
        <v>8</v>
      </c>
      <c r="I1" s="359">
        <v>9</v>
      </c>
      <c r="J1" s="358">
        <v>10</v>
      </c>
      <c r="K1" s="359">
        <v>11</v>
      </c>
      <c r="L1" s="358">
        <v>12</v>
      </c>
      <c r="M1" s="359">
        <v>13</v>
      </c>
      <c r="N1" s="358">
        <v>14</v>
      </c>
      <c r="O1" s="359">
        <v>15</v>
      </c>
      <c r="P1" s="358">
        <v>16</v>
      </c>
      <c r="Q1" s="359">
        <v>17</v>
      </c>
      <c r="R1" s="358">
        <v>18</v>
      </c>
      <c r="S1" s="359">
        <v>19</v>
      </c>
      <c r="T1" s="358">
        <v>20</v>
      </c>
      <c r="U1" s="359">
        <v>21</v>
      </c>
      <c r="V1" s="358">
        <v>22</v>
      </c>
      <c r="W1" s="359">
        <v>23</v>
      </c>
      <c r="X1" s="358">
        <v>24</v>
      </c>
      <c r="Y1" s="359">
        <v>25</v>
      </c>
      <c r="Z1" s="358">
        <v>26</v>
      </c>
      <c r="AA1" s="359">
        <v>27</v>
      </c>
      <c r="AB1" s="358">
        <v>28</v>
      </c>
      <c r="AC1" s="359">
        <v>29</v>
      </c>
      <c r="AD1" s="358">
        <v>30</v>
      </c>
      <c r="AE1" s="359">
        <v>31</v>
      </c>
      <c r="AF1" s="358">
        <v>32</v>
      </c>
      <c r="AG1" s="359">
        <v>33</v>
      </c>
      <c r="AH1" s="358">
        <v>34</v>
      </c>
      <c r="AI1" s="359">
        <v>35</v>
      </c>
      <c r="AJ1" s="358">
        <v>36</v>
      </c>
      <c r="AK1" s="359">
        <v>37</v>
      </c>
      <c r="AL1" s="358">
        <v>38</v>
      </c>
      <c r="AM1" s="359">
        <v>39</v>
      </c>
      <c r="AN1" s="358">
        <v>40</v>
      </c>
      <c r="AO1" s="359">
        <v>41</v>
      </c>
      <c r="AP1" s="358">
        <v>42</v>
      </c>
      <c r="AQ1" s="359">
        <v>43</v>
      </c>
      <c r="AR1" s="358">
        <v>44</v>
      </c>
      <c r="AS1" s="359">
        <v>45</v>
      </c>
      <c r="AT1" s="358">
        <v>46</v>
      </c>
      <c r="AU1" s="359">
        <v>47</v>
      </c>
      <c r="AV1" s="358">
        <v>48</v>
      </c>
      <c r="AW1" s="359">
        <v>49</v>
      </c>
      <c r="AX1" s="358">
        <v>50</v>
      </c>
      <c r="AY1" s="359">
        <v>51</v>
      </c>
      <c r="AZ1" s="358">
        <v>52</v>
      </c>
      <c r="BA1" s="359">
        <v>53</v>
      </c>
      <c r="BB1" s="358">
        <v>54</v>
      </c>
      <c r="BC1" s="359">
        <v>55</v>
      </c>
      <c r="BD1" s="358">
        <v>56</v>
      </c>
      <c r="BE1" s="359">
        <v>57</v>
      </c>
      <c r="BF1" s="358">
        <v>58</v>
      </c>
      <c r="BG1" s="359">
        <v>59</v>
      </c>
      <c r="BH1" s="358">
        <v>60</v>
      </c>
      <c r="BI1" s="359">
        <v>61</v>
      </c>
      <c r="BJ1" s="358">
        <v>62</v>
      </c>
      <c r="BK1" s="359">
        <v>63</v>
      </c>
      <c r="BL1" s="358">
        <v>64</v>
      </c>
      <c r="BM1" s="359">
        <v>65</v>
      </c>
      <c r="BN1" s="358">
        <v>66</v>
      </c>
      <c r="BO1" s="359">
        <v>67</v>
      </c>
      <c r="BP1" s="358">
        <v>68</v>
      </c>
      <c r="BQ1" s="359">
        <v>69</v>
      </c>
      <c r="BR1" s="358">
        <v>70</v>
      </c>
      <c r="BS1" s="359">
        <v>71</v>
      </c>
      <c r="BT1" s="358">
        <v>72</v>
      </c>
      <c r="BU1" s="359">
        <v>73</v>
      </c>
      <c r="BV1" s="358">
        <v>74</v>
      </c>
      <c r="BW1" s="359">
        <v>75</v>
      </c>
      <c r="BX1" s="358">
        <v>76</v>
      </c>
      <c r="BY1" s="359">
        <v>77</v>
      </c>
      <c r="BZ1" s="358">
        <v>78</v>
      </c>
      <c r="CA1" s="359">
        <v>79</v>
      </c>
      <c r="CB1" s="358">
        <v>80</v>
      </c>
      <c r="CC1" s="359">
        <v>81</v>
      </c>
      <c r="CD1" s="358">
        <v>82</v>
      </c>
      <c r="CE1" s="359">
        <v>83</v>
      </c>
      <c r="CF1" s="358">
        <v>84</v>
      </c>
      <c r="CG1" s="359">
        <v>85</v>
      </c>
      <c r="CH1" s="358">
        <v>86</v>
      </c>
      <c r="CI1" s="359">
        <v>87</v>
      </c>
      <c r="CJ1" s="358">
        <v>88</v>
      </c>
      <c r="CK1" s="359">
        <v>89</v>
      </c>
      <c r="CL1" s="358">
        <v>90</v>
      </c>
      <c r="CM1" s="359">
        <v>91</v>
      </c>
      <c r="CN1" s="358">
        <v>92</v>
      </c>
      <c r="CO1" s="359">
        <v>93</v>
      </c>
      <c r="CP1" s="358">
        <v>94</v>
      </c>
      <c r="CQ1" s="359">
        <v>95</v>
      </c>
      <c r="CR1" s="358">
        <v>96</v>
      </c>
      <c r="CS1" s="359">
        <v>97</v>
      </c>
      <c r="CT1" s="358">
        <v>98</v>
      </c>
      <c r="CU1" s="359">
        <v>99</v>
      </c>
      <c r="CV1" s="358">
        <v>100</v>
      </c>
      <c r="CW1" s="359">
        <v>101</v>
      </c>
      <c r="CX1" s="358">
        <v>102</v>
      </c>
      <c r="CY1" s="359">
        <v>103</v>
      </c>
      <c r="CZ1" s="358">
        <v>104</v>
      </c>
      <c r="DA1" s="359">
        <v>105</v>
      </c>
      <c r="DB1" s="358">
        <v>106</v>
      </c>
      <c r="DC1" s="359">
        <v>107</v>
      </c>
      <c r="DD1" s="358">
        <v>108</v>
      </c>
      <c r="DE1" s="359">
        <v>109</v>
      </c>
      <c r="DF1" s="358">
        <v>110</v>
      </c>
      <c r="DG1" s="359">
        <v>111</v>
      </c>
      <c r="DH1" s="358">
        <v>112</v>
      </c>
      <c r="DI1" s="359">
        <v>113</v>
      </c>
      <c r="DJ1" s="358">
        <v>114</v>
      </c>
      <c r="DK1" s="359">
        <v>115</v>
      </c>
      <c r="DL1" s="358">
        <v>116</v>
      </c>
      <c r="DM1" s="359">
        <v>117</v>
      </c>
      <c r="DN1" s="358">
        <v>118</v>
      </c>
      <c r="DO1" s="359">
        <v>119</v>
      </c>
      <c r="DP1" s="358">
        <v>120</v>
      </c>
      <c r="DQ1" s="359">
        <v>121</v>
      </c>
      <c r="DR1" s="358">
        <v>122</v>
      </c>
      <c r="DS1" s="359">
        <v>123</v>
      </c>
      <c r="DT1" s="358">
        <v>124</v>
      </c>
      <c r="DU1" s="359">
        <v>125</v>
      </c>
      <c r="DV1" s="358">
        <v>126</v>
      </c>
      <c r="DW1" s="359">
        <v>127</v>
      </c>
      <c r="DX1" s="358">
        <v>128</v>
      </c>
      <c r="DY1" s="359">
        <v>129</v>
      </c>
      <c r="DZ1" s="358">
        <v>130</v>
      </c>
      <c r="EA1" s="359">
        <v>131</v>
      </c>
      <c r="EB1" s="358">
        <v>132</v>
      </c>
      <c r="EC1" s="359">
        <v>133</v>
      </c>
      <c r="ED1" s="358">
        <v>134</v>
      </c>
      <c r="EE1" s="359">
        <v>135</v>
      </c>
      <c r="EF1" s="358">
        <v>136</v>
      </c>
      <c r="EG1" s="359">
        <v>137</v>
      </c>
      <c r="EH1" s="358">
        <v>138</v>
      </c>
      <c r="EI1" s="359">
        <v>139</v>
      </c>
      <c r="EJ1" s="358">
        <v>140</v>
      </c>
      <c r="EK1" s="359">
        <v>141</v>
      </c>
      <c r="EL1" s="358">
        <v>142</v>
      </c>
      <c r="EM1" s="359">
        <v>143</v>
      </c>
      <c r="EN1" s="358">
        <v>144</v>
      </c>
      <c r="EO1" s="359">
        <v>145</v>
      </c>
      <c r="EP1" s="358">
        <v>146</v>
      </c>
      <c r="EQ1" s="359">
        <v>147</v>
      </c>
      <c r="ER1" s="358">
        <v>148</v>
      </c>
      <c r="ES1" s="359">
        <v>149</v>
      </c>
      <c r="ET1" s="358">
        <v>150</v>
      </c>
      <c r="EU1" s="359">
        <v>151</v>
      </c>
      <c r="EV1" s="358">
        <v>152</v>
      </c>
      <c r="EW1" s="359">
        <v>153</v>
      </c>
    </row>
    <row r="2" spans="1:153" x14ac:dyDescent="0.25">
      <c r="A2" s="72">
        <v>2</v>
      </c>
    </row>
    <row r="3" spans="1:153" x14ac:dyDescent="0.25">
      <c r="A3" s="72">
        <v>3</v>
      </c>
    </row>
    <row r="4" spans="1:153" x14ac:dyDescent="0.25">
      <c r="A4" s="72">
        <v>4</v>
      </c>
      <c r="C4" s="6"/>
      <c r="D4" s="6"/>
    </row>
    <row r="5" spans="1:153" ht="51" customHeight="1" thickBot="1" x14ac:dyDescent="0.3">
      <c r="A5" s="72">
        <v>5</v>
      </c>
      <c r="B5" s="121" t="s">
        <v>2</v>
      </c>
      <c r="C5" s="454" t="s">
        <v>3</v>
      </c>
      <c r="D5" s="454"/>
      <c r="E5" s="454"/>
      <c r="F5" s="7" t="s">
        <v>0</v>
      </c>
      <c r="G5" s="47" t="s">
        <v>53</v>
      </c>
      <c r="H5" s="47" t="s">
        <v>56</v>
      </c>
      <c r="I5" s="119" t="s">
        <v>1</v>
      </c>
      <c r="J5" s="118" t="s">
        <v>2</v>
      </c>
      <c r="K5" s="59" t="s">
        <v>63</v>
      </c>
    </row>
    <row r="6" spans="1:153" ht="15.75" thickTop="1" x14ac:dyDescent="0.25">
      <c r="A6" s="72">
        <v>6</v>
      </c>
      <c r="B6" s="162"/>
    </row>
    <row r="7" spans="1:153" ht="15.75" hidden="1" customHeight="1" outlineLevel="1" x14ac:dyDescent="0.25">
      <c r="A7" s="72">
        <v>7</v>
      </c>
      <c r="B7" s="426" t="s">
        <v>387</v>
      </c>
      <c r="C7" s="436" t="s">
        <v>121</v>
      </c>
      <c r="D7" s="438" t="s">
        <v>121</v>
      </c>
      <c r="E7" s="434" t="s">
        <v>121</v>
      </c>
      <c r="F7" s="416">
        <v>45930</v>
      </c>
      <c r="G7" s="416">
        <v>45838</v>
      </c>
      <c r="H7" s="416">
        <v>45747</v>
      </c>
      <c r="I7" s="416">
        <v>45657</v>
      </c>
      <c r="J7" s="416">
        <v>45565</v>
      </c>
      <c r="K7" s="416">
        <v>45473</v>
      </c>
      <c r="L7" s="416">
        <v>45291</v>
      </c>
      <c r="M7" s="416">
        <v>45199</v>
      </c>
      <c r="N7" s="416">
        <v>45107</v>
      </c>
      <c r="O7" s="416">
        <v>45016</v>
      </c>
      <c r="P7" s="416">
        <v>44926</v>
      </c>
      <c r="Q7" s="416">
        <v>44834</v>
      </c>
      <c r="R7" s="416">
        <v>44742</v>
      </c>
      <c r="S7" s="416">
        <v>44651</v>
      </c>
      <c r="T7" s="416">
        <v>44561</v>
      </c>
      <c r="U7" s="416">
        <v>44469</v>
      </c>
      <c r="V7" s="416">
        <v>44377</v>
      </c>
      <c r="W7" s="416">
        <v>44286</v>
      </c>
      <c r="X7" s="416">
        <v>44196</v>
      </c>
      <c r="Y7" s="416">
        <v>44104</v>
      </c>
      <c r="Z7" s="416">
        <v>44012</v>
      </c>
      <c r="AA7" s="416">
        <v>43921</v>
      </c>
      <c r="AB7" s="416">
        <v>43830</v>
      </c>
      <c r="AC7" s="416">
        <v>43738</v>
      </c>
      <c r="AD7" s="416">
        <v>43646</v>
      </c>
      <c r="AE7" s="416">
        <v>43555</v>
      </c>
      <c r="AF7" s="416">
        <v>43465</v>
      </c>
      <c r="AG7" s="416">
        <v>43373</v>
      </c>
      <c r="AH7" s="416">
        <v>43281</v>
      </c>
      <c r="AI7" s="416">
        <v>43190</v>
      </c>
      <c r="AJ7" s="416">
        <v>43100</v>
      </c>
      <c r="AK7" s="416">
        <v>43008</v>
      </c>
      <c r="AL7" s="416">
        <v>42916</v>
      </c>
      <c r="AM7" s="416">
        <v>42825</v>
      </c>
      <c r="AN7" s="416">
        <v>42735</v>
      </c>
      <c r="AO7" s="416">
        <v>42643</v>
      </c>
      <c r="AP7" s="416">
        <v>42551</v>
      </c>
      <c r="AQ7" s="416">
        <v>42460</v>
      </c>
      <c r="AR7" s="416">
        <v>42369</v>
      </c>
      <c r="AS7" s="421">
        <v>42277</v>
      </c>
      <c r="AT7" s="421">
        <v>42185</v>
      </c>
      <c r="AU7" s="421">
        <v>42094</v>
      </c>
      <c r="AV7" s="416">
        <v>42004</v>
      </c>
      <c r="AW7" s="416">
        <v>41912</v>
      </c>
      <c r="AX7" s="416">
        <v>41820</v>
      </c>
      <c r="AY7" s="416">
        <v>41729</v>
      </c>
      <c r="AZ7" s="416">
        <v>41639</v>
      </c>
      <c r="BA7" s="416">
        <v>41547</v>
      </c>
      <c r="BB7" s="416">
        <v>41455</v>
      </c>
      <c r="BC7" s="416">
        <v>41364</v>
      </c>
      <c r="BD7" s="416">
        <v>41274</v>
      </c>
      <c r="BE7" s="416">
        <v>41182</v>
      </c>
      <c r="BF7" s="416">
        <v>41090</v>
      </c>
      <c r="BG7" s="416">
        <v>40999</v>
      </c>
      <c r="BH7" s="416">
        <v>40908</v>
      </c>
      <c r="BI7" s="416">
        <v>40816</v>
      </c>
      <c r="BJ7" s="416">
        <v>40724</v>
      </c>
      <c r="BK7" s="416">
        <v>40633</v>
      </c>
      <c r="BL7" s="416">
        <v>40543</v>
      </c>
      <c r="BM7" s="1">
        <v>40451</v>
      </c>
      <c r="BN7" s="1">
        <v>40359</v>
      </c>
      <c r="BO7" s="1">
        <v>40268</v>
      </c>
      <c r="BP7" s="1">
        <v>40178</v>
      </c>
      <c r="BQ7" s="1" t="s">
        <v>121</v>
      </c>
      <c r="BR7" s="1" t="s">
        <v>121</v>
      </c>
      <c r="BS7" s="1" t="s">
        <v>121</v>
      </c>
      <c r="BT7" s="1" t="s">
        <v>121</v>
      </c>
      <c r="BU7" s="1" t="s">
        <v>121</v>
      </c>
      <c r="BV7" s="1" t="s">
        <v>121</v>
      </c>
      <c r="BW7" s="1" t="s">
        <v>121</v>
      </c>
      <c r="BX7" s="1" t="s">
        <v>121</v>
      </c>
      <c r="BY7" s="1" t="s">
        <v>121</v>
      </c>
      <c r="BZ7" s="1" t="s">
        <v>121</v>
      </c>
      <c r="CA7" s="1" t="s">
        <v>121</v>
      </c>
      <c r="CB7" s="1" t="s">
        <v>121</v>
      </c>
      <c r="CC7" s="1" t="s">
        <v>121</v>
      </c>
      <c r="CD7" s="1" t="s">
        <v>121</v>
      </c>
      <c r="CE7" s="1" t="s">
        <v>121</v>
      </c>
      <c r="CF7" s="1" t="s">
        <v>121</v>
      </c>
      <c r="CG7" s="1" t="s">
        <v>121</v>
      </c>
      <c r="CH7" s="1" t="s">
        <v>121</v>
      </c>
      <c r="CI7" s="1" t="s">
        <v>121</v>
      </c>
      <c r="CJ7" s="1" t="s">
        <v>121</v>
      </c>
      <c r="CK7" s="1" t="s">
        <v>121</v>
      </c>
      <c r="CL7" s="1" t="s">
        <v>121</v>
      </c>
      <c r="CM7" s="1" t="s">
        <v>121</v>
      </c>
      <c r="CN7" s="1" t="s">
        <v>121</v>
      </c>
      <c r="CO7" s="1" t="s">
        <v>121</v>
      </c>
      <c r="CP7" s="1" t="s">
        <v>121</v>
      </c>
      <c r="CQ7" s="1" t="s">
        <v>121</v>
      </c>
      <c r="CR7" s="1" t="s">
        <v>121</v>
      </c>
      <c r="CS7" s="1" t="s">
        <v>121</v>
      </c>
      <c r="CT7" s="1" t="s">
        <v>121</v>
      </c>
      <c r="CU7" s="1" t="s">
        <v>121</v>
      </c>
      <c r="CV7" s="1" t="s">
        <v>121</v>
      </c>
      <c r="CW7" s="1" t="s">
        <v>121</v>
      </c>
      <c r="CX7" s="1" t="s">
        <v>121</v>
      </c>
      <c r="CY7" s="1" t="s">
        <v>121</v>
      </c>
      <c r="CZ7" s="1" t="s">
        <v>121</v>
      </c>
      <c r="DA7" s="1" t="s">
        <v>121</v>
      </c>
      <c r="DB7" s="1" t="s">
        <v>121</v>
      </c>
      <c r="DC7" s="1" t="s">
        <v>121</v>
      </c>
      <c r="DD7" s="1" t="s">
        <v>121</v>
      </c>
      <c r="DE7" s="1" t="s">
        <v>121</v>
      </c>
      <c r="DF7" s="1" t="s">
        <v>121</v>
      </c>
      <c r="DG7" s="1" t="s">
        <v>121</v>
      </c>
      <c r="DH7" s="1" t="s">
        <v>121</v>
      </c>
      <c r="DI7" s="1" t="s">
        <v>121</v>
      </c>
      <c r="DJ7" s="1" t="s">
        <v>121</v>
      </c>
      <c r="DK7" s="1" t="s">
        <v>121</v>
      </c>
      <c r="DL7" s="1" t="s">
        <v>121</v>
      </c>
      <c r="DM7" s="1" t="s">
        <v>121</v>
      </c>
      <c r="DN7" s="1" t="s">
        <v>121</v>
      </c>
      <c r="DO7" s="1" t="s">
        <v>121</v>
      </c>
      <c r="DP7" s="1" t="s">
        <v>121</v>
      </c>
      <c r="DQ7" s="1" t="s">
        <v>121</v>
      </c>
      <c r="DR7" s="1" t="s">
        <v>121</v>
      </c>
      <c r="DS7" s="1" t="s">
        <v>121</v>
      </c>
      <c r="DT7" s="1" t="s">
        <v>121</v>
      </c>
      <c r="DU7" s="1" t="s">
        <v>121</v>
      </c>
      <c r="DV7" s="1" t="s">
        <v>121</v>
      </c>
      <c r="DW7" s="1" t="s">
        <v>121</v>
      </c>
      <c r="DX7" s="1" t="s">
        <v>121</v>
      </c>
      <c r="DY7" s="1" t="s">
        <v>121</v>
      </c>
      <c r="DZ7" s="1" t="s">
        <v>121</v>
      </c>
      <c r="EA7" s="1" t="s">
        <v>121</v>
      </c>
      <c r="EB7" s="1" t="s">
        <v>121</v>
      </c>
      <c r="EC7" s="1" t="s">
        <v>121</v>
      </c>
      <c r="ED7" s="1" t="s">
        <v>121</v>
      </c>
      <c r="EE7" s="1" t="s">
        <v>121</v>
      </c>
      <c r="EF7" s="1" t="s">
        <v>121</v>
      </c>
      <c r="EG7" s="1" t="s">
        <v>121</v>
      </c>
      <c r="EH7" s="1" t="s">
        <v>121</v>
      </c>
      <c r="EI7" s="1" t="s">
        <v>121</v>
      </c>
      <c r="EJ7" s="1" t="s">
        <v>121</v>
      </c>
      <c r="EK7" s="1" t="s">
        <v>121</v>
      </c>
      <c r="EL7" s="1" t="s">
        <v>121</v>
      </c>
      <c r="EM7" s="1" t="s">
        <v>121</v>
      </c>
      <c r="EN7" s="1" t="s">
        <v>121</v>
      </c>
      <c r="EO7" s="1" t="s">
        <v>121</v>
      </c>
    </row>
    <row r="8" spans="1:153" ht="15" hidden="1" customHeight="1" outlineLevel="1" x14ac:dyDescent="0.25">
      <c r="A8" s="72">
        <v>8</v>
      </c>
      <c r="B8" s="427"/>
      <c r="C8" s="437"/>
      <c r="D8" s="439"/>
      <c r="E8" s="444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8"/>
      <c r="V8" s="418"/>
      <c r="W8" s="418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417"/>
      <c r="AN8" s="417"/>
      <c r="AO8" s="417"/>
      <c r="AP8" s="417"/>
      <c r="AQ8" s="417"/>
      <c r="AR8" s="417"/>
      <c r="AS8" s="422"/>
      <c r="AT8" s="422"/>
      <c r="AU8" s="422"/>
      <c r="AV8" s="417"/>
      <c r="AW8" s="417"/>
      <c r="AX8" s="417"/>
      <c r="AY8" s="417"/>
      <c r="AZ8" s="417"/>
      <c r="BA8" s="417"/>
      <c r="BB8" s="417"/>
      <c r="BC8" s="417"/>
      <c r="BD8" s="417"/>
      <c r="BE8" s="417"/>
      <c r="BF8" s="417"/>
      <c r="BG8" s="417"/>
      <c r="BH8" s="417"/>
      <c r="BI8" s="417"/>
      <c r="BJ8" s="417"/>
      <c r="BK8" s="417"/>
      <c r="BL8" s="417"/>
    </row>
    <row r="9" spans="1:153" ht="9.75" hidden="1" customHeight="1" outlineLevel="1" x14ac:dyDescent="0.25">
      <c r="A9" s="72">
        <v>9</v>
      </c>
      <c r="B9" s="56" t="s">
        <v>4</v>
      </c>
      <c r="C9" s="87" t="s">
        <v>121</v>
      </c>
      <c r="D9" s="56" t="s">
        <v>121</v>
      </c>
      <c r="E9" s="92" t="s">
        <v>121</v>
      </c>
      <c r="F9" s="86" t="s">
        <v>121</v>
      </c>
      <c r="G9" s="86" t="s">
        <v>121</v>
      </c>
      <c r="H9" s="86" t="s">
        <v>121</v>
      </c>
      <c r="I9" s="86" t="s">
        <v>121</v>
      </c>
      <c r="J9" s="86" t="s">
        <v>121</v>
      </c>
      <c r="K9" s="86" t="s">
        <v>121</v>
      </c>
      <c r="L9" s="86" t="s">
        <v>121</v>
      </c>
      <c r="M9" s="86" t="s">
        <v>121</v>
      </c>
      <c r="N9" s="86" t="s">
        <v>121</v>
      </c>
      <c r="O9" s="86" t="s">
        <v>121</v>
      </c>
      <c r="P9" s="86" t="s">
        <v>121</v>
      </c>
      <c r="Q9" s="86" t="s">
        <v>121</v>
      </c>
      <c r="R9" s="86" t="s">
        <v>121</v>
      </c>
      <c r="S9" s="86" t="s">
        <v>121</v>
      </c>
      <c r="T9" s="86" t="s">
        <v>121</v>
      </c>
      <c r="U9" s="86" t="s">
        <v>121</v>
      </c>
      <c r="V9" s="86" t="s">
        <v>121</v>
      </c>
      <c r="W9" s="86" t="s">
        <v>121</v>
      </c>
      <c r="X9" s="86" t="s">
        <v>121</v>
      </c>
      <c r="Y9" s="86" t="s">
        <v>121</v>
      </c>
      <c r="Z9" s="56" t="s">
        <v>121</v>
      </c>
      <c r="AA9" s="56" t="s">
        <v>121</v>
      </c>
      <c r="AB9" s="56" t="s">
        <v>121</v>
      </c>
      <c r="AC9" s="56" t="s">
        <v>121</v>
      </c>
      <c r="AD9" s="56" t="s">
        <v>121</v>
      </c>
      <c r="AE9" s="56" t="s">
        <v>121</v>
      </c>
      <c r="AF9" s="56" t="s">
        <v>121</v>
      </c>
      <c r="AG9" s="56" t="s">
        <v>121</v>
      </c>
      <c r="AH9" s="56" t="s">
        <v>121</v>
      </c>
      <c r="AI9" s="56" t="s">
        <v>121</v>
      </c>
      <c r="AJ9" s="56" t="s">
        <v>121</v>
      </c>
      <c r="AK9" s="56" t="s">
        <v>121</v>
      </c>
      <c r="AL9" s="56" t="s">
        <v>121</v>
      </c>
      <c r="AM9" s="56" t="s">
        <v>121</v>
      </c>
      <c r="AN9" s="56" t="s">
        <v>121</v>
      </c>
      <c r="AO9" s="56" t="s">
        <v>121</v>
      </c>
      <c r="AP9" s="56" t="s">
        <v>121</v>
      </c>
      <c r="AQ9" s="56" t="s">
        <v>121</v>
      </c>
      <c r="AR9" s="56" t="s">
        <v>121</v>
      </c>
      <c r="AS9" s="56" t="s">
        <v>121</v>
      </c>
      <c r="AT9" s="56" t="s">
        <v>121</v>
      </c>
      <c r="AU9" s="56" t="s">
        <v>121</v>
      </c>
      <c r="AV9" s="56" t="s">
        <v>121</v>
      </c>
      <c r="AW9" s="56" t="s">
        <v>121</v>
      </c>
      <c r="AX9" s="56" t="s">
        <v>121</v>
      </c>
      <c r="AY9" s="56" t="s">
        <v>121</v>
      </c>
      <c r="AZ9" s="56" t="s">
        <v>121</v>
      </c>
      <c r="BA9" s="39" t="s">
        <v>121</v>
      </c>
      <c r="BB9" s="39" t="s">
        <v>121</v>
      </c>
      <c r="BC9" s="1" t="s">
        <v>121</v>
      </c>
      <c r="BD9" s="1" t="s">
        <v>121</v>
      </c>
      <c r="BE9" s="1" t="s">
        <v>121</v>
      </c>
      <c r="BF9" s="1" t="s">
        <v>121</v>
      </c>
      <c r="BG9" s="1" t="s">
        <v>121</v>
      </c>
      <c r="BH9" s="1" t="s">
        <v>121</v>
      </c>
      <c r="BI9" s="1" t="s">
        <v>121</v>
      </c>
      <c r="BJ9" s="1" t="s">
        <v>121</v>
      </c>
      <c r="BK9" s="1" t="s">
        <v>121</v>
      </c>
      <c r="BL9" s="1" t="s">
        <v>121</v>
      </c>
      <c r="BM9" s="1" t="s">
        <v>121</v>
      </c>
      <c r="BN9" s="1" t="s">
        <v>121</v>
      </c>
      <c r="BO9" s="1" t="s">
        <v>121</v>
      </c>
      <c r="BP9" s="1" t="s">
        <v>121</v>
      </c>
      <c r="BQ9" s="1" t="s">
        <v>121</v>
      </c>
      <c r="BR9" s="1" t="s">
        <v>121</v>
      </c>
      <c r="BS9" s="1" t="s">
        <v>121</v>
      </c>
      <c r="BT9" s="1" t="s">
        <v>121</v>
      </c>
      <c r="BU9" s="1" t="s">
        <v>121</v>
      </c>
      <c r="BV9" s="1" t="s">
        <v>121</v>
      </c>
      <c r="BW9" s="1" t="s">
        <v>121</v>
      </c>
      <c r="BX9" s="1" t="s">
        <v>121</v>
      </c>
      <c r="BY9" s="1" t="s">
        <v>121</v>
      </c>
      <c r="BZ9" s="1" t="s">
        <v>121</v>
      </c>
      <c r="CA9" s="1" t="s">
        <v>121</v>
      </c>
      <c r="CB9" s="1" t="s">
        <v>121</v>
      </c>
      <c r="CC9" s="1" t="s">
        <v>121</v>
      </c>
      <c r="CD9" s="1" t="s">
        <v>121</v>
      </c>
      <c r="CE9" s="1" t="s">
        <v>121</v>
      </c>
      <c r="CF9" s="1" t="s">
        <v>121</v>
      </c>
      <c r="CG9" s="1" t="s">
        <v>121</v>
      </c>
      <c r="CH9" s="1" t="s">
        <v>121</v>
      </c>
      <c r="CI9" s="1" t="s">
        <v>121</v>
      </c>
      <c r="CJ9" s="1" t="s">
        <v>121</v>
      </c>
      <c r="CK9" s="1" t="s">
        <v>121</v>
      </c>
      <c r="CL9" s="1" t="s">
        <v>121</v>
      </c>
      <c r="CM9" s="1" t="s">
        <v>121</v>
      </c>
      <c r="CN9" s="1" t="s">
        <v>121</v>
      </c>
      <c r="CO9" s="1" t="s">
        <v>121</v>
      </c>
      <c r="CP9" s="1" t="s">
        <v>121</v>
      </c>
      <c r="CQ9" s="1" t="s">
        <v>121</v>
      </c>
      <c r="CR9" s="1" t="s">
        <v>121</v>
      </c>
      <c r="CS9" s="1" t="s">
        <v>121</v>
      </c>
      <c r="CT9" s="1" t="s">
        <v>121</v>
      </c>
      <c r="CU9" s="1" t="s">
        <v>121</v>
      </c>
      <c r="CV9" s="1" t="s">
        <v>121</v>
      </c>
      <c r="CW9" s="1" t="s">
        <v>121</v>
      </c>
      <c r="CX9" s="1" t="s">
        <v>121</v>
      </c>
      <c r="CY9" s="1" t="s">
        <v>121</v>
      </c>
      <c r="CZ9" s="1" t="s">
        <v>121</v>
      </c>
      <c r="DA9" s="1" t="s">
        <v>121</v>
      </c>
      <c r="DB9" s="1" t="s">
        <v>121</v>
      </c>
      <c r="DC9" s="1" t="s">
        <v>121</v>
      </c>
      <c r="DD9" s="1" t="s">
        <v>121</v>
      </c>
      <c r="DE9" s="1" t="s">
        <v>121</v>
      </c>
      <c r="DF9" s="1" t="s">
        <v>121</v>
      </c>
      <c r="DG9" s="1" t="s">
        <v>121</v>
      </c>
      <c r="DH9" s="1" t="s">
        <v>121</v>
      </c>
      <c r="DI9" s="1" t="s">
        <v>121</v>
      </c>
      <c r="DJ9" s="1" t="s">
        <v>121</v>
      </c>
      <c r="DK9" s="1" t="s">
        <v>121</v>
      </c>
      <c r="DL9" s="1" t="s">
        <v>121</v>
      </c>
      <c r="DM9" s="1" t="s">
        <v>121</v>
      </c>
      <c r="DN9" s="1" t="s">
        <v>121</v>
      </c>
      <c r="DO9" s="1" t="s">
        <v>121</v>
      </c>
      <c r="DP9" s="1" t="s">
        <v>121</v>
      </c>
      <c r="DQ9" s="1" t="s">
        <v>121</v>
      </c>
      <c r="DR9" s="1" t="s">
        <v>121</v>
      </c>
      <c r="DS9" s="1" t="s">
        <v>121</v>
      </c>
      <c r="DT9" s="1" t="s">
        <v>121</v>
      </c>
      <c r="DU9" s="1" t="s">
        <v>121</v>
      </c>
      <c r="DV9" s="1" t="s">
        <v>121</v>
      </c>
      <c r="DW9" s="1" t="s">
        <v>121</v>
      </c>
      <c r="DX9" s="1" t="s">
        <v>121</v>
      </c>
      <c r="DY9" s="1" t="s">
        <v>121</v>
      </c>
      <c r="DZ9" s="1" t="s">
        <v>121</v>
      </c>
      <c r="EA9" s="1" t="s">
        <v>121</v>
      </c>
      <c r="EB9" s="1" t="s">
        <v>121</v>
      </c>
      <c r="EC9" s="1" t="s">
        <v>121</v>
      </c>
      <c r="ED9" s="1" t="s">
        <v>121</v>
      </c>
      <c r="EE9" s="1" t="s">
        <v>121</v>
      </c>
      <c r="EF9" s="1" t="s">
        <v>121</v>
      </c>
      <c r="EG9" s="1" t="s">
        <v>121</v>
      </c>
      <c r="EH9" s="1" t="s">
        <v>121</v>
      </c>
      <c r="EI9" s="1" t="s">
        <v>121</v>
      </c>
      <c r="EJ9" s="1" t="s">
        <v>121</v>
      </c>
      <c r="EK9" s="1" t="s">
        <v>121</v>
      </c>
      <c r="EL9" s="1" t="s">
        <v>121</v>
      </c>
      <c r="EM9" s="1" t="s">
        <v>121</v>
      </c>
      <c r="EN9" s="1" t="s">
        <v>121</v>
      </c>
      <c r="EO9" s="1" t="s">
        <v>121</v>
      </c>
    </row>
    <row r="10" spans="1:153" ht="15" hidden="1" customHeight="1" outlineLevel="1" x14ac:dyDescent="0.25">
      <c r="A10" s="72">
        <v>10</v>
      </c>
      <c r="B10" s="57" t="s">
        <v>388</v>
      </c>
      <c r="C10" s="89" t="s">
        <v>121</v>
      </c>
      <c r="D10" s="122" t="s">
        <v>121</v>
      </c>
      <c r="E10" s="92" t="s">
        <v>121</v>
      </c>
      <c r="F10" s="86" t="s">
        <v>121</v>
      </c>
      <c r="G10" s="86" t="s">
        <v>121</v>
      </c>
      <c r="H10" s="86" t="s">
        <v>121</v>
      </c>
      <c r="I10" s="86" t="s">
        <v>121</v>
      </c>
      <c r="J10" s="86" t="s">
        <v>121</v>
      </c>
      <c r="K10" s="86" t="s">
        <v>121</v>
      </c>
      <c r="L10" s="86" t="s">
        <v>121</v>
      </c>
      <c r="M10" s="86" t="s">
        <v>121</v>
      </c>
      <c r="N10" s="86" t="s">
        <v>121</v>
      </c>
      <c r="O10" s="86" t="s">
        <v>121</v>
      </c>
      <c r="P10" s="86" t="s">
        <v>121</v>
      </c>
      <c r="Q10" s="86" t="s">
        <v>121</v>
      </c>
      <c r="R10" s="86" t="s">
        <v>121</v>
      </c>
      <c r="S10" s="86" t="s">
        <v>121</v>
      </c>
      <c r="T10" s="86" t="s">
        <v>121</v>
      </c>
      <c r="U10" s="86" t="s">
        <v>121</v>
      </c>
      <c r="V10" s="86" t="s">
        <v>121</v>
      </c>
      <c r="W10" s="86" t="s">
        <v>121</v>
      </c>
      <c r="X10" s="86" t="s">
        <v>121</v>
      </c>
      <c r="Y10" s="86" t="s">
        <v>121</v>
      </c>
      <c r="Z10" s="122" t="s">
        <v>121</v>
      </c>
      <c r="AA10" s="122" t="s">
        <v>121</v>
      </c>
      <c r="AB10" s="122" t="s">
        <v>121</v>
      </c>
      <c r="AC10" s="122" t="s">
        <v>121</v>
      </c>
      <c r="AD10" s="122" t="s">
        <v>121</v>
      </c>
      <c r="AE10" s="122" t="s">
        <v>121</v>
      </c>
      <c r="AF10" s="122" t="s">
        <v>121</v>
      </c>
      <c r="AG10" s="122" t="s">
        <v>121</v>
      </c>
      <c r="AH10" s="148" t="s">
        <v>121</v>
      </c>
      <c r="AI10" s="148" t="s">
        <v>121</v>
      </c>
      <c r="AJ10" s="148" t="s">
        <v>121</v>
      </c>
      <c r="AK10" s="148" t="s">
        <v>121</v>
      </c>
      <c r="AL10" s="148" t="s">
        <v>121</v>
      </c>
      <c r="AM10" s="148" t="s">
        <v>121</v>
      </c>
      <c r="AN10" s="148" t="s">
        <v>121</v>
      </c>
      <c r="AO10" s="148" t="s">
        <v>121</v>
      </c>
      <c r="AP10" s="148" t="s">
        <v>121</v>
      </c>
      <c r="AQ10" s="148" t="s">
        <v>121</v>
      </c>
      <c r="AR10" s="148" t="s">
        <v>121</v>
      </c>
      <c r="AS10" s="148" t="s">
        <v>121</v>
      </c>
      <c r="AT10" s="148" t="s">
        <v>121</v>
      </c>
      <c r="AU10" s="148" t="s">
        <v>121</v>
      </c>
      <c r="AV10" s="122" t="s">
        <v>121</v>
      </c>
      <c r="AW10" s="122" t="s">
        <v>121</v>
      </c>
      <c r="AX10" s="122" t="s">
        <v>121</v>
      </c>
      <c r="AY10" s="122" t="s">
        <v>121</v>
      </c>
      <c r="AZ10" s="57" t="s">
        <v>121</v>
      </c>
      <c r="BA10" s="45" t="s">
        <v>121</v>
      </c>
      <c r="BB10" s="45" t="s">
        <v>121</v>
      </c>
      <c r="BC10" s="11" t="s">
        <v>121</v>
      </c>
      <c r="BD10" s="11" t="s">
        <v>121</v>
      </c>
      <c r="BE10" s="11" t="s">
        <v>121</v>
      </c>
      <c r="BF10" s="11" t="s">
        <v>121</v>
      </c>
      <c r="BG10" s="11" t="s">
        <v>121</v>
      </c>
      <c r="BH10" s="11" t="s">
        <v>121</v>
      </c>
      <c r="BI10" s="11" t="s">
        <v>121</v>
      </c>
      <c r="BJ10" s="11" t="s">
        <v>121</v>
      </c>
      <c r="BK10" s="11" t="s">
        <v>121</v>
      </c>
      <c r="BL10" s="1" t="s">
        <v>121</v>
      </c>
      <c r="BM10" s="1" t="s">
        <v>121</v>
      </c>
      <c r="BN10" s="1" t="s">
        <v>121</v>
      </c>
      <c r="BO10" s="1" t="s">
        <v>121</v>
      </c>
      <c r="BP10" s="1" t="s">
        <v>121</v>
      </c>
      <c r="BQ10" s="1" t="s">
        <v>121</v>
      </c>
      <c r="BR10" s="1" t="s">
        <v>121</v>
      </c>
      <c r="BS10" s="1" t="s">
        <v>121</v>
      </c>
      <c r="BT10" s="1" t="s">
        <v>121</v>
      </c>
      <c r="BU10" s="1" t="s">
        <v>121</v>
      </c>
      <c r="BV10" s="1" t="s">
        <v>121</v>
      </c>
      <c r="BW10" s="1" t="s">
        <v>121</v>
      </c>
      <c r="BX10" s="1" t="s">
        <v>121</v>
      </c>
      <c r="BY10" s="1" t="s">
        <v>121</v>
      </c>
      <c r="BZ10" s="1" t="s">
        <v>121</v>
      </c>
      <c r="CA10" s="1" t="s">
        <v>121</v>
      </c>
      <c r="CB10" s="1" t="s">
        <v>121</v>
      </c>
      <c r="CC10" s="1" t="s">
        <v>121</v>
      </c>
      <c r="CD10" s="1" t="s">
        <v>121</v>
      </c>
      <c r="CE10" s="1" t="s">
        <v>121</v>
      </c>
      <c r="CF10" s="1" t="s">
        <v>121</v>
      </c>
      <c r="CG10" s="1" t="s">
        <v>121</v>
      </c>
      <c r="CH10" s="1" t="s">
        <v>121</v>
      </c>
      <c r="CI10" s="1" t="s">
        <v>121</v>
      </c>
      <c r="CJ10" s="1" t="s">
        <v>121</v>
      </c>
      <c r="CK10" s="1" t="s">
        <v>121</v>
      </c>
      <c r="CL10" s="1" t="s">
        <v>121</v>
      </c>
      <c r="CM10" s="1" t="s">
        <v>121</v>
      </c>
      <c r="CN10" s="1" t="s">
        <v>121</v>
      </c>
      <c r="CO10" s="1" t="s">
        <v>121</v>
      </c>
      <c r="CP10" s="1" t="s">
        <v>121</v>
      </c>
      <c r="CQ10" s="1" t="s">
        <v>121</v>
      </c>
      <c r="CR10" s="1" t="s">
        <v>121</v>
      </c>
      <c r="CS10" s="1" t="s">
        <v>121</v>
      </c>
      <c r="CT10" s="1" t="s">
        <v>121</v>
      </c>
      <c r="CU10" s="1" t="s">
        <v>121</v>
      </c>
      <c r="CV10" s="1" t="s">
        <v>121</v>
      </c>
      <c r="CW10" s="1" t="s">
        <v>121</v>
      </c>
      <c r="CX10" s="1" t="s">
        <v>121</v>
      </c>
      <c r="CY10" s="1" t="s">
        <v>121</v>
      </c>
      <c r="CZ10" s="1" t="s">
        <v>121</v>
      </c>
      <c r="DA10" s="1" t="s">
        <v>121</v>
      </c>
      <c r="DB10" s="1" t="s">
        <v>121</v>
      </c>
      <c r="DC10" s="1" t="s">
        <v>121</v>
      </c>
      <c r="DD10" s="1" t="s">
        <v>121</v>
      </c>
      <c r="DE10" s="1" t="s">
        <v>121</v>
      </c>
      <c r="DF10" s="1" t="s">
        <v>121</v>
      </c>
      <c r="DG10" s="1" t="s">
        <v>121</v>
      </c>
      <c r="DH10" s="1" t="s">
        <v>121</v>
      </c>
      <c r="DI10" s="1" t="s">
        <v>121</v>
      </c>
      <c r="DJ10" s="1" t="s">
        <v>121</v>
      </c>
      <c r="DK10" s="1" t="s">
        <v>121</v>
      </c>
      <c r="DL10" s="1" t="s">
        <v>121</v>
      </c>
      <c r="DM10" s="1" t="s">
        <v>121</v>
      </c>
      <c r="DN10" s="1" t="s">
        <v>121</v>
      </c>
      <c r="DO10" s="1" t="s">
        <v>121</v>
      </c>
      <c r="DP10" s="1" t="s">
        <v>121</v>
      </c>
      <c r="DQ10" s="1" t="s">
        <v>121</v>
      </c>
      <c r="DR10" s="1" t="s">
        <v>121</v>
      </c>
      <c r="DS10" s="1" t="s">
        <v>121</v>
      </c>
      <c r="DT10" s="1" t="s">
        <v>121</v>
      </c>
      <c r="DU10" s="1" t="s">
        <v>121</v>
      </c>
      <c r="DV10" s="1" t="s">
        <v>121</v>
      </c>
      <c r="DW10" s="1" t="s">
        <v>121</v>
      </c>
      <c r="DX10" s="1" t="s">
        <v>121</v>
      </c>
      <c r="DY10" s="1" t="s">
        <v>121</v>
      </c>
      <c r="DZ10" s="1" t="s">
        <v>121</v>
      </c>
      <c r="EA10" s="1" t="s">
        <v>121</v>
      </c>
      <c r="EB10" s="1" t="s">
        <v>121</v>
      </c>
      <c r="EC10" s="1" t="s">
        <v>121</v>
      </c>
      <c r="ED10" s="1" t="s">
        <v>121</v>
      </c>
      <c r="EE10" s="1" t="s">
        <v>121</v>
      </c>
      <c r="EF10" s="1" t="s">
        <v>121</v>
      </c>
      <c r="EG10" s="1" t="s">
        <v>121</v>
      </c>
      <c r="EH10" s="1" t="s">
        <v>121</v>
      </c>
      <c r="EI10" s="1" t="s">
        <v>121</v>
      </c>
      <c r="EJ10" s="1" t="s">
        <v>121</v>
      </c>
      <c r="EK10" s="1" t="s">
        <v>121</v>
      </c>
      <c r="EL10" s="1" t="s">
        <v>121</v>
      </c>
      <c r="EM10" s="1" t="s">
        <v>121</v>
      </c>
      <c r="EN10" s="1" t="s">
        <v>121</v>
      </c>
      <c r="EO10" s="1" t="s">
        <v>121</v>
      </c>
    </row>
    <row r="11" spans="1:153" ht="15" hidden="1" customHeight="1" outlineLevel="1" x14ac:dyDescent="0.25">
      <c r="A11" s="72">
        <v>11</v>
      </c>
      <c r="B11" s="40" t="s">
        <v>389</v>
      </c>
      <c r="C11" s="91" t="s">
        <v>121</v>
      </c>
      <c r="D11" s="86" t="s">
        <v>121</v>
      </c>
      <c r="E11" s="92" t="s">
        <v>121</v>
      </c>
      <c r="F11" s="250" t="s">
        <v>121</v>
      </c>
      <c r="G11" s="250" t="s">
        <v>121</v>
      </c>
      <c r="H11" s="250" t="s">
        <v>121</v>
      </c>
      <c r="I11" s="250" t="s">
        <v>121</v>
      </c>
      <c r="J11" s="250" t="s">
        <v>121</v>
      </c>
      <c r="K11" s="250" t="s">
        <v>121</v>
      </c>
      <c r="L11" s="250" t="s">
        <v>121</v>
      </c>
      <c r="M11" s="86" t="s">
        <v>121</v>
      </c>
      <c r="N11" s="250" t="s">
        <v>121</v>
      </c>
      <c r="O11" s="250" t="s">
        <v>121</v>
      </c>
      <c r="P11" s="250" t="s">
        <v>121</v>
      </c>
      <c r="Q11" s="250" t="s">
        <v>121</v>
      </c>
      <c r="R11" s="250" t="s">
        <v>121</v>
      </c>
      <c r="S11" s="250">
        <v>3609</v>
      </c>
      <c r="T11" s="250">
        <v>3609</v>
      </c>
      <c r="U11" s="250">
        <v>3608.5740000000001</v>
      </c>
      <c r="V11" s="250">
        <v>3608.5740000000001</v>
      </c>
      <c r="W11" s="250">
        <v>3695.154</v>
      </c>
      <c r="X11" s="165">
        <v>3695</v>
      </c>
      <c r="Y11" s="165">
        <v>3695.154</v>
      </c>
      <c r="Z11" s="165">
        <v>3695.154</v>
      </c>
      <c r="AA11" s="165">
        <v>3781.7339999999999</v>
      </c>
      <c r="AB11" s="165">
        <v>3781.7339999999999</v>
      </c>
      <c r="AC11" s="165">
        <v>3781.7339999999999</v>
      </c>
      <c r="AD11" s="165">
        <v>3781.7339999999999</v>
      </c>
      <c r="AE11" s="165">
        <v>3781.7339999999999</v>
      </c>
      <c r="AF11" s="165">
        <v>3781.7339999999999</v>
      </c>
      <c r="AG11" s="165">
        <v>3781.7339999999999</v>
      </c>
      <c r="AH11" s="165">
        <v>3781.7339999999999</v>
      </c>
      <c r="AI11" s="78">
        <v>3781.7339999999999</v>
      </c>
      <c r="AJ11" s="165">
        <v>3781.7339999999999</v>
      </c>
      <c r="AK11" s="78">
        <v>3781.7339999999999</v>
      </c>
      <c r="AL11" s="45">
        <v>3721.7339999999999</v>
      </c>
      <c r="AM11" s="45">
        <v>3721.7339999999999</v>
      </c>
      <c r="AN11" s="45">
        <v>3721.7339999999999</v>
      </c>
      <c r="AO11" s="45">
        <v>3721.7339999999999</v>
      </c>
      <c r="AP11" s="45">
        <v>3721.7339999999999</v>
      </c>
      <c r="AQ11" s="45">
        <v>3141.5320000000029</v>
      </c>
      <c r="AR11" s="45">
        <v>3721.7339999999999</v>
      </c>
      <c r="AS11" s="45">
        <v>3721.223</v>
      </c>
      <c r="AT11" s="45">
        <v>3721.223</v>
      </c>
      <c r="AU11" s="45">
        <v>3710.2040000000002</v>
      </c>
      <c r="AV11" s="45">
        <v>3696.674</v>
      </c>
      <c r="AW11" s="45">
        <v>3721.7339999999999</v>
      </c>
      <c r="AX11" s="45">
        <v>3721.7339999999999</v>
      </c>
      <c r="AY11" s="45">
        <v>3721.7339999999999</v>
      </c>
      <c r="AZ11" s="45">
        <v>3721.7339999999999</v>
      </c>
      <c r="BA11" s="45">
        <v>3721.7339999999999</v>
      </c>
      <c r="BB11" s="45">
        <v>3648.11</v>
      </c>
      <c r="BC11" s="11">
        <v>3648.11</v>
      </c>
      <c r="BD11" s="11">
        <v>3648.11</v>
      </c>
      <c r="BE11" s="11">
        <v>3648.11</v>
      </c>
      <c r="BF11" s="11">
        <v>3648.11</v>
      </c>
      <c r="BG11" s="11">
        <v>3648.11</v>
      </c>
      <c r="BH11" s="11">
        <v>3648.11</v>
      </c>
      <c r="BI11" s="11">
        <v>3648.11</v>
      </c>
      <c r="BJ11" s="11">
        <v>3629.5410000000002</v>
      </c>
      <c r="BK11" s="11">
        <v>3629.5410000000002</v>
      </c>
      <c r="BL11" s="11">
        <v>3629.5410000000002</v>
      </c>
      <c r="BM11" s="1">
        <v>3629.5410000000002</v>
      </c>
      <c r="BN11" s="1">
        <v>3629.5410000000002</v>
      </c>
      <c r="BO11" s="1">
        <v>3629.5410000000002</v>
      </c>
      <c r="BP11" s="1">
        <v>3629.5410000000002</v>
      </c>
      <c r="BQ11" s="1" t="s">
        <v>121</v>
      </c>
      <c r="BR11" s="1" t="s">
        <v>121</v>
      </c>
      <c r="BS11" s="1" t="s">
        <v>121</v>
      </c>
      <c r="BT11" s="1" t="s">
        <v>121</v>
      </c>
      <c r="BU11" s="1" t="s">
        <v>121</v>
      </c>
      <c r="BV11" s="1" t="s">
        <v>121</v>
      </c>
      <c r="BW11" s="1" t="s">
        <v>121</v>
      </c>
      <c r="BX11" s="1" t="s">
        <v>121</v>
      </c>
      <c r="BY11" s="1" t="s">
        <v>121</v>
      </c>
      <c r="BZ11" s="1" t="s">
        <v>121</v>
      </c>
      <c r="CA11" s="1" t="s">
        <v>121</v>
      </c>
      <c r="CB11" s="1" t="s">
        <v>121</v>
      </c>
      <c r="CC11" s="1" t="s">
        <v>121</v>
      </c>
      <c r="CD11" s="1" t="s">
        <v>121</v>
      </c>
      <c r="CE11" s="1" t="s">
        <v>121</v>
      </c>
      <c r="CF11" s="1" t="s">
        <v>121</v>
      </c>
      <c r="CG11" s="1" t="s">
        <v>121</v>
      </c>
      <c r="CH11" s="1" t="s">
        <v>121</v>
      </c>
      <c r="CI11" s="1" t="s">
        <v>121</v>
      </c>
      <c r="CJ11" s="1" t="s">
        <v>121</v>
      </c>
      <c r="CK11" s="1" t="s">
        <v>121</v>
      </c>
      <c r="CL11" s="1" t="s">
        <v>121</v>
      </c>
      <c r="CM11" s="1" t="s">
        <v>121</v>
      </c>
      <c r="CN11" s="1" t="s">
        <v>121</v>
      </c>
      <c r="CO11" s="1" t="s">
        <v>121</v>
      </c>
      <c r="CP11" s="1" t="s">
        <v>121</v>
      </c>
      <c r="CQ11" s="1" t="s">
        <v>121</v>
      </c>
      <c r="CR11" s="1" t="s">
        <v>121</v>
      </c>
      <c r="CS11" s="1" t="s">
        <v>121</v>
      </c>
      <c r="CT11" s="1" t="s">
        <v>121</v>
      </c>
      <c r="CU11" s="1" t="s">
        <v>121</v>
      </c>
      <c r="CV11" s="1" t="s">
        <v>121</v>
      </c>
      <c r="CW11" s="1" t="s">
        <v>121</v>
      </c>
      <c r="CX11" s="1" t="s">
        <v>121</v>
      </c>
      <c r="CY11" s="1" t="s">
        <v>121</v>
      </c>
      <c r="CZ11" s="1" t="s">
        <v>121</v>
      </c>
      <c r="DA11" s="1" t="s">
        <v>121</v>
      </c>
      <c r="DB11" s="1" t="s">
        <v>121</v>
      </c>
      <c r="DC11" s="1" t="s">
        <v>121</v>
      </c>
      <c r="DD11" s="1" t="s">
        <v>121</v>
      </c>
      <c r="DE11" s="1" t="s">
        <v>121</v>
      </c>
      <c r="DF11" s="1" t="s">
        <v>121</v>
      </c>
      <c r="DG11" s="1" t="s">
        <v>121</v>
      </c>
      <c r="DH11" s="1" t="s">
        <v>121</v>
      </c>
      <c r="DI11" s="1" t="s">
        <v>121</v>
      </c>
      <c r="DJ11" s="1" t="s">
        <v>121</v>
      </c>
      <c r="DK11" s="1" t="s">
        <v>121</v>
      </c>
      <c r="DL11" s="1" t="s">
        <v>121</v>
      </c>
      <c r="DM11" s="1" t="s">
        <v>121</v>
      </c>
      <c r="DN11" s="1" t="s">
        <v>121</v>
      </c>
      <c r="DO11" s="1" t="s">
        <v>121</v>
      </c>
      <c r="DP11" s="1" t="s">
        <v>121</v>
      </c>
      <c r="DQ11" s="1" t="s">
        <v>121</v>
      </c>
      <c r="DR11" s="1" t="s">
        <v>121</v>
      </c>
      <c r="DS11" s="1" t="s">
        <v>121</v>
      </c>
      <c r="DT11" s="1" t="s">
        <v>121</v>
      </c>
      <c r="DU11" s="1" t="s">
        <v>121</v>
      </c>
      <c r="DV11" s="1" t="s">
        <v>121</v>
      </c>
      <c r="DW11" s="1" t="s">
        <v>121</v>
      </c>
      <c r="DX11" s="1" t="s">
        <v>121</v>
      </c>
      <c r="DY11" s="1" t="s">
        <v>121</v>
      </c>
      <c r="DZ11" s="1" t="s">
        <v>121</v>
      </c>
      <c r="EA11" s="1" t="s">
        <v>121</v>
      </c>
      <c r="EB11" s="1" t="s">
        <v>121</v>
      </c>
      <c r="EC11" s="1" t="s">
        <v>121</v>
      </c>
      <c r="ED11" s="1" t="s">
        <v>121</v>
      </c>
      <c r="EE11" s="1" t="s">
        <v>121</v>
      </c>
      <c r="EF11" s="1" t="s">
        <v>121</v>
      </c>
      <c r="EG11" s="1" t="s">
        <v>121</v>
      </c>
      <c r="EH11" s="1" t="s">
        <v>121</v>
      </c>
      <c r="EI11" s="1" t="s">
        <v>121</v>
      </c>
      <c r="EJ11" s="1" t="s">
        <v>121</v>
      </c>
      <c r="EK11" s="1" t="s">
        <v>121</v>
      </c>
      <c r="EL11" s="1" t="s">
        <v>121</v>
      </c>
      <c r="EM11" s="1" t="s">
        <v>121</v>
      </c>
      <c r="EN11" s="1" t="s">
        <v>121</v>
      </c>
      <c r="EO11" s="1" t="s">
        <v>121</v>
      </c>
    </row>
    <row r="12" spans="1:153" ht="15" hidden="1" customHeight="1" outlineLevel="1" x14ac:dyDescent="0.25">
      <c r="A12" s="72">
        <v>12</v>
      </c>
      <c r="B12" s="40" t="s">
        <v>390</v>
      </c>
      <c r="C12" s="91" t="s">
        <v>121</v>
      </c>
      <c r="D12" s="86" t="s">
        <v>121</v>
      </c>
      <c r="E12" s="92" t="s">
        <v>121</v>
      </c>
      <c r="F12" s="250" t="s">
        <v>121</v>
      </c>
      <c r="G12" s="250" t="s">
        <v>121</v>
      </c>
      <c r="H12" s="250" t="s">
        <v>121</v>
      </c>
      <c r="I12" s="250" t="s">
        <v>121</v>
      </c>
      <c r="J12" s="250" t="s">
        <v>121</v>
      </c>
      <c r="K12" s="250" t="s">
        <v>121</v>
      </c>
      <c r="L12" s="250" t="s">
        <v>121</v>
      </c>
      <c r="M12" s="86" t="s">
        <v>121</v>
      </c>
      <c r="N12" s="250" t="s">
        <v>121</v>
      </c>
      <c r="O12" s="250" t="s">
        <v>121</v>
      </c>
      <c r="P12" s="250" t="s">
        <v>121</v>
      </c>
      <c r="Q12" s="250" t="s">
        <v>121</v>
      </c>
      <c r="R12" s="250" t="s">
        <v>121</v>
      </c>
      <c r="S12" s="250" t="s">
        <v>121</v>
      </c>
      <c r="T12" s="250" t="s">
        <v>121</v>
      </c>
      <c r="U12" s="250" t="s">
        <v>121</v>
      </c>
      <c r="V12" s="250" t="s">
        <v>121</v>
      </c>
      <c r="W12" s="250" t="s">
        <v>121</v>
      </c>
      <c r="X12" s="165" t="s">
        <v>121</v>
      </c>
      <c r="Y12" s="165" t="s">
        <v>121</v>
      </c>
      <c r="Z12" s="165" t="s">
        <v>121</v>
      </c>
      <c r="AA12" s="165" t="s">
        <v>121</v>
      </c>
      <c r="AB12" s="165" t="s">
        <v>121</v>
      </c>
      <c r="AC12" s="165" t="s">
        <v>121</v>
      </c>
      <c r="AD12" s="165" t="s">
        <v>121</v>
      </c>
      <c r="AE12" s="165" t="s">
        <v>121</v>
      </c>
      <c r="AF12" s="165" t="s">
        <v>121</v>
      </c>
      <c r="AG12" s="165" t="s">
        <v>121</v>
      </c>
      <c r="AH12" s="165" t="s">
        <v>121</v>
      </c>
      <c r="AI12" s="78" t="s">
        <v>121</v>
      </c>
      <c r="AJ12" s="165" t="s">
        <v>121</v>
      </c>
      <c r="AK12" s="78" t="s">
        <v>121</v>
      </c>
      <c r="AL12" s="45" t="s">
        <v>121</v>
      </c>
      <c r="AM12" s="45" t="s">
        <v>121</v>
      </c>
      <c r="AN12" s="45" t="s">
        <v>121</v>
      </c>
      <c r="AO12" s="45" t="s">
        <v>121</v>
      </c>
      <c r="AP12" s="45" t="s">
        <v>121</v>
      </c>
      <c r="AQ12" s="45" t="s">
        <v>121</v>
      </c>
      <c r="AR12" s="45" t="s">
        <v>121</v>
      </c>
      <c r="AS12" s="45" t="s">
        <v>121</v>
      </c>
      <c r="AT12" s="45" t="s">
        <v>121</v>
      </c>
      <c r="AU12" s="45" t="s">
        <v>121</v>
      </c>
      <c r="AV12" s="45" t="s">
        <v>121</v>
      </c>
      <c r="AW12" s="45" t="s">
        <v>121</v>
      </c>
      <c r="AX12" s="45" t="s">
        <v>121</v>
      </c>
      <c r="AY12" s="45" t="s">
        <v>121</v>
      </c>
      <c r="AZ12" s="45" t="s">
        <v>121</v>
      </c>
      <c r="BA12" s="45" t="s">
        <v>121</v>
      </c>
      <c r="BB12" s="45" t="s">
        <v>121</v>
      </c>
      <c r="BC12" s="11" t="s">
        <v>121</v>
      </c>
      <c r="BD12" s="11" t="s">
        <v>121</v>
      </c>
      <c r="BE12" s="11" t="s">
        <v>121</v>
      </c>
      <c r="BF12" s="11" t="s">
        <v>121</v>
      </c>
      <c r="BG12" s="11" t="s">
        <v>121</v>
      </c>
      <c r="BH12" s="11" t="s">
        <v>121</v>
      </c>
      <c r="BI12" s="11" t="s">
        <v>121</v>
      </c>
      <c r="BJ12" s="11" t="s">
        <v>121</v>
      </c>
      <c r="BK12" s="11" t="s">
        <v>121</v>
      </c>
      <c r="BL12" s="27" t="s">
        <v>121</v>
      </c>
      <c r="BM12" s="1" t="s">
        <v>121</v>
      </c>
      <c r="BN12" s="1" t="s">
        <v>121</v>
      </c>
      <c r="BO12" s="1" t="s">
        <v>121</v>
      </c>
      <c r="BP12" s="1" t="s">
        <v>121</v>
      </c>
      <c r="BQ12" s="1" t="s">
        <v>121</v>
      </c>
      <c r="BR12" s="1" t="s">
        <v>121</v>
      </c>
      <c r="BS12" s="1" t="s">
        <v>121</v>
      </c>
      <c r="BT12" s="1" t="s">
        <v>121</v>
      </c>
      <c r="BU12" s="1" t="s">
        <v>121</v>
      </c>
      <c r="BV12" s="1" t="s">
        <v>121</v>
      </c>
      <c r="BW12" s="1" t="s">
        <v>121</v>
      </c>
      <c r="BX12" s="1" t="s">
        <v>121</v>
      </c>
      <c r="BY12" s="1" t="s">
        <v>121</v>
      </c>
      <c r="BZ12" s="1" t="s">
        <v>121</v>
      </c>
      <c r="CA12" s="1" t="s">
        <v>121</v>
      </c>
      <c r="CB12" s="1" t="s">
        <v>121</v>
      </c>
      <c r="CC12" s="1" t="s">
        <v>121</v>
      </c>
      <c r="CD12" s="1" t="s">
        <v>121</v>
      </c>
      <c r="CE12" s="1" t="s">
        <v>121</v>
      </c>
      <c r="CF12" s="1" t="s">
        <v>121</v>
      </c>
      <c r="CG12" s="1" t="s">
        <v>121</v>
      </c>
      <c r="CH12" s="1" t="s">
        <v>121</v>
      </c>
      <c r="CI12" s="1" t="s">
        <v>121</v>
      </c>
      <c r="CJ12" s="1" t="s">
        <v>121</v>
      </c>
      <c r="CK12" s="1" t="s">
        <v>121</v>
      </c>
      <c r="CL12" s="1" t="s">
        <v>121</v>
      </c>
      <c r="CM12" s="1" t="s">
        <v>121</v>
      </c>
      <c r="CN12" s="1" t="s">
        <v>121</v>
      </c>
      <c r="CO12" s="1" t="s">
        <v>121</v>
      </c>
      <c r="CP12" s="1" t="s">
        <v>121</v>
      </c>
      <c r="CQ12" s="1" t="s">
        <v>121</v>
      </c>
      <c r="CR12" s="1" t="s">
        <v>121</v>
      </c>
      <c r="CS12" s="1" t="s">
        <v>121</v>
      </c>
      <c r="CT12" s="1" t="s">
        <v>121</v>
      </c>
      <c r="CU12" s="1" t="s">
        <v>121</v>
      </c>
      <c r="CV12" s="1" t="s">
        <v>121</v>
      </c>
      <c r="CW12" s="1" t="s">
        <v>121</v>
      </c>
      <c r="CX12" s="1" t="s">
        <v>121</v>
      </c>
      <c r="CY12" s="1" t="s">
        <v>121</v>
      </c>
      <c r="CZ12" s="1" t="s">
        <v>121</v>
      </c>
      <c r="DA12" s="1" t="s">
        <v>121</v>
      </c>
      <c r="DB12" s="1" t="s">
        <v>121</v>
      </c>
      <c r="DC12" s="1" t="s">
        <v>121</v>
      </c>
      <c r="DD12" s="1" t="s">
        <v>121</v>
      </c>
      <c r="DE12" s="1" t="s">
        <v>121</v>
      </c>
      <c r="DF12" s="1" t="s">
        <v>121</v>
      </c>
      <c r="DG12" s="1" t="s">
        <v>121</v>
      </c>
      <c r="DH12" s="1" t="s">
        <v>121</v>
      </c>
      <c r="DI12" s="1" t="s">
        <v>121</v>
      </c>
      <c r="DJ12" s="1" t="s">
        <v>121</v>
      </c>
      <c r="DK12" s="1" t="s">
        <v>121</v>
      </c>
      <c r="DL12" s="1" t="s">
        <v>121</v>
      </c>
      <c r="DM12" s="1" t="s">
        <v>121</v>
      </c>
      <c r="DN12" s="1" t="s">
        <v>121</v>
      </c>
      <c r="DO12" s="1" t="s">
        <v>121</v>
      </c>
      <c r="DP12" s="1" t="s">
        <v>121</v>
      </c>
      <c r="DQ12" s="1" t="s">
        <v>121</v>
      </c>
      <c r="DR12" s="1" t="s">
        <v>121</v>
      </c>
      <c r="DS12" s="1" t="s">
        <v>121</v>
      </c>
      <c r="DT12" s="1" t="s">
        <v>121</v>
      </c>
      <c r="DU12" s="1" t="s">
        <v>121</v>
      </c>
      <c r="DV12" s="1" t="s">
        <v>121</v>
      </c>
      <c r="DW12" s="1" t="s">
        <v>121</v>
      </c>
      <c r="DX12" s="1" t="s">
        <v>121</v>
      </c>
      <c r="DY12" s="1" t="s">
        <v>121</v>
      </c>
      <c r="DZ12" s="1" t="s">
        <v>121</v>
      </c>
      <c r="EA12" s="1" t="s">
        <v>121</v>
      </c>
      <c r="EB12" s="1" t="s">
        <v>121</v>
      </c>
      <c r="EC12" s="1" t="s">
        <v>121</v>
      </c>
      <c r="ED12" s="1" t="s">
        <v>121</v>
      </c>
      <c r="EE12" s="1" t="s">
        <v>121</v>
      </c>
      <c r="EF12" s="1" t="s">
        <v>121</v>
      </c>
      <c r="EG12" s="1" t="s">
        <v>121</v>
      </c>
      <c r="EH12" s="1" t="s">
        <v>121</v>
      </c>
      <c r="EI12" s="1" t="s">
        <v>121</v>
      </c>
      <c r="EJ12" s="1" t="s">
        <v>121</v>
      </c>
      <c r="EK12" s="1" t="s">
        <v>121</v>
      </c>
      <c r="EL12" s="1" t="s">
        <v>121</v>
      </c>
      <c r="EM12" s="1" t="s">
        <v>121</v>
      </c>
      <c r="EN12" s="1" t="s">
        <v>121</v>
      </c>
      <c r="EO12" s="1" t="s">
        <v>121</v>
      </c>
    </row>
    <row r="13" spans="1:153" ht="15" hidden="1" customHeight="1" outlineLevel="1" x14ac:dyDescent="0.25">
      <c r="A13" s="72">
        <v>13</v>
      </c>
      <c r="B13" s="43" t="s">
        <v>301</v>
      </c>
      <c r="C13" s="91" t="s">
        <v>121</v>
      </c>
      <c r="D13" s="86" t="s">
        <v>121</v>
      </c>
      <c r="E13" s="92" t="s">
        <v>121</v>
      </c>
      <c r="F13" s="250" t="s">
        <v>121</v>
      </c>
      <c r="G13" s="250" t="s">
        <v>121</v>
      </c>
      <c r="H13" s="250" t="s">
        <v>121</v>
      </c>
      <c r="I13" s="250" t="s">
        <v>121</v>
      </c>
      <c r="J13" s="250" t="s">
        <v>121</v>
      </c>
      <c r="K13" s="250" t="s">
        <v>121</v>
      </c>
      <c r="L13" s="250" t="s">
        <v>121</v>
      </c>
      <c r="M13" s="86" t="s">
        <v>121</v>
      </c>
      <c r="N13" s="250" t="s">
        <v>121</v>
      </c>
      <c r="O13" s="250" t="s">
        <v>121</v>
      </c>
      <c r="P13" s="250" t="s">
        <v>121</v>
      </c>
      <c r="Q13" s="250" t="s">
        <v>121</v>
      </c>
      <c r="R13" s="250" t="s">
        <v>121</v>
      </c>
      <c r="S13" s="250">
        <v>23206</v>
      </c>
      <c r="T13" s="250">
        <v>23206</v>
      </c>
      <c r="U13" s="250">
        <v>23206.065999999999</v>
      </c>
      <c r="V13" s="250">
        <v>23206.065999999999</v>
      </c>
      <c r="W13" s="250">
        <v>23850.974999999999</v>
      </c>
      <c r="X13" s="165">
        <v>23851</v>
      </c>
      <c r="Y13" s="165">
        <v>23850.974999999999</v>
      </c>
      <c r="Z13" s="165">
        <v>23850.974999999999</v>
      </c>
      <c r="AA13" s="165">
        <v>24513.878000000001</v>
      </c>
      <c r="AB13" s="165">
        <v>24513.878000000001</v>
      </c>
      <c r="AC13" s="165">
        <v>24513.878000000001</v>
      </c>
      <c r="AD13" s="165">
        <v>24513.878000000001</v>
      </c>
      <c r="AE13" s="165">
        <v>24513.878000000001</v>
      </c>
      <c r="AF13" s="165">
        <v>24513.878000000001</v>
      </c>
      <c r="AG13" s="165">
        <v>24513.878000000001</v>
      </c>
      <c r="AH13" s="165">
        <v>24513.878000000001</v>
      </c>
      <c r="AI13" s="78">
        <v>24513.878000000001</v>
      </c>
      <c r="AJ13" s="165">
        <v>24513.878000000001</v>
      </c>
      <c r="AK13" s="78">
        <v>24513.878000000001</v>
      </c>
      <c r="AL13" s="45">
        <v>21393.878000000001</v>
      </c>
      <c r="AM13" s="45">
        <v>21393.878000000001</v>
      </c>
      <c r="AN13" s="45">
        <v>21393.878000000001</v>
      </c>
      <c r="AO13" s="45">
        <v>21393.878000000001</v>
      </c>
      <c r="AP13" s="45">
        <v>21393.878000000001</v>
      </c>
      <c r="AQ13" s="45">
        <v>21393.878000000001</v>
      </c>
      <c r="AR13" s="45">
        <v>21393.878000000001</v>
      </c>
      <c r="AS13" s="45">
        <v>21393.878000000001</v>
      </c>
      <c r="AT13" s="45">
        <v>21393.878000000001</v>
      </c>
      <c r="AU13" s="45">
        <v>21393.878000000001</v>
      </c>
      <c r="AV13" s="45">
        <v>21393.878000000001</v>
      </c>
      <c r="AW13" s="45">
        <v>21393.878000000001</v>
      </c>
      <c r="AX13" s="45">
        <v>21393.878000000001</v>
      </c>
      <c r="AY13" s="45">
        <v>21393.878000000001</v>
      </c>
      <c r="AZ13" s="45">
        <v>21393.878000000001</v>
      </c>
      <c r="BA13" s="45">
        <v>21393.878000000001</v>
      </c>
      <c r="BB13" s="45">
        <v>18448.915000000001</v>
      </c>
      <c r="BC13" s="11">
        <v>18448.915000000001</v>
      </c>
      <c r="BD13" s="11">
        <v>18448.915000000001</v>
      </c>
      <c r="BE13" s="11">
        <v>18448.915000000001</v>
      </c>
      <c r="BF13" s="11">
        <v>18448.915000000001</v>
      </c>
      <c r="BG13" s="11">
        <v>18448.915000000001</v>
      </c>
      <c r="BH13" s="11">
        <v>18448.915000000001</v>
      </c>
      <c r="BI13" s="11">
        <v>18448.915000000001</v>
      </c>
      <c r="BJ13" s="11">
        <v>15744.164000000001</v>
      </c>
      <c r="BK13" s="11">
        <v>15744.164000000001</v>
      </c>
      <c r="BL13" s="11">
        <v>15744.164000000001</v>
      </c>
      <c r="BM13" s="1">
        <v>15744.164000000001</v>
      </c>
      <c r="BN13" s="1">
        <v>15744.164000000001</v>
      </c>
      <c r="BO13" s="1">
        <v>15744.164000000001</v>
      </c>
      <c r="BP13" s="1">
        <v>15744.164000000001</v>
      </c>
      <c r="BQ13" s="1" t="s">
        <v>121</v>
      </c>
      <c r="BR13" s="1" t="s">
        <v>121</v>
      </c>
      <c r="BS13" s="1" t="s">
        <v>121</v>
      </c>
      <c r="BT13" s="1" t="s">
        <v>121</v>
      </c>
      <c r="BU13" s="1" t="s">
        <v>121</v>
      </c>
      <c r="BV13" s="1" t="s">
        <v>121</v>
      </c>
      <c r="BW13" s="1" t="s">
        <v>121</v>
      </c>
      <c r="BX13" s="1" t="s">
        <v>121</v>
      </c>
      <c r="BY13" s="1" t="s">
        <v>121</v>
      </c>
      <c r="BZ13" s="1" t="s">
        <v>121</v>
      </c>
      <c r="CA13" s="1" t="s">
        <v>121</v>
      </c>
      <c r="CB13" s="1" t="s">
        <v>121</v>
      </c>
      <c r="CC13" s="1" t="s">
        <v>121</v>
      </c>
      <c r="CD13" s="1" t="s">
        <v>121</v>
      </c>
      <c r="CE13" s="1" t="s">
        <v>121</v>
      </c>
      <c r="CF13" s="1" t="s">
        <v>121</v>
      </c>
      <c r="CG13" s="1" t="s">
        <v>121</v>
      </c>
      <c r="CH13" s="1" t="s">
        <v>121</v>
      </c>
      <c r="CI13" s="1" t="s">
        <v>121</v>
      </c>
      <c r="CJ13" s="1" t="s">
        <v>121</v>
      </c>
      <c r="CK13" s="1" t="s">
        <v>121</v>
      </c>
      <c r="CL13" s="1" t="s">
        <v>121</v>
      </c>
      <c r="CM13" s="1" t="s">
        <v>121</v>
      </c>
      <c r="CN13" s="1" t="s">
        <v>121</v>
      </c>
      <c r="CO13" s="1" t="s">
        <v>121</v>
      </c>
      <c r="CP13" s="1" t="s">
        <v>121</v>
      </c>
      <c r="CQ13" s="1" t="s">
        <v>121</v>
      </c>
      <c r="CR13" s="1" t="s">
        <v>121</v>
      </c>
      <c r="CS13" s="1" t="s">
        <v>121</v>
      </c>
      <c r="CT13" s="1" t="s">
        <v>121</v>
      </c>
      <c r="CU13" s="1" t="s">
        <v>121</v>
      </c>
      <c r="CV13" s="1" t="s">
        <v>121</v>
      </c>
      <c r="CW13" s="1" t="s">
        <v>121</v>
      </c>
      <c r="CX13" s="1" t="s">
        <v>121</v>
      </c>
      <c r="CY13" s="1" t="s">
        <v>121</v>
      </c>
      <c r="CZ13" s="1" t="s">
        <v>121</v>
      </c>
      <c r="DA13" s="1" t="s">
        <v>121</v>
      </c>
      <c r="DB13" s="1" t="s">
        <v>121</v>
      </c>
      <c r="DC13" s="1" t="s">
        <v>121</v>
      </c>
      <c r="DD13" s="1" t="s">
        <v>121</v>
      </c>
      <c r="DE13" s="1" t="s">
        <v>121</v>
      </c>
      <c r="DF13" s="1" t="s">
        <v>121</v>
      </c>
      <c r="DG13" s="1" t="s">
        <v>121</v>
      </c>
      <c r="DH13" s="1" t="s">
        <v>121</v>
      </c>
      <c r="DI13" s="1" t="s">
        <v>121</v>
      </c>
      <c r="DJ13" s="1" t="s">
        <v>121</v>
      </c>
      <c r="DK13" s="1" t="s">
        <v>121</v>
      </c>
      <c r="DL13" s="1" t="s">
        <v>121</v>
      </c>
      <c r="DM13" s="1" t="s">
        <v>121</v>
      </c>
      <c r="DN13" s="1" t="s">
        <v>121</v>
      </c>
      <c r="DO13" s="1" t="s">
        <v>121</v>
      </c>
      <c r="DP13" s="1" t="s">
        <v>121</v>
      </c>
      <c r="DQ13" s="1" t="s">
        <v>121</v>
      </c>
      <c r="DR13" s="1" t="s">
        <v>121</v>
      </c>
      <c r="DS13" s="1" t="s">
        <v>121</v>
      </c>
      <c r="DT13" s="1" t="s">
        <v>121</v>
      </c>
      <c r="DU13" s="1" t="s">
        <v>121</v>
      </c>
      <c r="DV13" s="1" t="s">
        <v>121</v>
      </c>
      <c r="DW13" s="1" t="s">
        <v>121</v>
      </c>
      <c r="DX13" s="1" t="s">
        <v>121</v>
      </c>
      <c r="DY13" s="1" t="s">
        <v>121</v>
      </c>
      <c r="DZ13" s="1" t="s">
        <v>121</v>
      </c>
      <c r="EA13" s="1" t="s">
        <v>121</v>
      </c>
      <c r="EB13" s="1" t="s">
        <v>121</v>
      </c>
      <c r="EC13" s="1" t="s">
        <v>121</v>
      </c>
      <c r="ED13" s="1" t="s">
        <v>121</v>
      </c>
      <c r="EE13" s="1" t="s">
        <v>121</v>
      </c>
      <c r="EF13" s="1" t="s">
        <v>121</v>
      </c>
      <c r="EG13" s="1" t="s">
        <v>121</v>
      </c>
      <c r="EH13" s="1" t="s">
        <v>121</v>
      </c>
      <c r="EI13" s="1" t="s">
        <v>121</v>
      </c>
      <c r="EJ13" s="1" t="s">
        <v>121</v>
      </c>
      <c r="EK13" s="1" t="s">
        <v>121</v>
      </c>
      <c r="EL13" s="1" t="s">
        <v>121</v>
      </c>
      <c r="EM13" s="1" t="s">
        <v>121</v>
      </c>
      <c r="EN13" s="1" t="s">
        <v>121</v>
      </c>
      <c r="EO13" s="1" t="s">
        <v>121</v>
      </c>
    </row>
    <row r="14" spans="1:153" ht="15" hidden="1" customHeight="1" outlineLevel="1" x14ac:dyDescent="0.25">
      <c r="A14" s="72">
        <v>14</v>
      </c>
      <c r="B14" s="43" t="s">
        <v>306</v>
      </c>
      <c r="C14" s="91" t="s">
        <v>121</v>
      </c>
      <c r="D14" s="86" t="s">
        <v>121</v>
      </c>
      <c r="E14" s="92" t="s">
        <v>121</v>
      </c>
      <c r="F14" s="255" t="s">
        <v>121</v>
      </c>
      <c r="G14" s="255" t="s">
        <v>121</v>
      </c>
      <c r="H14" s="255" t="s">
        <v>121</v>
      </c>
      <c r="I14" s="255" t="s">
        <v>121</v>
      </c>
      <c r="J14" s="255" t="s">
        <v>121</v>
      </c>
      <c r="K14" s="255" t="s">
        <v>121</v>
      </c>
      <c r="L14" s="255" t="s">
        <v>121</v>
      </c>
      <c r="M14" s="86" t="s">
        <v>121</v>
      </c>
      <c r="N14" s="255" t="s">
        <v>121</v>
      </c>
      <c r="O14" s="255" t="s">
        <v>121</v>
      </c>
      <c r="P14" s="255" t="s">
        <v>121</v>
      </c>
      <c r="Q14" s="255" t="s">
        <v>121</v>
      </c>
      <c r="R14" s="255" t="s">
        <v>121</v>
      </c>
      <c r="S14" s="255">
        <v>76836</v>
      </c>
      <c r="T14" s="255">
        <v>74088</v>
      </c>
      <c r="U14" s="255">
        <v>67856.11</v>
      </c>
      <c r="V14" s="255">
        <v>62970.237000000001</v>
      </c>
      <c r="W14" s="255">
        <v>60178.332000000002</v>
      </c>
      <c r="X14" s="22">
        <v>57785</v>
      </c>
      <c r="Y14" s="22">
        <v>55594.514999999999</v>
      </c>
      <c r="Z14" s="22">
        <v>52842.06</v>
      </c>
      <c r="AA14" s="22">
        <v>50737.646000000001</v>
      </c>
      <c r="AB14" s="22">
        <v>48456.483</v>
      </c>
      <c r="AC14" s="22">
        <v>46618.648000000001</v>
      </c>
      <c r="AD14" s="147">
        <v>44611.612000000001</v>
      </c>
      <c r="AE14" s="147">
        <v>44075.394</v>
      </c>
      <c r="AF14" s="147">
        <v>42903.49</v>
      </c>
      <c r="AG14" s="147">
        <v>40349.639000000003</v>
      </c>
      <c r="AH14" s="147">
        <v>38311.286999999997</v>
      </c>
      <c r="AI14" s="125">
        <v>36186.665999999997</v>
      </c>
      <c r="AJ14" s="147">
        <v>37109.43</v>
      </c>
      <c r="AK14" s="125">
        <v>35362.767999999996</v>
      </c>
      <c r="AL14" s="125">
        <v>32975.593999999997</v>
      </c>
      <c r="AM14" s="125">
        <v>31616.55</v>
      </c>
      <c r="AN14" s="125">
        <v>30139.72</v>
      </c>
      <c r="AO14" s="125">
        <v>28892.581999999999</v>
      </c>
      <c r="AP14" s="125">
        <v>27857.717000000001</v>
      </c>
      <c r="AQ14" s="125">
        <v>27420.6</v>
      </c>
      <c r="AR14" s="125">
        <v>26251.09</v>
      </c>
      <c r="AS14" s="125">
        <v>25320.034</v>
      </c>
      <c r="AT14" s="125">
        <v>24200.11</v>
      </c>
      <c r="AU14" s="125">
        <v>23728.933000000001</v>
      </c>
      <c r="AV14" s="125">
        <v>22736.128000000001</v>
      </c>
      <c r="AW14" s="125">
        <v>22919.308000000001</v>
      </c>
      <c r="AX14" s="125">
        <v>21690.592000000001</v>
      </c>
      <c r="AY14" s="125">
        <v>20497.2</v>
      </c>
      <c r="AZ14" s="11">
        <v>18821.637999999999</v>
      </c>
      <c r="BA14" s="11">
        <v>15742.261</v>
      </c>
      <c r="BB14" s="45">
        <v>14129.522000000001</v>
      </c>
      <c r="BC14" s="11">
        <v>14073.687</v>
      </c>
      <c r="BD14" s="11">
        <v>12993.757</v>
      </c>
      <c r="BE14" s="11">
        <v>12463.923000000001</v>
      </c>
      <c r="BF14" s="11">
        <v>11767.276</v>
      </c>
      <c r="BG14" s="11">
        <v>12446.708000000001</v>
      </c>
      <c r="BH14" s="11">
        <v>12297.014999999999</v>
      </c>
      <c r="BI14" s="11">
        <v>12042.61</v>
      </c>
      <c r="BJ14" s="11">
        <v>10899.996999999999</v>
      </c>
      <c r="BK14" s="11">
        <v>9288.5319999999992</v>
      </c>
      <c r="BL14" s="11">
        <v>7198.1450000000004</v>
      </c>
      <c r="BM14" s="1">
        <v>5383.3710000000001</v>
      </c>
      <c r="BN14" s="1">
        <v>4210.5119999999997</v>
      </c>
      <c r="BO14" s="1">
        <v>4262.2349999999997</v>
      </c>
      <c r="BP14" s="1">
        <v>3912.4009999999998</v>
      </c>
      <c r="BQ14" s="1" t="s">
        <v>121</v>
      </c>
      <c r="BR14" s="1" t="s">
        <v>121</v>
      </c>
      <c r="BS14" s="1" t="s">
        <v>121</v>
      </c>
      <c r="BT14" s="1" t="s">
        <v>121</v>
      </c>
      <c r="BU14" s="1" t="s">
        <v>121</v>
      </c>
      <c r="BV14" s="1" t="s">
        <v>121</v>
      </c>
      <c r="BW14" s="1" t="s">
        <v>121</v>
      </c>
      <c r="BX14" s="1" t="s">
        <v>121</v>
      </c>
      <c r="BY14" s="1" t="s">
        <v>121</v>
      </c>
      <c r="BZ14" s="1" t="s">
        <v>121</v>
      </c>
      <c r="CA14" s="1" t="s">
        <v>121</v>
      </c>
      <c r="CB14" s="1" t="s">
        <v>121</v>
      </c>
      <c r="CC14" s="1" t="s">
        <v>121</v>
      </c>
      <c r="CD14" s="1" t="s">
        <v>121</v>
      </c>
      <c r="CE14" s="1" t="s">
        <v>121</v>
      </c>
      <c r="CF14" s="1" t="s">
        <v>121</v>
      </c>
      <c r="CG14" s="1" t="s">
        <v>121</v>
      </c>
      <c r="CH14" s="1" t="s">
        <v>121</v>
      </c>
      <c r="CI14" s="1" t="s">
        <v>121</v>
      </c>
      <c r="CJ14" s="1" t="s">
        <v>121</v>
      </c>
      <c r="CK14" s="1" t="s">
        <v>121</v>
      </c>
      <c r="CL14" s="1" t="s">
        <v>121</v>
      </c>
      <c r="CM14" s="1" t="s">
        <v>121</v>
      </c>
      <c r="CN14" s="1" t="s">
        <v>121</v>
      </c>
      <c r="CO14" s="1" t="s">
        <v>121</v>
      </c>
      <c r="CP14" s="1" t="s">
        <v>121</v>
      </c>
      <c r="CQ14" s="1" t="s">
        <v>121</v>
      </c>
      <c r="CR14" s="1" t="s">
        <v>121</v>
      </c>
      <c r="CS14" s="1" t="s">
        <v>121</v>
      </c>
      <c r="CT14" s="1" t="s">
        <v>121</v>
      </c>
      <c r="CU14" s="1" t="s">
        <v>121</v>
      </c>
      <c r="CV14" s="1" t="s">
        <v>121</v>
      </c>
      <c r="CW14" s="1" t="s">
        <v>121</v>
      </c>
      <c r="CX14" s="1" t="s">
        <v>121</v>
      </c>
      <c r="CY14" s="1" t="s">
        <v>121</v>
      </c>
      <c r="CZ14" s="1" t="s">
        <v>121</v>
      </c>
      <c r="DA14" s="1" t="s">
        <v>121</v>
      </c>
      <c r="DB14" s="1" t="s">
        <v>121</v>
      </c>
      <c r="DC14" s="1" t="s">
        <v>121</v>
      </c>
      <c r="DD14" s="1" t="s">
        <v>121</v>
      </c>
      <c r="DE14" s="1" t="s">
        <v>121</v>
      </c>
      <c r="DF14" s="1" t="s">
        <v>121</v>
      </c>
      <c r="DG14" s="1" t="s">
        <v>121</v>
      </c>
      <c r="DH14" s="1" t="s">
        <v>121</v>
      </c>
      <c r="DI14" s="1" t="s">
        <v>121</v>
      </c>
      <c r="DJ14" s="1" t="s">
        <v>121</v>
      </c>
      <c r="DK14" s="1" t="s">
        <v>121</v>
      </c>
      <c r="DL14" s="1" t="s">
        <v>121</v>
      </c>
      <c r="DM14" s="1" t="s">
        <v>121</v>
      </c>
      <c r="DN14" s="1" t="s">
        <v>121</v>
      </c>
      <c r="DO14" s="1" t="s">
        <v>121</v>
      </c>
      <c r="DP14" s="1" t="s">
        <v>121</v>
      </c>
      <c r="DQ14" s="1" t="s">
        <v>121</v>
      </c>
      <c r="DR14" s="1" t="s">
        <v>121</v>
      </c>
      <c r="DS14" s="1" t="s">
        <v>121</v>
      </c>
      <c r="DT14" s="1" t="s">
        <v>121</v>
      </c>
      <c r="DU14" s="1" t="s">
        <v>121</v>
      </c>
      <c r="DV14" s="1" t="s">
        <v>121</v>
      </c>
      <c r="DW14" s="1" t="s">
        <v>121</v>
      </c>
      <c r="DX14" s="1" t="s">
        <v>121</v>
      </c>
      <c r="DY14" s="1" t="s">
        <v>121</v>
      </c>
      <c r="DZ14" s="1" t="s">
        <v>121</v>
      </c>
      <c r="EA14" s="1" t="s">
        <v>121</v>
      </c>
      <c r="EB14" s="1" t="s">
        <v>121</v>
      </c>
      <c r="EC14" s="1" t="s">
        <v>121</v>
      </c>
      <c r="ED14" s="1" t="s">
        <v>121</v>
      </c>
      <c r="EE14" s="1" t="s">
        <v>121</v>
      </c>
      <c r="EF14" s="1" t="s">
        <v>121</v>
      </c>
      <c r="EG14" s="1" t="s">
        <v>121</v>
      </c>
      <c r="EH14" s="1" t="s">
        <v>121</v>
      </c>
      <c r="EI14" s="1" t="s">
        <v>121</v>
      </c>
      <c r="EJ14" s="1" t="s">
        <v>121</v>
      </c>
      <c r="EK14" s="1" t="s">
        <v>121</v>
      </c>
      <c r="EL14" s="1" t="s">
        <v>121</v>
      </c>
      <c r="EM14" s="1" t="s">
        <v>121</v>
      </c>
      <c r="EN14" s="1" t="s">
        <v>121</v>
      </c>
      <c r="EO14" s="1" t="s">
        <v>121</v>
      </c>
    </row>
    <row r="15" spans="1:153" ht="15" hidden="1" customHeight="1" outlineLevel="1" x14ac:dyDescent="0.25">
      <c r="A15" s="72">
        <v>15</v>
      </c>
      <c r="B15" s="43" t="s">
        <v>391</v>
      </c>
      <c r="C15" s="91" t="s">
        <v>121</v>
      </c>
      <c r="D15" s="86" t="s">
        <v>121</v>
      </c>
      <c r="E15" s="92" t="s">
        <v>121</v>
      </c>
      <c r="F15" s="255" t="s">
        <v>121</v>
      </c>
      <c r="G15" s="255" t="s">
        <v>121</v>
      </c>
      <c r="H15" s="255" t="s">
        <v>121</v>
      </c>
      <c r="I15" s="255" t="s">
        <v>121</v>
      </c>
      <c r="J15" s="255" t="s">
        <v>121</v>
      </c>
      <c r="K15" s="255" t="s">
        <v>121</v>
      </c>
      <c r="L15" s="255" t="s">
        <v>121</v>
      </c>
      <c r="M15" s="86" t="s">
        <v>121</v>
      </c>
      <c r="N15" s="255" t="s">
        <v>121</v>
      </c>
      <c r="O15" s="255" t="s">
        <v>121</v>
      </c>
      <c r="P15" s="255" t="s">
        <v>121</v>
      </c>
      <c r="Q15" s="255" t="s">
        <v>121</v>
      </c>
      <c r="R15" s="255" t="s">
        <v>121</v>
      </c>
      <c r="S15" s="255" t="s">
        <v>121</v>
      </c>
      <c r="T15" s="255" t="s">
        <v>121</v>
      </c>
      <c r="U15" s="255" t="s">
        <v>121</v>
      </c>
      <c r="V15" s="255" t="s">
        <v>121</v>
      </c>
      <c r="W15" s="255" t="s">
        <v>121</v>
      </c>
      <c r="X15" s="22" t="s">
        <v>121</v>
      </c>
      <c r="Y15" s="22" t="s">
        <v>121</v>
      </c>
      <c r="Z15" s="22" t="s">
        <v>121</v>
      </c>
      <c r="AA15" s="22" t="s">
        <v>121</v>
      </c>
      <c r="AB15" s="22" t="s">
        <v>121</v>
      </c>
      <c r="AC15" s="22">
        <v>361.68200000000002</v>
      </c>
      <c r="AD15" s="147">
        <v>358.976</v>
      </c>
      <c r="AE15" s="147">
        <v>434.58100000000002</v>
      </c>
      <c r="AF15" s="147">
        <v>1086.5450000000001</v>
      </c>
      <c r="AG15" s="147">
        <v>1137.057</v>
      </c>
      <c r="AH15" s="147">
        <v>589.01499999999999</v>
      </c>
      <c r="AI15" s="125">
        <v>603.38800000000003</v>
      </c>
      <c r="AJ15" s="147">
        <v>590.39200000000005</v>
      </c>
      <c r="AK15" s="125">
        <v>583.13099999999997</v>
      </c>
      <c r="AL15" s="125">
        <v>490.69900000000001</v>
      </c>
      <c r="AM15" s="125" t="s">
        <v>121</v>
      </c>
      <c r="AN15" s="125" t="s">
        <v>121</v>
      </c>
      <c r="AO15" s="125" t="s">
        <v>121</v>
      </c>
      <c r="AP15" s="125" t="s">
        <v>121</v>
      </c>
      <c r="AQ15" s="125" t="s">
        <v>121</v>
      </c>
      <c r="AR15" s="125" t="s">
        <v>121</v>
      </c>
      <c r="AS15" s="125" t="s">
        <v>121</v>
      </c>
      <c r="AT15" s="125" t="s">
        <v>121</v>
      </c>
      <c r="AU15" s="125" t="s">
        <v>121</v>
      </c>
      <c r="AV15" s="125" t="s">
        <v>121</v>
      </c>
      <c r="AW15" s="125" t="s">
        <v>121</v>
      </c>
      <c r="AX15" s="125" t="s">
        <v>121</v>
      </c>
      <c r="AY15" s="125" t="s">
        <v>121</v>
      </c>
      <c r="AZ15" s="11" t="s">
        <v>121</v>
      </c>
      <c r="BA15" s="11" t="s">
        <v>121</v>
      </c>
      <c r="BB15" s="45" t="s">
        <v>121</v>
      </c>
      <c r="BC15" s="11" t="s">
        <v>121</v>
      </c>
      <c r="BD15" s="11" t="s">
        <v>121</v>
      </c>
      <c r="BE15" s="11" t="s">
        <v>121</v>
      </c>
      <c r="BF15" s="11" t="s">
        <v>121</v>
      </c>
      <c r="BG15" s="11" t="s">
        <v>121</v>
      </c>
      <c r="BH15" s="11" t="s">
        <v>121</v>
      </c>
      <c r="BI15" s="11" t="s">
        <v>121</v>
      </c>
      <c r="BJ15" s="11" t="s">
        <v>121</v>
      </c>
      <c r="BK15" s="11" t="s">
        <v>121</v>
      </c>
      <c r="BL15" s="11" t="s">
        <v>121</v>
      </c>
      <c r="BM15" s="1" t="s">
        <v>121</v>
      </c>
      <c r="BN15" s="1" t="s">
        <v>121</v>
      </c>
      <c r="BO15" s="1" t="s">
        <v>121</v>
      </c>
      <c r="BP15" s="1" t="s">
        <v>121</v>
      </c>
      <c r="BQ15" s="1" t="s">
        <v>121</v>
      </c>
      <c r="BR15" s="1" t="s">
        <v>121</v>
      </c>
      <c r="BS15" s="1" t="s">
        <v>121</v>
      </c>
      <c r="BT15" s="1" t="s">
        <v>121</v>
      </c>
      <c r="BU15" s="1" t="s">
        <v>121</v>
      </c>
      <c r="BV15" s="1" t="s">
        <v>121</v>
      </c>
      <c r="BW15" s="1" t="s">
        <v>121</v>
      </c>
      <c r="BX15" s="1" t="s">
        <v>121</v>
      </c>
      <c r="BY15" s="1" t="s">
        <v>121</v>
      </c>
      <c r="BZ15" s="1" t="s">
        <v>121</v>
      </c>
      <c r="CA15" s="1" t="s">
        <v>121</v>
      </c>
      <c r="CB15" s="1" t="s">
        <v>121</v>
      </c>
      <c r="CC15" s="1" t="s">
        <v>121</v>
      </c>
      <c r="CD15" s="1" t="s">
        <v>121</v>
      </c>
      <c r="CE15" s="1" t="s">
        <v>121</v>
      </c>
      <c r="CF15" s="1" t="s">
        <v>121</v>
      </c>
      <c r="CG15" s="1" t="s">
        <v>121</v>
      </c>
      <c r="CH15" s="1" t="s">
        <v>121</v>
      </c>
      <c r="CI15" s="1" t="s">
        <v>121</v>
      </c>
      <c r="CJ15" s="1" t="s">
        <v>121</v>
      </c>
      <c r="CK15" s="1" t="s">
        <v>121</v>
      </c>
      <c r="CL15" s="1" t="s">
        <v>121</v>
      </c>
      <c r="CM15" s="1" t="s">
        <v>121</v>
      </c>
      <c r="CN15" s="1" t="s">
        <v>121</v>
      </c>
      <c r="CO15" s="1" t="s">
        <v>121</v>
      </c>
      <c r="CP15" s="1" t="s">
        <v>121</v>
      </c>
      <c r="CQ15" s="1" t="s">
        <v>121</v>
      </c>
      <c r="CR15" s="1" t="s">
        <v>121</v>
      </c>
      <c r="CS15" s="1" t="s">
        <v>121</v>
      </c>
      <c r="CT15" s="1" t="s">
        <v>121</v>
      </c>
      <c r="CU15" s="1" t="s">
        <v>121</v>
      </c>
      <c r="CV15" s="1" t="s">
        <v>121</v>
      </c>
      <c r="CW15" s="1" t="s">
        <v>121</v>
      </c>
      <c r="CX15" s="1" t="s">
        <v>121</v>
      </c>
      <c r="CY15" s="1" t="s">
        <v>121</v>
      </c>
      <c r="CZ15" s="1" t="s">
        <v>121</v>
      </c>
      <c r="DA15" s="1" t="s">
        <v>121</v>
      </c>
      <c r="DB15" s="1" t="s">
        <v>121</v>
      </c>
      <c r="DC15" s="1" t="s">
        <v>121</v>
      </c>
      <c r="DD15" s="1" t="s">
        <v>121</v>
      </c>
      <c r="DE15" s="1" t="s">
        <v>121</v>
      </c>
      <c r="DF15" s="1" t="s">
        <v>121</v>
      </c>
      <c r="DG15" s="1" t="s">
        <v>121</v>
      </c>
      <c r="DH15" s="1" t="s">
        <v>121</v>
      </c>
      <c r="DI15" s="1" t="s">
        <v>121</v>
      </c>
      <c r="DJ15" s="1" t="s">
        <v>121</v>
      </c>
      <c r="DK15" s="1" t="s">
        <v>121</v>
      </c>
      <c r="DL15" s="1" t="s">
        <v>121</v>
      </c>
      <c r="DM15" s="1" t="s">
        <v>121</v>
      </c>
      <c r="DN15" s="1" t="s">
        <v>121</v>
      </c>
      <c r="DO15" s="1" t="s">
        <v>121</v>
      </c>
      <c r="DP15" s="1" t="s">
        <v>121</v>
      </c>
      <c r="DQ15" s="1" t="s">
        <v>121</v>
      </c>
      <c r="DR15" s="1" t="s">
        <v>121</v>
      </c>
      <c r="DS15" s="1" t="s">
        <v>121</v>
      </c>
      <c r="DT15" s="1" t="s">
        <v>121</v>
      </c>
      <c r="DU15" s="1" t="s">
        <v>121</v>
      </c>
      <c r="DV15" s="1" t="s">
        <v>121</v>
      </c>
      <c r="DW15" s="1" t="s">
        <v>121</v>
      </c>
      <c r="DX15" s="1" t="s">
        <v>121</v>
      </c>
      <c r="DY15" s="1" t="s">
        <v>121</v>
      </c>
      <c r="DZ15" s="1" t="s">
        <v>121</v>
      </c>
      <c r="EA15" s="1" t="s">
        <v>121</v>
      </c>
      <c r="EB15" s="1" t="s">
        <v>121</v>
      </c>
      <c r="EC15" s="1" t="s">
        <v>121</v>
      </c>
      <c r="ED15" s="1" t="s">
        <v>121</v>
      </c>
      <c r="EE15" s="1" t="s">
        <v>121</v>
      </c>
      <c r="EF15" s="1" t="s">
        <v>121</v>
      </c>
      <c r="EG15" s="1" t="s">
        <v>121</v>
      </c>
      <c r="EH15" s="1" t="s">
        <v>121</v>
      </c>
      <c r="EI15" s="1" t="s">
        <v>121</v>
      </c>
      <c r="EJ15" s="1" t="s">
        <v>121</v>
      </c>
      <c r="EK15" s="1" t="s">
        <v>121</v>
      </c>
      <c r="EL15" s="1" t="s">
        <v>121</v>
      </c>
      <c r="EM15" s="1" t="s">
        <v>121</v>
      </c>
      <c r="EN15" s="1" t="s">
        <v>121</v>
      </c>
      <c r="EO15" s="1" t="s">
        <v>121</v>
      </c>
    </row>
    <row r="16" spans="1:153" ht="15" hidden="1" customHeight="1" outlineLevel="1" x14ac:dyDescent="0.25">
      <c r="A16" s="72">
        <v>16</v>
      </c>
      <c r="B16" s="43" t="s">
        <v>392</v>
      </c>
      <c r="C16" s="91" t="s">
        <v>121</v>
      </c>
      <c r="D16" s="86" t="s">
        <v>121</v>
      </c>
      <c r="E16" s="92" t="s">
        <v>121</v>
      </c>
      <c r="F16" s="255" t="s">
        <v>121</v>
      </c>
      <c r="G16" s="255" t="s">
        <v>121</v>
      </c>
      <c r="H16" s="255" t="s">
        <v>121</v>
      </c>
      <c r="I16" s="255" t="s">
        <v>121</v>
      </c>
      <c r="J16" s="255" t="s">
        <v>121</v>
      </c>
      <c r="K16" s="255" t="s">
        <v>121</v>
      </c>
      <c r="L16" s="255" t="s">
        <v>121</v>
      </c>
      <c r="M16" s="86" t="s">
        <v>121</v>
      </c>
      <c r="N16" s="255" t="s">
        <v>121</v>
      </c>
      <c r="O16" s="255" t="s">
        <v>121</v>
      </c>
      <c r="P16" s="255" t="s">
        <v>121</v>
      </c>
      <c r="Q16" s="255" t="s">
        <v>121</v>
      </c>
      <c r="R16" s="255" t="s">
        <v>121</v>
      </c>
      <c r="S16" s="255" t="s">
        <v>121</v>
      </c>
      <c r="T16" s="255" t="s">
        <v>121</v>
      </c>
      <c r="U16" s="255" t="s">
        <v>121</v>
      </c>
      <c r="V16" s="255" t="s">
        <v>121</v>
      </c>
      <c r="W16" s="255" t="s">
        <v>121</v>
      </c>
      <c r="X16" s="147" t="s">
        <v>121</v>
      </c>
      <c r="Y16" s="147" t="s">
        <v>121</v>
      </c>
      <c r="Z16" s="147" t="s">
        <v>121</v>
      </c>
      <c r="AA16" s="147" t="s">
        <v>121</v>
      </c>
      <c r="AB16" s="147">
        <v>-114.873</v>
      </c>
      <c r="AC16" s="147">
        <v>-114.873</v>
      </c>
      <c r="AD16" s="147">
        <v>-114.873</v>
      </c>
      <c r="AE16" s="147">
        <v>-114.873</v>
      </c>
      <c r="AF16" s="147">
        <v>-114.873</v>
      </c>
      <c r="AG16" s="147">
        <v>-114.873</v>
      </c>
      <c r="AH16" s="147">
        <v>-114.873</v>
      </c>
      <c r="AI16" s="125">
        <v>-114.873</v>
      </c>
      <c r="AJ16" s="147">
        <v>-114.873</v>
      </c>
      <c r="AK16" s="125">
        <v>-114.873</v>
      </c>
      <c r="AL16" s="125">
        <v>-114.873</v>
      </c>
      <c r="AM16" s="125" t="s">
        <v>121</v>
      </c>
      <c r="AN16" s="125" t="s">
        <v>121</v>
      </c>
      <c r="AO16" s="125" t="s">
        <v>121</v>
      </c>
      <c r="AP16" s="125" t="s">
        <v>121</v>
      </c>
      <c r="AQ16" s="125" t="s">
        <v>121</v>
      </c>
      <c r="AR16" s="125" t="s">
        <v>121</v>
      </c>
      <c r="AS16" s="125" t="s">
        <v>121</v>
      </c>
      <c r="AT16" s="125" t="s">
        <v>121</v>
      </c>
      <c r="AU16" s="125" t="s">
        <v>121</v>
      </c>
      <c r="AV16" s="125" t="s">
        <v>121</v>
      </c>
      <c r="AW16" s="125" t="s">
        <v>121</v>
      </c>
      <c r="AX16" s="125" t="s">
        <v>121</v>
      </c>
      <c r="AY16" s="125" t="s">
        <v>121</v>
      </c>
      <c r="AZ16" s="11" t="s">
        <v>121</v>
      </c>
      <c r="BA16" s="11" t="s">
        <v>121</v>
      </c>
      <c r="BB16" s="45" t="s">
        <v>121</v>
      </c>
      <c r="BC16" s="11" t="s">
        <v>121</v>
      </c>
      <c r="BD16" s="11" t="s">
        <v>121</v>
      </c>
      <c r="BE16" s="11" t="s">
        <v>121</v>
      </c>
      <c r="BF16" s="11" t="s">
        <v>121</v>
      </c>
      <c r="BG16" s="11" t="s">
        <v>121</v>
      </c>
      <c r="BH16" s="11" t="s">
        <v>121</v>
      </c>
      <c r="BI16" s="11" t="s">
        <v>121</v>
      </c>
      <c r="BJ16" s="11" t="s">
        <v>121</v>
      </c>
      <c r="BK16" s="11" t="s">
        <v>121</v>
      </c>
      <c r="BL16" s="11" t="s">
        <v>121</v>
      </c>
      <c r="BM16" s="1" t="s">
        <v>121</v>
      </c>
      <c r="BN16" s="1" t="s">
        <v>121</v>
      </c>
      <c r="BO16" s="1" t="s">
        <v>121</v>
      </c>
      <c r="BP16" s="1" t="s">
        <v>121</v>
      </c>
      <c r="BQ16" s="1" t="s">
        <v>121</v>
      </c>
      <c r="BR16" s="1" t="s">
        <v>121</v>
      </c>
      <c r="BS16" s="1" t="s">
        <v>121</v>
      </c>
      <c r="BT16" s="1" t="s">
        <v>121</v>
      </c>
      <c r="BU16" s="1" t="s">
        <v>121</v>
      </c>
      <c r="BV16" s="1" t="s">
        <v>121</v>
      </c>
      <c r="BW16" s="1" t="s">
        <v>121</v>
      </c>
      <c r="BX16" s="1" t="s">
        <v>121</v>
      </c>
      <c r="BY16" s="1" t="s">
        <v>121</v>
      </c>
      <c r="BZ16" s="1" t="s">
        <v>121</v>
      </c>
      <c r="CA16" s="1" t="s">
        <v>121</v>
      </c>
      <c r="CB16" s="1" t="s">
        <v>121</v>
      </c>
      <c r="CC16" s="1" t="s">
        <v>121</v>
      </c>
      <c r="CD16" s="1" t="s">
        <v>121</v>
      </c>
      <c r="CE16" s="1" t="s">
        <v>121</v>
      </c>
      <c r="CF16" s="1" t="s">
        <v>121</v>
      </c>
      <c r="CG16" s="1" t="s">
        <v>121</v>
      </c>
      <c r="CH16" s="1" t="s">
        <v>121</v>
      </c>
      <c r="CI16" s="1" t="s">
        <v>121</v>
      </c>
      <c r="CJ16" s="1" t="s">
        <v>121</v>
      </c>
      <c r="CK16" s="1" t="s">
        <v>121</v>
      </c>
      <c r="CL16" s="1" t="s">
        <v>121</v>
      </c>
      <c r="CM16" s="1" t="s">
        <v>121</v>
      </c>
      <c r="CN16" s="1" t="s">
        <v>121</v>
      </c>
      <c r="CO16" s="1" t="s">
        <v>121</v>
      </c>
      <c r="CP16" s="1" t="s">
        <v>121</v>
      </c>
      <c r="CQ16" s="1" t="s">
        <v>121</v>
      </c>
      <c r="CR16" s="1" t="s">
        <v>121</v>
      </c>
      <c r="CS16" s="1" t="s">
        <v>121</v>
      </c>
      <c r="CT16" s="1" t="s">
        <v>121</v>
      </c>
      <c r="CU16" s="1" t="s">
        <v>121</v>
      </c>
      <c r="CV16" s="1" t="s">
        <v>121</v>
      </c>
      <c r="CW16" s="1" t="s">
        <v>121</v>
      </c>
      <c r="CX16" s="1" t="s">
        <v>121</v>
      </c>
      <c r="CY16" s="1" t="s">
        <v>121</v>
      </c>
      <c r="CZ16" s="1" t="s">
        <v>121</v>
      </c>
      <c r="DA16" s="1" t="s">
        <v>121</v>
      </c>
      <c r="DB16" s="1" t="s">
        <v>121</v>
      </c>
      <c r="DC16" s="1" t="s">
        <v>121</v>
      </c>
      <c r="DD16" s="1" t="s">
        <v>121</v>
      </c>
      <c r="DE16" s="1" t="s">
        <v>121</v>
      </c>
      <c r="DF16" s="1" t="s">
        <v>121</v>
      </c>
      <c r="DG16" s="1" t="s">
        <v>121</v>
      </c>
      <c r="DH16" s="1" t="s">
        <v>121</v>
      </c>
      <c r="DI16" s="1" t="s">
        <v>121</v>
      </c>
      <c r="DJ16" s="1" t="s">
        <v>121</v>
      </c>
      <c r="DK16" s="1" t="s">
        <v>121</v>
      </c>
      <c r="DL16" s="1" t="s">
        <v>121</v>
      </c>
      <c r="DM16" s="1" t="s">
        <v>121</v>
      </c>
      <c r="DN16" s="1" t="s">
        <v>121</v>
      </c>
      <c r="DO16" s="1" t="s">
        <v>121</v>
      </c>
      <c r="DP16" s="1" t="s">
        <v>121</v>
      </c>
      <c r="DQ16" s="1" t="s">
        <v>121</v>
      </c>
      <c r="DR16" s="1" t="s">
        <v>121</v>
      </c>
      <c r="DS16" s="1" t="s">
        <v>121</v>
      </c>
      <c r="DT16" s="1" t="s">
        <v>121</v>
      </c>
      <c r="DU16" s="1" t="s">
        <v>121</v>
      </c>
      <c r="DV16" s="1" t="s">
        <v>121</v>
      </c>
      <c r="DW16" s="1" t="s">
        <v>121</v>
      </c>
      <c r="DX16" s="1" t="s">
        <v>121</v>
      </c>
      <c r="DY16" s="1" t="s">
        <v>121</v>
      </c>
      <c r="DZ16" s="1" t="s">
        <v>121</v>
      </c>
      <c r="EA16" s="1" t="s">
        <v>121</v>
      </c>
      <c r="EB16" s="1" t="s">
        <v>121</v>
      </c>
      <c r="EC16" s="1" t="s">
        <v>121</v>
      </c>
      <c r="ED16" s="1" t="s">
        <v>121</v>
      </c>
      <c r="EE16" s="1" t="s">
        <v>121</v>
      </c>
      <c r="EF16" s="1" t="s">
        <v>121</v>
      </c>
      <c r="EG16" s="1" t="s">
        <v>121</v>
      </c>
      <c r="EH16" s="1" t="s">
        <v>121</v>
      </c>
      <c r="EI16" s="1" t="s">
        <v>121</v>
      </c>
      <c r="EJ16" s="1" t="s">
        <v>121</v>
      </c>
      <c r="EK16" s="1" t="s">
        <v>121</v>
      </c>
      <c r="EL16" s="1" t="s">
        <v>121</v>
      </c>
      <c r="EM16" s="1" t="s">
        <v>121</v>
      </c>
      <c r="EN16" s="1" t="s">
        <v>121</v>
      </c>
      <c r="EO16" s="1" t="s">
        <v>121</v>
      </c>
    </row>
    <row r="17" spans="1:145" ht="15" hidden="1" customHeight="1" outlineLevel="1" x14ac:dyDescent="0.25">
      <c r="A17" s="72">
        <v>17</v>
      </c>
      <c r="B17" s="43" t="s">
        <v>302</v>
      </c>
      <c r="C17" s="91" t="s">
        <v>121</v>
      </c>
      <c r="D17" s="86" t="s">
        <v>121</v>
      </c>
      <c r="E17" s="92" t="s">
        <v>121</v>
      </c>
      <c r="F17" s="255" t="s">
        <v>121</v>
      </c>
      <c r="G17" s="255" t="s">
        <v>121</v>
      </c>
      <c r="H17" s="255" t="s">
        <v>121</v>
      </c>
      <c r="I17" s="255" t="s">
        <v>121</v>
      </c>
      <c r="J17" s="255" t="s">
        <v>121</v>
      </c>
      <c r="K17" s="255" t="s">
        <v>121</v>
      </c>
      <c r="L17" s="255" t="s">
        <v>121</v>
      </c>
      <c r="M17" s="86" t="s">
        <v>121</v>
      </c>
      <c r="N17" s="255" t="s">
        <v>121</v>
      </c>
      <c r="O17" s="255" t="s">
        <v>121</v>
      </c>
      <c r="P17" s="255" t="s">
        <v>121</v>
      </c>
      <c r="Q17" s="255" t="s">
        <v>121</v>
      </c>
      <c r="R17" s="255" t="s">
        <v>121</v>
      </c>
      <c r="S17" s="255">
        <v>-1025</v>
      </c>
      <c r="T17" s="255">
        <v>-1025</v>
      </c>
      <c r="U17" s="255">
        <v>-1.208</v>
      </c>
      <c r="V17" s="255" t="s">
        <v>121</v>
      </c>
      <c r="W17" s="255">
        <v>-641.99599999999998</v>
      </c>
      <c r="X17" s="147">
        <v>-642</v>
      </c>
      <c r="Y17" s="147">
        <v>-641.99599999999998</v>
      </c>
      <c r="Z17" s="147">
        <v>-641.99599999999998</v>
      </c>
      <c r="AA17" s="147">
        <v>-1301.9870000000001</v>
      </c>
      <c r="AB17" s="147">
        <v>-1301.9870000000001</v>
      </c>
      <c r="AC17" s="147">
        <v>-659.99099999999999</v>
      </c>
      <c r="AD17" s="147">
        <v>-659.99099999999999</v>
      </c>
      <c r="AE17" s="147">
        <v>-659.99099999999999</v>
      </c>
      <c r="AF17" s="147">
        <v>-659.99099999999999</v>
      </c>
      <c r="AG17" s="147" t="s">
        <v>121</v>
      </c>
      <c r="AH17" s="147" t="s">
        <v>121</v>
      </c>
      <c r="AI17" s="125" t="s">
        <v>121</v>
      </c>
      <c r="AJ17" s="147" t="s">
        <v>121</v>
      </c>
      <c r="AK17" s="125" t="s">
        <v>121</v>
      </c>
      <c r="AL17" s="125" t="s">
        <v>121</v>
      </c>
      <c r="AM17" s="125" t="s">
        <v>121</v>
      </c>
      <c r="AN17" s="125" t="s">
        <v>121</v>
      </c>
      <c r="AO17" s="125" t="s">
        <v>121</v>
      </c>
      <c r="AP17" s="125" t="s">
        <v>121</v>
      </c>
      <c r="AQ17" s="125" t="s">
        <v>121</v>
      </c>
      <c r="AR17" s="125" t="s">
        <v>121</v>
      </c>
      <c r="AS17" s="125" t="s">
        <v>121</v>
      </c>
      <c r="AT17" s="125" t="s">
        <v>121</v>
      </c>
      <c r="AU17" s="125" t="s">
        <v>121</v>
      </c>
      <c r="AV17" s="125" t="s">
        <v>121</v>
      </c>
      <c r="AW17" s="125" t="s">
        <v>121</v>
      </c>
      <c r="AX17" s="125" t="s">
        <v>121</v>
      </c>
      <c r="AY17" s="125" t="s">
        <v>121</v>
      </c>
      <c r="AZ17" s="11" t="s">
        <v>121</v>
      </c>
      <c r="BA17" s="11" t="s">
        <v>121</v>
      </c>
      <c r="BB17" s="45" t="s">
        <v>121</v>
      </c>
      <c r="BC17" s="11" t="s">
        <v>121</v>
      </c>
      <c r="BD17" s="11" t="s">
        <v>121</v>
      </c>
      <c r="BE17" s="11" t="s">
        <v>121</v>
      </c>
      <c r="BF17" s="11" t="s">
        <v>121</v>
      </c>
      <c r="BG17" s="11" t="s">
        <v>121</v>
      </c>
      <c r="BH17" s="11" t="s">
        <v>121</v>
      </c>
      <c r="BI17" s="11" t="s">
        <v>121</v>
      </c>
      <c r="BJ17" s="11" t="s">
        <v>121</v>
      </c>
      <c r="BK17" s="11" t="s">
        <v>121</v>
      </c>
      <c r="BL17" s="11" t="s">
        <v>121</v>
      </c>
      <c r="BM17" s="1" t="s">
        <v>121</v>
      </c>
      <c r="BN17" s="1" t="s">
        <v>121</v>
      </c>
      <c r="BO17" s="1" t="s">
        <v>121</v>
      </c>
      <c r="BP17" s="1" t="s">
        <v>121</v>
      </c>
      <c r="BQ17" s="1" t="s">
        <v>121</v>
      </c>
      <c r="BR17" s="1" t="s">
        <v>121</v>
      </c>
      <c r="BS17" s="1" t="s">
        <v>121</v>
      </c>
      <c r="BT17" s="1" t="s">
        <v>121</v>
      </c>
      <c r="BU17" s="1" t="s">
        <v>121</v>
      </c>
      <c r="BV17" s="1" t="s">
        <v>121</v>
      </c>
      <c r="BW17" s="1" t="s">
        <v>121</v>
      </c>
      <c r="BX17" s="1" t="s">
        <v>121</v>
      </c>
      <c r="BY17" s="1" t="s">
        <v>121</v>
      </c>
      <c r="BZ17" s="1" t="s">
        <v>121</v>
      </c>
      <c r="CA17" s="1" t="s">
        <v>121</v>
      </c>
      <c r="CB17" s="1" t="s">
        <v>121</v>
      </c>
      <c r="CC17" s="1" t="s">
        <v>121</v>
      </c>
      <c r="CD17" s="1" t="s">
        <v>121</v>
      </c>
      <c r="CE17" s="1" t="s">
        <v>121</v>
      </c>
      <c r="CF17" s="1" t="s">
        <v>121</v>
      </c>
      <c r="CG17" s="1" t="s">
        <v>121</v>
      </c>
      <c r="CH17" s="1" t="s">
        <v>121</v>
      </c>
      <c r="CI17" s="1" t="s">
        <v>121</v>
      </c>
      <c r="CJ17" s="1" t="s">
        <v>121</v>
      </c>
      <c r="CK17" s="1" t="s">
        <v>121</v>
      </c>
      <c r="CL17" s="1" t="s">
        <v>121</v>
      </c>
      <c r="CM17" s="1" t="s">
        <v>121</v>
      </c>
      <c r="CN17" s="1" t="s">
        <v>121</v>
      </c>
      <c r="CO17" s="1" t="s">
        <v>121</v>
      </c>
      <c r="CP17" s="1" t="s">
        <v>121</v>
      </c>
      <c r="CQ17" s="1" t="s">
        <v>121</v>
      </c>
      <c r="CR17" s="1" t="s">
        <v>121</v>
      </c>
      <c r="CS17" s="1" t="s">
        <v>121</v>
      </c>
      <c r="CT17" s="1" t="s">
        <v>121</v>
      </c>
      <c r="CU17" s="1" t="s">
        <v>121</v>
      </c>
      <c r="CV17" s="1" t="s">
        <v>121</v>
      </c>
      <c r="CW17" s="1" t="s">
        <v>121</v>
      </c>
      <c r="CX17" s="1" t="s">
        <v>121</v>
      </c>
      <c r="CY17" s="1" t="s">
        <v>121</v>
      </c>
      <c r="CZ17" s="1" t="s">
        <v>121</v>
      </c>
      <c r="DA17" s="1" t="s">
        <v>121</v>
      </c>
      <c r="DB17" s="1" t="s">
        <v>121</v>
      </c>
      <c r="DC17" s="1" t="s">
        <v>121</v>
      </c>
      <c r="DD17" s="1" t="s">
        <v>121</v>
      </c>
      <c r="DE17" s="1" t="s">
        <v>121</v>
      </c>
      <c r="DF17" s="1" t="s">
        <v>121</v>
      </c>
      <c r="DG17" s="1" t="s">
        <v>121</v>
      </c>
      <c r="DH17" s="1" t="s">
        <v>121</v>
      </c>
      <c r="DI17" s="1" t="s">
        <v>121</v>
      </c>
      <c r="DJ17" s="1" t="s">
        <v>121</v>
      </c>
      <c r="DK17" s="1" t="s">
        <v>121</v>
      </c>
      <c r="DL17" s="1" t="s">
        <v>121</v>
      </c>
      <c r="DM17" s="1" t="s">
        <v>121</v>
      </c>
      <c r="DN17" s="1" t="s">
        <v>121</v>
      </c>
      <c r="DO17" s="1" t="s">
        <v>121</v>
      </c>
      <c r="DP17" s="1" t="s">
        <v>121</v>
      </c>
      <c r="DQ17" s="1" t="s">
        <v>121</v>
      </c>
      <c r="DR17" s="1" t="s">
        <v>121</v>
      </c>
      <c r="DS17" s="1" t="s">
        <v>121</v>
      </c>
      <c r="DT17" s="1" t="s">
        <v>121</v>
      </c>
      <c r="DU17" s="1" t="s">
        <v>121</v>
      </c>
      <c r="DV17" s="1" t="s">
        <v>121</v>
      </c>
      <c r="DW17" s="1" t="s">
        <v>121</v>
      </c>
      <c r="DX17" s="1" t="s">
        <v>121</v>
      </c>
      <c r="DY17" s="1" t="s">
        <v>121</v>
      </c>
      <c r="DZ17" s="1" t="s">
        <v>121</v>
      </c>
      <c r="EA17" s="1" t="s">
        <v>121</v>
      </c>
      <c r="EB17" s="1" t="s">
        <v>121</v>
      </c>
      <c r="EC17" s="1" t="s">
        <v>121</v>
      </c>
      <c r="ED17" s="1" t="s">
        <v>121</v>
      </c>
      <c r="EE17" s="1" t="s">
        <v>121</v>
      </c>
      <c r="EF17" s="1" t="s">
        <v>121</v>
      </c>
      <c r="EG17" s="1" t="s">
        <v>121</v>
      </c>
      <c r="EH17" s="1" t="s">
        <v>121</v>
      </c>
      <c r="EI17" s="1" t="s">
        <v>121</v>
      </c>
      <c r="EJ17" s="1" t="s">
        <v>121</v>
      </c>
      <c r="EK17" s="1" t="s">
        <v>121</v>
      </c>
      <c r="EL17" s="1" t="s">
        <v>121</v>
      </c>
      <c r="EM17" s="1" t="s">
        <v>121</v>
      </c>
      <c r="EN17" s="1" t="s">
        <v>121</v>
      </c>
      <c r="EO17" s="1" t="s">
        <v>121</v>
      </c>
    </row>
    <row r="18" spans="1:145" s="36" customFormat="1" ht="15" hidden="1" customHeight="1" outlineLevel="1" x14ac:dyDescent="0.25">
      <c r="A18" s="72">
        <v>18</v>
      </c>
      <c r="B18" s="57" t="s">
        <v>393</v>
      </c>
      <c r="C18" s="91" t="s">
        <v>121</v>
      </c>
      <c r="D18" s="86" t="s">
        <v>121</v>
      </c>
      <c r="E18" s="92" t="s">
        <v>121</v>
      </c>
      <c r="F18" s="294" t="s">
        <v>121</v>
      </c>
      <c r="G18" s="294" t="s">
        <v>121</v>
      </c>
      <c r="H18" s="294" t="s">
        <v>121</v>
      </c>
      <c r="I18" s="294" t="s">
        <v>121</v>
      </c>
      <c r="J18" s="294" t="s">
        <v>121</v>
      </c>
      <c r="K18" s="294" t="s">
        <v>121</v>
      </c>
      <c r="L18" s="294" t="s">
        <v>121</v>
      </c>
      <c r="M18" s="86" t="s">
        <v>121</v>
      </c>
      <c r="N18" s="294" t="s">
        <v>121</v>
      </c>
      <c r="O18" s="294" t="s">
        <v>121</v>
      </c>
      <c r="P18" s="294" t="s">
        <v>121</v>
      </c>
      <c r="Q18" s="294" t="s">
        <v>121</v>
      </c>
      <c r="R18" s="294" t="s">
        <v>121</v>
      </c>
      <c r="S18" s="294">
        <v>102626</v>
      </c>
      <c r="T18" s="294">
        <v>99878</v>
      </c>
      <c r="U18" s="294">
        <v>94669.542000000001</v>
      </c>
      <c r="V18" s="294">
        <v>89784.877000000008</v>
      </c>
      <c r="W18" s="294">
        <v>87082.464999999997</v>
      </c>
      <c r="X18" s="212">
        <v>84689</v>
      </c>
      <c r="Y18" s="212">
        <v>82498.648000000001</v>
      </c>
      <c r="Z18" s="212">
        <v>79746.192999999999</v>
      </c>
      <c r="AA18" s="212">
        <v>77731.271000000008</v>
      </c>
      <c r="AB18" s="212">
        <v>75335.235000000001</v>
      </c>
      <c r="AC18" s="212">
        <v>74501.078000000009</v>
      </c>
      <c r="AD18" s="212">
        <v>72491.335999999996</v>
      </c>
      <c r="AE18" s="212">
        <v>72030.722999999998</v>
      </c>
      <c r="AF18" s="212">
        <v>71510.782999999996</v>
      </c>
      <c r="AG18" s="212">
        <v>69667.434999999998</v>
      </c>
      <c r="AH18" s="212">
        <v>67081.040999999997</v>
      </c>
      <c r="AI18" s="212">
        <v>64970.792999999998</v>
      </c>
      <c r="AJ18" s="212">
        <v>65880.561000000002</v>
      </c>
      <c r="AK18" s="212">
        <v>64126.637999999999</v>
      </c>
      <c r="AL18" s="212">
        <v>58467.031999999999</v>
      </c>
      <c r="AM18" s="212">
        <v>56732.161999999997</v>
      </c>
      <c r="AN18" s="212">
        <v>55255.332000000002</v>
      </c>
      <c r="AO18" s="212">
        <v>54008.194000000003</v>
      </c>
      <c r="AP18" s="212">
        <v>52973.328999999998</v>
      </c>
      <c r="AQ18" s="212">
        <v>51956.01</v>
      </c>
      <c r="AR18" s="212">
        <v>51366.702000000005</v>
      </c>
      <c r="AS18" s="212">
        <v>50435.135000000002</v>
      </c>
      <c r="AT18" s="212">
        <v>49315.211000000003</v>
      </c>
      <c r="AU18" s="212">
        <v>48833.014999999999</v>
      </c>
      <c r="AV18" s="212">
        <v>47826.68</v>
      </c>
      <c r="AW18" s="212">
        <v>48034.92</v>
      </c>
      <c r="AX18" s="212">
        <v>46806.203999999998</v>
      </c>
      <c r="AY18" s="212">
        <v>45612.812000000005</v>
      </c>
      <c r="AZ18" s="212">
        <v>43937.25</v>
      </c>
      <c r="BA18" s="212">
        <v>40857.873</v>
      </c>
      <c r="BB18" s="212">
        <v>36226.547000000006</v>
      </c>
      <c r="BC18" s="212">
        <v>36170.712</v>
      </c>
      <c r="BD18" s="212">
        <v>35090.781999999999</v>
      </c>
      <c r="BE18" s="212">
        <v>34560.948000000004</v>
      </c>
      <c r="BF18" s="212">
        <v>33864.300999999999</v>
      </c>
      <c r="BG18" s="212">
        <v>34543.733</v>
      </c>
      <c r="BH18" s="212">
        <v>34394.04</v>
      </c>
      <c r="BI18" s="212">
        <v>34139.635000000002</v>
      </c>
      <c r="BJ18" s="212">
        <v>30273.702000000001</v>
      </c>
      <c r="BK18" s="212">
        <v>28662.237000000001</v>
      </c>
      <c r="BL18" s="212">
        <v>26571.850000000002</v>
      </c>
      <c r="BM18" s="36">
        <v>24757.076000000001</v>
      </c>
      <c r="BN18" s="36">
        <v>23584.217000000001</v>
      </c>
      <c r="BO18" s="36">
        <v>23635.940000000002</v>
      </c>
      <c r="BP18" s="36">
        <v>23286.106</v>
      </c>
      <c r="BQ18" s="36" t="s">
        <v>121</v>
      </c>
      <c r="BR18" s="36" t="s">
        <v>121</v>
      </c>
      <c r="BS18" s="36" t="s">
        <v>121</v>
      </c>
      <c r="BT18" s="36" t="s">
        <v>121</v>
      </c>
      <c r="BU18" s="36" t="s">
        <v>121</v>
      </c>
      <c r="BV18" s="36" t="s">
        <v>121</v>
      </c>
      <c r="BW18" s="36" t="s">
        <v>121</v>
      </c>
      <c r="BX18" s="36" t="s">
        <v>121</v>
      </c>
      <c r="BY18" s="36" t="s">
        <v>121</v>
      </c>
      <c r="BZ18" s="36" t="s">
        <v>121</v>
      </c>
      <c r="CA18" s="36" t="s">
        <v>121</v>
      </c>
      <c r="CB18" s="36" t="s">
        <v>121</v>
      </c>
      <c r="CC18" s="36" t="s">
        <v>121</v>
      </c>
      <c r="CD18" s="36" t="s">
        <v>121</v>
      </c>
      <c r="CE18" s="36" t="s">
        <v>121</v>
      </c>
      <c r="CF18" s="36" t="s">
        <v>121</v>
      </c>
      <c r="CG18" s="36" t="s">
        <v>121</v>
      </c>
      <c r="CH18" s="36" t="s">
        <v>121</v>
      </c>
      <c r="CI18" s="36" t="s">
        <v>121</v>
      </c>
      <c r="CJ18" s="36" t="s">
        <v>121</v>
      </c>
      <c r="CK18" s="36" t="s">
        <v>121</v>
      </c>
      <c r="CL18" s="36" t="s">
        <v>121</v>
      </c>
      <c r="CM18" s="36" t="s">
        <v>121</v>
      </c>
      <c r="CN18" s="36" t="s">
        <v>121</v>
      </c>
      <c r="CO18" s="36" t="s">
        <v>121</v>
      </c>
      <c r="CP18" s="36" t="s">
        <v>121</v>
      </c>
      <c r="CQ18" s="36" t="s">
        <v>121</v>
      </c>
      <c r="CR18" s="36" t="s">
        <v>121</v>
      </c>
      <c r="CS18" s="36" t="s">
        <v>121</v>
      </c>
      <c r="CT18" s="36" t="s">
        <v>121</v>
      </c>
      <c r="CU18" s="36" t="s">
        <v>121</v>
      </c>
      <c r="CV18" s="36" t="s">
        <v>121</v>
      </c>
      <c r="CW18" s="36" t="s">
        <v>121</v>
      </c>
      <c r="CX18" s="36" t="s">
        <v>121</v>
      </c>
      <c r="CY18" s="36" t="s">
        <v>121</v>
      </c>
      <c r="CZ18" s="36" t="s">
        <v>121</v>
      </c>
      <c r="DA18" s="36" t="s">
        <v>121</v>
      </c>
      <c r="DB18" s="36" t="s">
        <v>121</v>
      </c>
      <c r="DC18" s="36" t="s">
        <v>121</v>
      </c>
      <c r="DD18" s="36" t="s">
        <v>121</v>
      </c>
      <c r="DE18" s="36" t="s">
        <v>121</v>
      </c>
      <c r="DF18" s="36" t="s">
        <v>121</v>
      </c>
      <c r="DG18" s="36" t="s">
        <v>121</v>
      </c>
      <c r="DH18" s="36" t="s">
        <v>121</v>
      </c>
      <c r="DI18" s="36" t="s">
        <v>121</v>
      </c>
      <c r="DJ18" s="36" t="s">
        <v>121</v>
      </c>
      <c r="DK18" s="36" t="s">
        <v>121</v>
      </c>
      <c r="DL18" s="36" t="s">
        <v>121</v>
      </c>
      <c r="DM18" s="36" t="s">
        <v>121</v>
      </c>
      <c r="DN18" s="36" t="s">
        <v>121</v>
      </c>
      <c r="DO18" s="36" t="s">
        <v>121</v>
      </c>
      <c r="DP18" s="36" t="s">
        <v>121</v>
      </c>
      <c r="DQ18" s="36" t="s">
        <v>121</v>
      </c>
      <c r="DR18" s="36" t="s">
        <v>121</v>
      </c>
      <c r="DS18" s="36" t="s">
        <v>121</v>
      </c>
      <c r="DT18" s="36" t="s">
        <v>121</v>
      </c>
      <c r="DU18" s="36" t="s">
        <v>121</v>
      </c>
      <c r="DV18" s="36" t="s">
        <v>121</v>
      </c>
      <c r="DW18" s="36" t="s">
        <v>121</v>
      </c>
      <c r="DX18" s="36" t="s">
        <v>121</v>
      </c>
      <c r="DY18" s="36" t="s">
        <v>121</v>
      </c>
      <c r="DZ18" s="36" t="s">
        <v>121</v>
      </c>
      <c r="EA18" s="36" t="s">
        <v>121</v>
      </c>
      <c r="EB18" s="36" t="s">
        <v>121</v>
      </c>
      <c r="EC18" s="36" t="s">
        <v>121</v>
      </c>
      <c r="ED18" s="36" t="s">
        <v>121</v>
      </c>
      <c r="EE18" s="36" t="s">
        <v>121</v>
      </c>
      <c r="EF18" s="36" t="s">
        <v>121</v>
      </c>
      <c r="EG18" s="36" t="s">
        <v>121</v>
      </c>
      <c r="EH18" s="36" t="s">
        <v>121</v>
      </c>
      <c r="EI18" s="36" t="s">
        <v>121</v>
      </c>
      <c r="EJ18" s="36" t="s">
        <v>121</v>
      </c>
      <c r="EK18" s="36" t="s">
        <v>121</v>
      </c>
      <c r="EL18" s="36" t="s">
        <v>121</v>
      </c>
      <c r="EM18" s="36" t="s">
        <v>121</v>
      </c>
      <c r="EN18" s="36" t="s">
        <v>121</v>
      </c>
      <c r="EO18" s="36" t="s">
        <v>121</v>
      </c>
    </row>
    <row r="19" spans="1:145" ht="15" hidden="1" customHeight="1" outlineLevel="1" x14ac:dyDescent="0.25">
      <c r="A19" s="72">
        <v>19</v>
      </c>
      <c r="B19" s="57" t="s">
        <v>394</v>
      </c>
      <c r="C19" s="91" t="s">
        <v>121</v>
      </c>
      <c r="D19" s="86" t="s">
        <v>121</v>
      </c>
      <c r="E19" s="92" t="s">
        <v>121</v>
      </c>
      <c r="F19" s="303" t="s">
        <v>121</v>
      </c>
      <c r="G19" s="303" t="s">
        <v>121</v>
      </c>
      <c r="H19" s="303" t="s">
        <v>121</v>
      </c>
      <c r="I19" s="303" t="s">
        <v>121</v>
      </c>
      <c r="J19" s="303" t="s">
        <v>121</v>
      </c>
      <c r="K19" s="303" t="s">
        <v>121</v>
      </c>
      <c r="L19" s="303" t="s">
        <v>121</v>
      </c>
      <c r="M19" s="86" t="s">
        <v>121</v>
      </c>
      <c r="N19" s="303" t="s">
        <v>121</v>
      </c>
      <c r="O19" s="303" t="s">
        <v>121</v>
      </c>
      <c r="P19" s="303" t="s">
        <v>121</v>
      </c>
      <c r="Q19" s="303" t="s">
        <v>121</v>
      </c>
      <c r="R19" s="303" t="s">
        <v>121</v>
      </c>
      <c r="S19" s="303" t="s">
        <v>121</v>
      </c>
      <c r="T19" s="303" t="s">
        <v>121</v>
      </c>
      <c r="U19" s="303" t="s">
        <v>121</v>
      </c>
      <c r="V19" s="303" t="s">
        <v>121</v>
      </c>
      <c r="W19" s="303" t="s">
        <v>121</v>
      </c>
      <c r="X19" s="213" t="s">
        <v>121</v>
      </c>
      <c r="Y19" s="213" t="s">
        <v>121</v>
      </c>
      <c r="Z19" s="213" t="s">
        <v>121</v>
      </c>
      <c r="AA19" s="213" t="s">
        <v>121</v>
      </c>
      <c r="AB19" s="213" t="s">
        <v>121</v>
      </c>
      <c r="AC19" s="213" t="s">
        <v>121</v>
      </c>
      <c r="AD19" s="213" t="s">
        <v>121</v>
      </c>
      <c r="AE19" s="213" t="s">
        <v>121</v>
      </c>
      <c r="AF19" s="213" t="s">
        <v>121</v>
      </c>
      <c r="AG19" s="213" t="s">
        <v>121</v>
      </c>
      <c r="AH19" s="213" t="s">
        <v>121</v>
      </c>
      <c r="AI19" s="164" t="s">
        <v>121</v>
      </c>
      <c r="AJ19" s="213" t="s">
        <v>121</v>
      </c>
      <c r="AK19" s="164" t="s">
        <v>121</v>
      </c>
      <c r="AL19" s="86" t="s">
        <v>121</v>
      </c>
      <c r="AM19" s="86" t="s">
        <v>121</v>
      </c>
      <c r="AN19" s="86" t="s">
        <v>121</v>
      </c>
      <c r="AO19" s="86" t="s">
        <v>121</v>
      </c>
      <c r="AP19" s="86" t="s">
        <v>121</v>
      </c>
      <c r="AQ19" s="86" t="s">
        <v>121</v>
      </c>
      <c r="AR19" s="86" t="s">
        <v>121</v>
      </c>
      <c r="AS19" s="86" t="s">
        <v>121</v>
      </c>
      <c r="AT19" s="86" t="s">
        <v>121</v>
      </c>
      <c r="AU19" s="86" t="s">
        <v>121</v>
      </c>
      <c r="AV19" s="86" t="s">
        <v>121</v>
      </c>
      <c r="AW19" s="86" t="s">
        <v>121</v>
      </c>
      <c r="AX19" s="86" t="s">
        <v>121</v>
      </c>
      <c r="AY19" s="45" t="s">
        <v>121</v>
      </c>
      <c r="AZ19" s="45" t="s">
        <v>121</v>
      </c>
      <c r="BA19" s="45" t="s">
        <v>121</v>
      </c>
      <c r="BB19" s="45" t="s">
        <v>121</v>
      </c>
      <c r="BC19" s="11" t="s">
        <v>121</v>
      </c>
      <c r="BD19" s="11" t="s">
        <v>121</v>
      </c>
      <c r="BE19" s="11" t="s">
        <v>121</v>
      </c>
      <c r="BF19" s="11" t="s">
        <v>121</v>
      </c>
      <c r="BG19" s="11" t="s">
        <v>121</v>
      </c>
      <c r="BH19" s="11" t="s">
        <v>121</v>
      </c>
      <c r="BI19" s="11" t="s">
        <v>121</v>
      </c>
      <c r="BJ19" s="11" t="s">
        <v>121</v>
      </c>
      <c r="BK19" s="11" t="s">
        <v>121</v>
      </c>
      <c r="BL19" s="37" t="s">
        <v>121</v>
      </c>
      <c r="BM19" s="1" t="s">
        <v>121</v>
      </c>
      <c r="BN19" s="1" t="s">
        <v>121</v>
      </c>
      <c r="BO19" s="1" t="s">
        <v>121</v>
      </c>
      <c r="BP19" s="1" t="s">
        <v>121</v>
      </c>
      <c r="BQ19" s="1" t="s">
        <v>121</v>
      </c>
      <c r="BR19" s="1" t="s">
        <v>121</v>
      </c>
      <c r="BS19" s="1" t="s">
        <v>121</v>
      </c>
      <c r="BT19" s="1" t="s">
        <v>121</v>
      </c>
      <c r="BU19" s="1" t="s">
        <v>121</v>
      </c>
      <c r="BV19" s="1" t="s">
        <v>121</v>
      </c>
      <c r="BW19" s="1" t="s">
        <v>121</v>
      </c>
      <c r="BX19" s="1" t="s">
        <v>121</v>
      </c>
      <c r="BY19" s="1" t="s">
        <v>121</v>
      </c>
      <c r="BZ19" s="1" t="s">
        <v>121</v>
      </c>
      <c r="CA19" s="1" t="s">
        <v>121</v>
      </c>
      <c r="CB19" s="1" t="s">
        <v>121</v>
      </c>
      <c r="CC19" s="1" t="s">
        <v>121</v>
      </c>
      <c r="CD19" s="1" t="s">
        <v>121</v>
      </c>
      <c r="CE19" s="1" t="s">
        <v>121</v>
      </c>
      <c r="CF19" s="1" t="s">
        <v>121</v>
      </c>
      <c r="CG19" s="1" t="s">
        <v>121</v>
      </c>
      <c r="CH19" s="1" t="s">
        <v>121</v>
      </c>
      <c r="CI19" s="1" t="s">
        <v>121</v>
      </c>
      <c r="CJ19" s="1" t="s">
        <v>121</v>
      </c>
      <c r="CK19" s="1" t="s">
        <v>121</v>
      </c>
      <c r="CL19" s="1" t="s">
        <v>121</v>
      </c>
      <c r="CM19" s="1" t="s">
        <v>121</v>
      </c>
      <c r="CN19" s="1" t="s">
        <v>121</v>
      </c>
      <c r="CO19" s="1" t="s">
        <v>121</v>
      </c>
      <c r="CP19" s="1" t="s">
        <v>121</v>
      </c>
      <c r="CQ19" s="1" t="s">
        <v>121</v>
      </c>
      <c r="CR19" s="1" t="s">
        <v>121</v>
      </c>
      <c r="CS19" s="1" t="s">
        <v>121</v>
      </c>
      <c r="CT19" s="1" t="s">
        <v>121</v>
      </c>
      <c r="CU19" s="1" t="s">
        <v>121</v>
      </c>
      <c r="CV19" s="1" t="s">
        <v>121</v>
      </c>
      <c r="CW19" s="1" t="s">
        <v>121</v>
      </c>
      <c r="CX19" s="1" t="s">
        <v>121</v>
      </c>
      <c r="CY19" s="1" t="s">
        <v>121</v>
      </c>
      <c r="CZ19" s="1" t="s">
        <v>121</v>
      </c>
      <c r="DA19" s="1" t="s">
        <v>121</v>
      </c>
      <c r="DB19" s="1" t="s">
        <v>121</v>
      </c>
      <c r="DC19" s="1" t="s">
        <v>121</v>
      </c>
      <c r="DD19" s="1" t="s">
        <v>121</v>
      </c>
      <c r="DE19" s="1" t="s">
        <v>121</v>
      </c>
      <c r="DF19" s="1" t="s">
        <v>121</v>
      </c>
      <c r="DG19" s="1" t="s">
        <v>121</v>
      </c>
      <c r="DH19" s="1" t="s">
        <v>121</v>
      </c>
      <c r="DI19" s="1" t="s">
        <v>121</v>
      </c>
      <c r="DJ19" s="1" t="s">
        <v>121</v>
      </c>
      <c r="DK19" s="1" t="s">
        <v>121</v>
      </c>
      <c r="DL19" s="1" t="s">
        <v>121</v>
      </c>
      <c r="DM19" s="1" t="s">
        <v>121</v>
      </c>
      <c r="DN19" s="1" t="s">
        <v>121</v>
      </c>
      <c r="DO19" s="1" t="s">
        <v>121</v>
      </c>
      <c r="DP19" s="1" t="s">
        <v>121</v>
      </c>
      <c r="DQ19" s="1" t="s">
        <v>121</v>
      </c>
      <c r="DR19" s="1" t="s">
        <v>121</v>
      </c>
      <c r="DS19" s="1" t="s">
        <v>121</v>
      </c>
      <c r="DT19" s="1" t="s">
        <v>121</v>
      </c>
      <c r="DU19" s="1" t="s">
        <v>121</v>
      </c>
      <c r="DV19" s="1" t="s">
        <v>121</v>
      </c>
      <c r="DW19" s="1" t="s">
        <v>121</v>
      </c>
      <c r="DX19" s="1" t="s">
        <v>121</v>
      </c>
      <c r="DY19" s="1" t="s">
        <v>121</v>
      </c>
      <c r="DZ19" s="1" t="s">
        <v>121</v>
      </c>
      <c r="EA19" s="1" t="s">
        <v>121</v>
      </c>
      <c r="EB19" s="1" t="s">
        <v>121</v>
      </c>
      <c r="EC19" s="1" t="s">
        <v>121</v>
      </c>
      <c r="ED19" s="1" t="s">
        <v>121</v>
      </c>
      <c r="EE19" s="1" t="s">
        <v>121</v>
      </c>
      <c r="EF19" s="1" t="s">
        <v>121</v>
      </c>
      <c r="EG19" s="1" t="s">
        <v>121</v>
      </c>
      <c r="EH19" s="1" t="s">
        <v>121</v>
      </c>
      <c r="EI19" s="1" t="s">
        <v>121</v>
      </c>
      <c r="EJ19" s="1" t="s">
        <v>121</v>
      </c>
      <c r="EK19" s="1" t="s">
        <v>121</v>
      </c>
      <c r="EL19" s="1" t="s">
        <v>121</v>
      </c>
      <c r="EM19" s="1" t="s">
        <v>121</v>
      </c>
      <c r="EN19" s="1" t="s">
        <v>121</v>
      </c>
      <c r="EO19" s="1" t="s">
        <v>121</v>
      </c>
    </row>
    <row r="20" spans="1:145" ht="15" hidden="1" customHeight="1" outlineLevel="1" x14ac:dyDescent="0.25">
      <c r="A20" s="72">
        <v>20</v>
      </c>
      <c r="B20" s="40" t="s">
        <v>395</v>
      </c>
      <c r="C20" s="91" t="s">
        <v>121</v>
      </c>
      <c r="D20" s="86" t="s">
        <v>121</v>
      </c>
      <c r="E20" s="92" t="s">
        <v>121</v>
      </c>
      <c r="F20" s="250" t="s">
        <v>121</v>
      </c>
      <c r="G20" s="250" t="s">
        <v>121</v>
      </c>
      <c r="H20" s="250" t="s">
        <v>121</v>
      </c>
      <c r="I20" s="250" t="s">
        <v>121</v>
      </c>
      <c r="J20" s="250" t="s">
        <v>121</v>
      </c>
      <c r="K20" s="250" t="s">
        <v>121</v>
      </c>
      <c r="L20" s="250" t="s">
        <v>121</v>
      </c>
      <c r="M20" s="86" t="s">
        <v>121</v>
      </c>
      <c r="N20" s="250" t="s">
        <v>121</v>
      </c>
      <c r="O20" s="250" t="s">
        <v>121</v>
      </c>
      <c r="P20" s="250" t="s">
        <v>121</v>
      </c>
      <c r="Q20" s="250" t="s">
        <v>121</v>
      </c>
      <c r="R20" s="250" t="s">
        <v>121</v>
      </c>
      <c r="S20" s="250">
        <v>2949</v>
      </c>
      <c r="T20" s="250">
        <v>2949</v>
      </c>
      <c r="U20" s="250">
        <v>2998.4670000000001</v>
      </c>
      <c r="V20" s="250">
        <v>3259.4209999999998</v>
      </c>
      <c r="W20" s="250">
        <v>3259.4209999999998</v>
      </c>
      <c r="X20" s="165">
        <v>3259</v>
      </c>
      <c r="Y20" s="165">
        <v>3239.5360000000001</v>
      </c>
      <c r="Z20" s="165">
        <v>3239.5360000000001</v>
      </c>
      <c r="AA20" s="165">
        <v>3239.5360000000001</v>
      </c>
      <c r="AB20" s="165">
        <v>3239.5360000000001</v>
      </c>
      <c r="AC20" s="165">
        <v>3542.5189999999998</v>
      </c>
      <c r="AD20" s="165">
        <v>3542.5189999999998</v>
      </c>
      <c r="AE20" s="165">
        <v>3542.5189999999998</v>
      </c>
      <c r="AF20" s="165">
        <v>3651.4549999999999</v>
      </c>
      <c r="AG20" s="165">
        <v>3651.4549999999999</v>
      </c>
      <c r="AH20" s="165">
        <v>3651.4549999999999</v>
      </c>
      <c r="AI20" s="78">
        <v>3651.4549999999999</v>
      </c>
      <c r="AJ20" s="165">
        <v>3651.4549999999999</v>
      </c>
      <c r="AK20" s="78">
        <v>3816.12</v>
      </c>
      <c r="AL20" s="45">
        <v>3816.12</v>
      </c>
      <c r="AM20" s="45">
        <v>3820.4960000000001</v>
      </c>
      <c r="AN20" s="45">
        <v>3820.4960000000001</v>
      </c>
      <c r="AO20" s="45">
        <v>3820.4960000000001</v>
      </c>
      <c r="AP20" s="45">
        <v>3820.4960000000001</v>
      </c>
      <c r="AQ20" s="45">
        <v>3820.4960000000001</v>
      </c>
      <c r="AR20" s="45">
        <v>3820.4960000000001</v>
      </c>
      <c r="AS20" s="45">
        <v>3820.4960000000001</v>
      </c>
      <c r="AT20" s="45">
        <v>3820.4960000000001</v>
      </c>
      <c r="AU20" s="45">
        <v>3820.4960000000001</v>
      </c>
      <c r="AV20" s="45">
        <v>3901.5549999999998</v>
      </c>
      <c r="AW20" s="45">
        <v>3295.3159999999998</v>
      </c>
      <c r="AX20" s="45">
        <v>3339.0309999999999</v>
      </c>
      <c r="AY20" s="45">
        <v>3339.0309999999999</v>
      </c>
      <c r="AZ20" s="45">
        <v>3339.0309999999999</v>
      </c>
      <c r="BA20" s="45">
        <v>3339.0309999999999</v>
      </c>
      <c r="BB20" s="45">
        <v>3339.0309999999999</v>
      </c>
      <c r="BC20" s="11">
        <v>3339.0309999999999</v>
      </c>
      <c r="BD20" s="11">
        <v>3339.0309999999999</v>
      </c>
      <c r="BE20" s="11">
        <v>3291.8490000000002</v>
      </c>
      <c r="BF20" s="11">
        <v>3295.5729999999999</v>
      </c>
      <c r="BG20" s="11">
        <v>3319.8939999999998</v>
      </c>
      <c r="BH20" s="11">
        <v>3346.3029999999999</v>
      </c>
      <c r="BI20" s="11">
        <v>1966.0150000000001</v>
      </c>
      <c r="BJ20" s="11">
        <v>1966.0150000000001</v>
      </c>
      <c r="BK20" s="11">
        <v>1966.0150000000001</v>
      </c>
      <c r="BL20" s="37">
        <v>1966.0150000000001</v>
      </c>
      <c r="BM20" s="1">
        <v>1966.0150000000001</v>
      </c>
      <c r="BN20" s="1">
        <v>1966.0150000000001</v>
      </c>
      <c r="BO20" s="1">
        <v>1966.0150000000001</v>
      </c>
      <c r="BP20" s="1">
        <v>1966.0150000000001</v>
      </c>
      <c r="BQ20" s="1" t="s">
        <v>121</v>
      </c>
      <c r="BR20" s="1" t="s">
        <v>121</v>
      </c>
      <c r="BS20" s="1" t="s">
        <v>121</v>
      </c>
      <c r="BT20" s="1" t="s">
        <v>121</v>
      </c>
      <c r="BU20" s="1" t="s">
        <v>121</v>
      </c>
      <c r="BV20" s="1" t="s">
        <v>121</v>
      </c>
      <c r="BW20" s="1" t="s">
        <v>121</v>
      </c>
      <c r="BX20" s="1" t="s">
        <v>121</v>
      </c>
      <c r="BY20" s="1" t="s">
        <v>121</v>
      </c>
      <c r="BZ20" s="1" t="s">
        <v>121</v>
      </c>
      <c r="CA20" s="1" t="s">
        <v>121</v>
      </c>
      <c r="CB20" s="1" t="s">
        <v>121</v>
      </c>
      <c r="CC20" s="1" t="s">
        <v>121</v>
      </c>
      <c r="CD20" s="1" t="s">
        <v>121</v>
      </c>
      <c r="CE20" s="1" t="s">
        <v>121</v>
      </c>
      <c r="CF20" s="1" t="s">
        <v>121</v>
      </c>
      <c r="CG20" s="1" t="s">
        <v>121</v>
      </c>
      <c r="CH20" s="1" t="s">
        <v>121</v>
      </c>
      <c r="CI20" s="1" t="s">
        <v>121</v>
      </c>
      <c r="CJ20" s="1" t="s">
        <v>121</v>
      </c>
      <c r="CK20" s="1" t="s">
        <v>121</v>
      </c>
      <c r="CL20" s="1" t="s">
        <v>121</v>
      </c>
      <c r="CM20" s="1" t="s">
        <v>121</v>
      </c>
      <c r="CN20" s="1" t="s">
        <v>121</v>
      </c>
      <c r="CO20" s="1" t="s">
        <v>121</v>
      </c>
      <c r="CP20" s="1" t="s">
        <v>121</v>
      </c>
      <c r="CQ20" s="1" t="s">
        <v>121</v>
      </c>
      <c r="CR20" s="1" t="s">
        <v>121</v>
      </c>
      <c r="CS20" s="1" t="s">
        <v>121</v>
      </c>
      <c r="CT20" s="1" t="s">
        <v>121</v>
      </c>
      <c r="CU20" s="1" t="s">
        <v>121</v>
      </c>
      <c r="CV20" s="1" t="s">
        <v>121</v>
      </c>
      <c r="CW20" s="1" t="s">
        <v>121</v>
      </c>
      <c r="CX20" s="1" t="s">
        <v>121</v>
      </c>
      <c r="CY20" s="1" t="s">
        <v>121</v>
      </c>
      <c r="CZ20" s="1" t="s">
        <v>121</v>
      </c>
      <c r="DA20" s="1" t="s">
        <v>121</v>
      </c>
      <c r="DB20" s="1" t="s">
        <v>121</v>
      </c>
      <c r="DC20" s="1" t="s">
        <v>121</v>
      </c>
      <c r="DD20" s="1" t="s">
        <v>121</v>
      </c>
      <c r="DE20" s="1" t="s">
        <v>121</v>
      </c>
      <c r="DF20" s="1" t="s">
        <v>121</v>
      </c>
      <c r="DG20" s="1" t="s">
        <v>121</v>
      </c>
      <c r="DH20" s="1" t="s">
        <v>121</v>
      </c>
      <c r="DI20" s="1" t="s">
        <v>121</v>
      </c>
      <c r="DJ20" s="1" t="s">
        <v>121</v>
      </c>
      <c r="DK20" s="1" t="s">
        <v>121</v>
      </c>
      <c r="DL20" s="1" t="s">
        <v>121</v>
      </c>
      <c r="DM20" s="1" t="s">
        <v>121</v>
      </c>
      <c r="DN20" s="1" t="s">
        <v>121</v>
      </c>
      <c r="DO20" s="1" t="s">
        <v>121</v>
      </c>
      <c r="DP20" s="1" t="s">
        <v>121</v>
      </c>
      <c r="DQ20" s="1" t="s">
        <v>121</v>
      </c>
      <c r="DR20" s="1" t="s">
        <v>121</v>
      </c>
      <c r="DS20" s="1" t="s">
        <v>121</v>
      </c>
      <c r="DT20" s="1" t="s">
        <v>121</v>
      </c>
      <c r="DU20" s="1" t="s">
        <v>121</v>
      </c>
      <c r="DV20" s="1" t="s">
        <v>121</v>
      </c>
      <c r="DW20" s="1" t="s">
        <v>121</v>
      </c>
      <c r="DX20" s="1" t="s">
        <v>121</v>
      </c>
      <c r="DY20" s="1" t="s">
        <v>121</v>
      </c>
      <c r="DZ20" s="1" t="s">
        <v>121</v>
      </c>
      <c r="EA20" s="1" t="s">
        <v>121</v>
      </c>
      <c r="EB20" s="1" t="s">
        <v>121</v>
      </c>
      <c r="EC20" s="1" t="s">
        <v>121</v>
      </c>
      <c r="ED20" s="1" t="s">
        <v>121</v>
      </c>
      <c r="EE20" s="1" t="s">
        <v>121</v>
      </c>
      <c r="EF20" s="1" t="s">
        <v>121</v>
      </c>
      <c r="EG20" s="1" t="s">
        <v>121</v>
      </c>
      <c r="EH20" s="1" t="s">
        <v>121</v>
      </c>
      <c r="EI20" s="1" t="s">
        <v>121</v>
      </c>
      <c r="EJ20" s="1" t="s">
        <v>121</v>
      </c>
      <c r="EK20" s="1" t="s">
        <v>121</v>
      </c>
      <c r="EL20" s="1" t="s">
        <v>121</v>
      </c>
      <c r="EM20" s="1" t="s">
        <v>121</v>
      </c>
      <c r="EN20" s="1" t="s">
        <v>121</v>
      </c>
      <c r="EO20" s="1" t="s">
        <v>121</v>
      </c>
    </row>
    <row r="21" spans="1:145" ht="15" hidden="1" customHeight="1" outlineLevel="1" x14ac:dyDescent="0.25">
      <c r="A21" s="72">
        <v>21</v>
      </c>
      <c r="B21" s="40" t="s">
        <v>304</v>
      </c>
      <c r="C21" s="91" t="s">
        <v>121</v>
      </c>
      <c r="D21" s="86" t="s">
        <v>121</v>
      </c>
      <c r="E21" s="92" t="s">
        <v>121</v>
      </c>
      <c r="F21" s="250" t="s">
        <v>121</v>
      </c>
      <c r="G21" s="250" t="s">
        <v>121</v>
      </c>
      <c r="H21" s="250" t="s">
        <v>121</v>
      </c>
      <c r="I21" s="250" t="s">
        <v>121</v>
      </c>
      <c r="J21" s="250" t="s">
        <v>121</v>
      </c>
      <c r="K21" s="250" t="s">
        <v>121</v>
      </c>
      <c r="L21" s="250" t="s">
        <v>121</v>
      </c>
      <c r="M21" s="86" t="s">
        <v>121</v>
      </c>
      <c r="N21" s="250" t="s">
        <v>121</v>
      </c>
      <c r="O21" s="250" t="s">
        <v>121</v>
      </c>
      <c r="P21" s="250" t="s">
        <v>121</v>
      </c>
      <c r="Q21" s="250" t="s">
        <v>121</v>
      </c>
      <c r="R21" s="250" t="s">
        <v>121</v>
      </c>
      <c r="S21" s="250">
        <v>1241</v>
      </c>
      <c r="T21" s="250">
        <v>1014</v>
      </c>
      <c r="U21" s="250">
        <v>838.75599999999997</v>
      </c>
      <c r="V21" s="250">
        <v>831.63199999999995</v>
      </c>
      <c r="W21" s="250">
        <v>736.94500000000005</v>
      </c>
      <c r="X21" s="165">
        <v>722</v>
      </c>
      <c r="Y21" s="165">
        <v>778.98</v>
      </c>
      <c r="Z21" s="165">
        <v>674.78300000000002</v>
      </c>
      <c r="AA21" s="165">
        <v>661.39200000000005</v>
      </c>
      <c r="AB21" s="165">
        <v>689.61300000000006</v>
      </c>
      <c r="AC21" s="165">
        <v>680.69100000000003</v>
      </c>
      <c r="AD21" s="165">
        <v>584.28700000000003</v>
      </c>
      <c r="AE21" s="165">
        <v>350.976</v>
      </c>
      <c r="AF21" s="165">
        <v>374.49700000000001</v>
      </c>
      <c r="AG21" s="165">
        <v>671.48800000000006</v>
      </c>
      <c r="AH21" s="165">
        <v>1186.752</v>
      </c>
      <c r="AI21" s="165">
        <v>1731.585</v>
      </c>
      <c r="AJ21" s="165">
        <v>1264.691</v>
      </c>
      <c r="AK21" s="165">
        <v>1081.4349999999999</v>
      </c>
      <c r="AL21" s="83">
        <v>1654.972</v>
      </c>
      <c r="AM21" s="83">
        <v>1685.0360000000001</v>
      </c>
      <c r="AN21" s="83">
        <v>1793.1379999999999</v>
      </c>
      <c r="AO21" s="83">
        <v>2404.6379999999999</v>
      </c>
      <c r="AP21" s="83">
        <v>2317.7469999999998</v>
      </c>
      <c r="AQ21" s="83">
        <v>2154.0169999999998</v>
      </c>
      <c r="AR21" s="83">
        <v>1596.2860000000001</v>
      </c>
      <c r="AS21" s="45">
        <v>1485.451</v>
      </c>
      <c r="AT21" s="45">
        <v>1293.54</v>
      </c>
      <c r="AU21" s="45">
        <v>594.79700000000003</v>
      </c>
      <c r="AV21" s="45">
        <v>-433.89400000000001</v>
      </c>
      <c r="AW21" s="45">
        <v>103.23399999999999</v>
      </c>
      <c r="AX21" s="45">
        <v>87.028999999999996</v>
      </c>
      <c r="AY21" s="45">
        <v>323.49799999999999</v>
      </c>
      <c r="AZ21" s="45">
        <v>399.67399999999998</v>
      </c>
      <c r="BA21" s="45">
        <v>1808.261</v>
      </c>
      <c r="BB21" s="45">
        <v>1820.973</v>
      </c>
      <c r="BC21" s="11">
        <v>1636.2660000000001</v>
      </c>
      <c r="BD21" s="11">
        <v>1888.6859999999999</v>
      </c>
      <c r="BE21" s="11">
        <v>2353.0050000000001</v>
      </c>
      <c r="BF21" s="11">
        <v>2351.9259999999999</v>
      </c>
      <c r="BG21" s="11">
        <v>2284.8119999999999</v>
      </c>
      <c r="BH21" s="11">
        <v>2282.46</v>
      </c>
      <c r="BI21" s="11">
        <v>33.548000000000002</v>
      </c>
      <c r="BJ21" s="11">
        <v>29.059000000000001</v>
      </c>
      <c r="BK21" s="11">
        <v>27.227</v>
      </c>
      <c r="BL21" s="37">
        <v>26.346</v>
      </c>
      <c r="BM21" s="1">
        <v>27.689</v>
      </c>
      <c r="BN21" s="1">
        <v>27.108000000000001</v>
      </c>
      <c r="BO21" s="1">
        <v>32.83</v>
      </c>
      <c r="BP21" s="1">
        <v>32.43</v>
      </c>
      <c r="BQ21" s="1" t="s">
        <v>121</v>
      </c>
      <c r="BR21" s="1" t="s">
        <v>121</v>
      </c>
      <c r="BS21" s="1" t="s">
        <v>121</v>
      </c>
      <c r="BT21" s="1" t="s">
        <v>121</v>
      </c>
      <c r="BU21" s="1" t="s">
        <v>121</v>
      </c>
      <c r="BV21" s="1" t="s">
        <v>121</v>
      </c>
      <c r="BW21" s="1" t="s">
        <v>121</v>
      </c>
      <c r="BX21" s="1" t="s">
        <v>121</v>
      </c>
      <c r="BY21" s="1" t="s">
        <v>121</v>
      </c>
      <c r="BZ21" s="1" t="s">
        <v>121</v>
      </c>
      <c r="CA21" s="1" t="s">
        <v>121</v>
      </c>
      <c r="CB21" s="1" t="s">
        <v>121</v>
      </c>
      <c r="CC21" s="1" t="s">
        <v>121</v>
      </c>
      <c r="CD21" s="1" t="s">
        <v>121</v>
      </c>
      <c r="CE21" s="1" t="s">
        <v>121</v>
      </c>
      <c r="CF21" s="1" t="s">
        <v>121</v>
      </c>
      <c r="CG21" s="1" t="s">
        <v>121</v>
      </c>
      <c r="CH21" s="1" t="s">
        <v>121</v>
      </c>
      <c r="CI21" s="1" t="s">
        <v>121</v>
      </c>
      <c r="CJ21" s="1" t="s">
        <v>121</v>
      </c>
      <c r="CK21" s="1" t="s">
        <v>121</v>
      </c>
      <c r="CL21" s="1" t="s">
        <v>121</v>
      </c>
      <c r="CM21" s="1" t="s">
        <v>121</v>
      </c>
      <c r="CN21" s="1" t="s">
        <v>121</v>
      </c>
      <c r="CO21" s="1" t="s">
        <v>121</v>
      </c>
      <c r="CP21" s="1" t="s">
        <v>121</v>
      </c>
      <c r="CQ21" s="1" t="s">
        <v>121</v>
      </c>
      <c r="CR21" s="1" t="s">
        <v>121</v>
      </c>
      <c r="CS21" s="1" t="s">
        <v>121</v>
      </c>
      <c r="CT21" s="1" t="s">
        <v>121</v>
      </c>
      <c r="CU21" s="1" t="s">
        <v>121</v>
      </c>
      <c r="CV21" s="1" t="s">
        <v>121</v>
      </c>
      <c r="CW21" s="1" t="s">
        <v>121</v>
      </c>
      <c r="CX21" s="1" t="s">
        <v>121</v>
      </c>
      <c r="CY21" s="1" t="s">
        <v>121</v>
      </c>
      <c r="CZ21" s="1" t="s">
        <v>121</v>
      </c>
      <c r="DA21" s="1" t="s">
        <v>121</v>
      </c>
      <c r="DB21" s="1" t="s">
        <v>121</v>
      </c>
      <c r="DC21" s="1" t="s">
        <v>121</v>
      </c>
      <c r="DD21" s="1" t="s">
        <v>121</v>
      </c>
      <c r="DE21" s="1" t="s">
        <v>121</v>
      </c>
      <c r="DF21" s="1" t="s">
        <v>121</v>
      </c>
      <c r="DG21" s="1" t="s">
        <v>121</v>
      </c>
      <c r="DH21" s="1" t="s">
        <v>121</v>
      </c>
      <c r="DI21" s="1" t="s">
        <v>121</v>
      </c>
      <c r="DJ21" s="1" t="s">
        <v>121</v>
      </c>
      <c r="DK21" s="1" t="s">
        <v>121</v>
      </c>
      <c r="DL21" s="1" t="s">
        <v>121</v>
      </c>
      <c r="DM21" s="1" t="s">
        <v>121</v>
      </c>
      <c r="DN21" s="1" t="s">
        <v>121</v>
      </c>
      <c r="DO21" s="1" t="s">
        <v>121</v>
      </c>
      <c r="DP21" s="1" t="s">
        <v>121</v>
      </c>
      <c r="DQ21" s="1" t="s">
        <v>121</v>
      </c>
      <c r="DR21" s="1" t="s">
        <v>121</v>
      </c>
      <c r="DS21" s="1" t="s">
        <v>121</v>
      </c>
      <c r="DT21" s="1" t="s">
        <v>121</v>
      </c>
      <c r="DU21" s="1" t="s">
        <v>121</v>
      </c>
      <c r="DV21" s="1" t="s">
        <v>121</v>
      </c>
      <c r="DW21" s="1" t="s">
        <v>121</v>
      </c>
      <c r="DX21" s="1" t="s">
        <v>121</v>
      </c>
      <c r="DY21" s="1" t="s">
        <v>121</v>
      </c>
      <c r="DZ21" s="1" t="s">
        <v>121</v>
      </c>
      <c r="EA21" s="1" t="s">
        <v>121</v>
      </c>
      <c r="EB21" s="1" t="s">
        <v>121</v>
      </c>
      <c r="EC21" s="1" t="s">
        <v>121</v>
      </c>
      <c r="ED21" s="1" t="s">
        <v>121</v>
      </c>
      <c r="EE21" s="1" t="s">
        <v>121</v>
      </c>
      <c r="EF21" s="1" t="s">
        <v>121</v>
      </c>
      <c r="EG21" s="1" t="s">
        <v>121</v>
      </c>
      <c r="EH21" s="1" t="s">
        <v>121</v>
      </c>
      <c r="EI21" s="1" t="s">
        <v>121</v>
      </c>
      <c r="EJ21" s="1" t="s">
        <v>121</v>
      </c>
      <c r="EK21" s="1" t="s">
        <v>121</v>
      </c>
      <c r="EL21" s="1" t="s">
        <v>121</v>
      </c>
      <c r="EM21" s="1" t="s">
        <v>121</v>
      </c>
      <c r="EN21" s="1" t="s">
        <v>121</v>
      </c>
      <c r="EO21" s="1" t="s">
        <v>121</v>
      </c>
    </row>
    <row r="22" spans="1:145" ht="15" hidden="1" customHeight="1" outlineLevel="1" x14ac:dyDescent="0.25">
      <c r="A22" s="72">
        <v>22</v>
      </c>
      <c r="B22" s="40" t="s">
        <v>396</v>
      </c>
      <c r="C22" s="91" t="s">
        <v>121</v>
      </c>
      <c r="D22" s="86" t="s">
        <v>121</v>
      </c>
      <c r="E22" s="92" t="s">
        <v>121</v>
      </c>
      <c r="F22" s="250" t="s">
        <v>121</v>
      </c>
      <c r="G22" s="250" t="s">
        <v>121</v>
      </c>
      <c r="H22" s="250" t="s">
        <v>121</v>
      </c>
      <c r="I22" s="250" t="s">
        <v>121</v>
      </c>
      <c r="J22" s="250" t="s">
        <v>121</v>
      </c>
      <c r="K22" s="250" t="s">
        <v>121</v>
      </c>
      <c r="L22" s="250" t="s">
        <v>121</v>
      </c>
      <c r="M22" s="86" t="s">
        <v>121</v>
      </c>
      <c r="N22" s="250" t="s">
        <v>121</v>
      </c>
      <c r="O22" s="250" t="s">
        <v>121</v>
      </c>
      <c r="P22" s="250" t="s">
        <v>121</v>
      </c>
      <c r="Q22" s="250" t="s">
        <v>121</v>
      </c>
      <c r="R22" s="250" t="s">
        <v>121</v>
      </c>
      <c r="S22" s="250">
        <v>12296</v>
      </c>
      <c r="T22" s="250">
        <v>14210</v>
      </c>
      <c r="U22" s="250">
        <v>14294.92</v>
      </c>
      <c r="V22" s="250">
        <v>14233.248</v>
      </c>
      <c r="W22" s="250">
        <v>14418.326999999999</v>
      </c>
      <c r="X22" s="165">
        <v>15087</v>
      </c>
      <c r="Y22" s="165">
        <v>15227.137000000001</v>
      </c>
      <c r="Z22" s="165">
        <v>15417.308999999999</v>
      </c>
      <c r="AA22" s="165">
        <v>15516.376</v>
      </c>
      <c r="AB22" s="165">
        <v>16101.236000000001</v>
      </c>
      <c r="AC22" s="165">
        <v>16328.442999999999</v>
      </c>
      <c r="AD22" s="165">
        <v>16004.066000000001</v>
      </c>
      <c r="AE22" s="165">
        <v>15978.174999999999</v>
      </c>
      <c r="AF22" s="165">
        <v>16274.911</v>
      </c>
      <c r="AG22" s="165">
        <v>16860.964</v>
      </c>
      <c r="AH22" s="165">
        <v>17280.322</v>
      </c>
      <c r="AI22" s="78">
        <v>18137.171999999999</v>
      </c>
      <c r="AJ22" s="165">
        <v>18180.523000000001</v>
      </c>
      <c r="AK22" s="78">
        <v>19035.083999999999</v>
      </c>
      <c r="AL22" s="45">
        <v>18960.28</v>
      </c>
      <c r="AM22" s="45">
        <v>20018.071</v>
      </c>
      <c r="AN22" s="45">
        <v>20756.433000000001</v>
      </c>
      <c r="AO22" s="45">
        <v>21875.546999999999</v>
      </c>
      <c r="AP22" s="45">
        <v>22660.407999999999</v>
      </c>
      <c r="AQ22" s="45">
        <v>24860.043000000001</v>
      </c>
      <c r="AR22" s="45">
        <v>24296.085999999999</v>
      </c>
      <c r="AS22" s="45">
        <v>24163.205999999998</v>
      </c>
      <c r="AT22" s="45">
        <v>9997.2530000000006</v>
      </c>
      <c r="AU22" s="45">
        <v>11666.85</v>
      </c>
      <c r="AV22" s="45">
        <v>11393.066999999999</v>
      </c>
      <c r="AW22" s="45">
        <v>7908.8289999999997</v>
      </c>
      <c r="AX22" s="45">
        <v>9947.9320000000007</v>
      </c>
      <c r="AY22" s="45">
        <v>11269.986999999999</v>
      </c>
      <c r="AZ22" s="45">
        <v>10335.880999999999</v>
      </c>
      <c r="BA22" s="45">
        <v>7926.6440000000002</v>
      </c>
      <c r="BB22" s="45">
        <v>10234.027</v>
      </c>
      <c r="BC22" s="11">
        <v>9710.8960000000006</v>
      </c>
      <c r="BD22" s="11">
        <v>8568.6530000000002</v>
      </c>
      <c r="BE22" s="11">
        <v>6005.1589999999997</v>
      </c>
      <c r="BF22" s="11">
        <v>7161.652</v>
      </c>
      <c r="BG22" s="11">
        <v>6343.4040000000005</v>
      </c>
      <c r="BH22" s="11">
        <v>7054.39</v>
      </c>
      <c r="BI22" s="11">
        <v>7464.3209999999999</v>
      </c>
      <c r="BJ22" s="11">
        <v>6868.3639999999996</v>
      </c>
      <c r="BK22" s="11">
        <v>6776.92</v>
      </c>
      <c r="BL22" s="37">
        <v>7304.0919999999996</v>
      </c>
      <c r="BM22" s="1">
        <v>7749.0940000000001</v>
      </c>
      <c r="BN22" s="1">
        <v>7953.5479999999998</v>
      </c>
      <c r="BO22" s="1">
        <v>7510.9120000000003</v>
      </c>
      <c r="BP22" s="1">
        <v>7932.5730000000003</v>
      </c>
      <c r="BQ22" s="1" t="s">
        <v>121</v>
      </c>
      <c r="BR22" s="1" t="s">
        <v>121</v>
      </c>
      <c r="BS22" s="1" t="s">
        <v>121</v>
      </c>
      <c r="BT22" s="1" t="s">
        <v>121</v>
      </c>
      <c r="BU22" s="1" t="s">
        <v>121</v>
      </c>
      <c r="BV22" s="1" t="s">
        <v>121</v>
      </c>
      <c r="BW22" s="1" t="s">
        <v>121</v>
      </c>
      <c r="BX22" s="1" t="s">
        <v>121</v>
      </c>
      <c r="BY22" s="1" t="s">
        <v>121</v>
      </c>
      <c r="BZ22" s="1" t="s">
        <v>121</v>
      </c>
      <c r="CA22" s="1" t="s">
        <v>121</v>
      </c>
      <c r="CB22" s="1" t="s">
        <v>121</v>
      </c>
      <c r="CC22" s="1" t="s">
        <v>121</v>
      </c>
      <c r="CD22" s="1" t="s">
        <v>121</v>
      </c>
      <c r="CE22" s="1" t="s">
        <v>121</v>
      </c>
      <c r="CF22" s="1" t="s">
        <v>121</v>
      </c>
      <c r="CG22" s="1" t="s">
        <v>121</v>
      </c>
      <c r="CH22" s="1" t="s">
        <v>121</v>
      </c>
      <c r="CI22" s="1" t="s">
        <v>121</v>
      </c>
      <c r="CJ22" s="1" t="s">
        <v>121</v>
      </c>
      <c r="CK22" s="1" t="s">
        <v>121</v>
      </c>
      <c r="CL22" s="1" t="s">
        <v>121</v>
      </c>
      <c r="CM22" s="1" t="s">
        <v>121</v>
      </c>
      <c r="CN22" s="1" t="s">
        <v>121</v>
      </c>
      <c r="CO22" s="1" t="s">
        <v>121</v>
      </c>
      <c r="CP22" s="1" t="s">
        <v>121</v>
      </c>
      <c r="CQ22" s="1" t="s">
        <v>121</v>
      </c>
      <c r="CR22" s="1" t="s">
        <v>121</v>
      </c>
      <c r="CS22" s="1" t="s">
        <v>121</v>
      </c>
      <c r="CT22" s="1" t="s">
        <v>121</v>
      </c>
      <c r="CU22" s="1" t="s">
        <v>121</v>
      </c>
      <c r="CV22" s="1" t="s">
        <v>121</v>
      </c>
      <c r="CW22" s="1" t="s">
        <v>121</v>
      </c>
      <c r="CX22" s="1" t="s">
        <v>121</v>
      </c>
      <c r="CY22" s="1" t="s">
        <v>121</v>
      </c>
      <c r="CZ22" s="1" t="s">
        <v>121</v>
      </c>
      <c r="DA22" s="1" t="s">
        <v>121</v>
      </c>
      <c r="DB22" s="1" t="s">
        <v>121</v>
      </c>
      <c r="DC22" s="1" t="s">
        <v>121</v>
      </c>
      <c r="DD22" s="1" t="s">
        <v>121</v>
      </c>
      <c r="DE22" s="1" t="s">
        <v>121</v>
      </c>
      <c r="DF22" s="1" t="s">
        <v>121</v>
      </c>
      <c r="DG22" s="1" t="s">
        <v>121</v>
      </c>
      <c r="DH22" s="1" t="s">
        <v>121</v>
      </c>
      <c r="DI22" s="1" t="s">
        <v>121</v>
      </c>
      <c r="DJ22" s="1" t="s">
        <v>121</v>
      </c>
      <c r="DK22" s="1" t="s">
        <v>121</v>
      </c>
      <c r="DL22" s="1" t="s">
        <v>121</v>
      </c>
      <c r="DM22" s="1" t="s">
        <v>121</v>
      </c>
      <c r="DN22" s="1" t="s">
        <v>121</v>
      </c>
      <c r="DO22" s="1" t="s">
        <v>121</v>
      </c>
      <c r="DP22" s="1" t="s">
        <v>121</v>
      </c>
      <c r="DQ22" s="1" t="s">
        <v>121</v>
      </c>
      <c r="DR22" s="1" t="s">
        <v>121</v>
      </c>
      <c r="DS22" s="1" t="s">
        <v>121</v>
      </c>
      <c r="DT22" s="1" t="s">
        <v>121</v>
      </c>
      <c r="DU22" s="1" t="s">
        <v>121</v>
      </c>
      <c r="DV22" s="1" t="s">
        <v>121</v>
      </c>
      <c r="DW22" s="1" t="s">
        <v>121</v>
      </c>
      <c r="DX22" s="1" t="s">
        <v>121</v>
      </c>
      <c r="DY22" s="1" t="s">
        <v>121</v>
      </c>
      <c r="DZ22" s="1" t="s">
        <v>121</v>
      </c>
      <c r="EA22" s="1" t="s">
        <v>121</v>
      </c>
      <c r="EB22" s="1" t="s">
        <v>121</v>
      </c>
      <c r="EC22" s="1" t="s">
        <v>121</v>
      </c>
      <c r="ED22" s="1" t="s">
        <v>121</v>
      </c>
      <c r="EE22" s="1" t="s">
        <v>121</v>
      </c>
      <c r="EF22" s="1" t="s">
        <v>121</v>
      </c>
      <c r="EG22" s="1" t="s">
        <v>121</v>
      </c>
      <c r="EH22" s="1" t="s">
        <v>121</v>
      </c>
      <c r="EI22" s="1" t="s">
        <v>121</v>
      </c>
      <c r="EJ22" s="1" t="s">
        <v>121</v>
      </c>
      <c r="EK22" s="1" t="s">
        <v>121</v>
      </c>
      <c r="EL22" s="1" t="s">
        <v>121</v>
      </c>
      <c r="EM22" s="1" t="s">
        <v>121</v>
      </c>
      <c r="EN22" s="1" t="s">
        <v>121</v>
      </c>
      <c r="EO22" s="1" t="s">
        <v>121</v>
      </c>
    </row>
    <row r="23" spans="1:145" s="36" customFormat="1" ht="15" hidden="1" customHeight="1" outlineLevel="1" x14ac:dyDescent="0.25">
      <c r="A23" s="72">
        <v>23</v>
      </c>
      <c r="B23" s="57" t="s">
        <v>397</v>
      </c>
      <c r="C23" s="91" t="s">
        <v>121</v>
      </c>
      <c r="D23" s="86" t="s">
        <v>121</v>
      </c>
      <c r="E23" s="92" t="s">
        <v>121</v>
      </c>
      <c r="F23" s="294" t="s">
        <v>121</v>
      </c>
      <c r="G23" s="294" t="s">
        <v>121</v>
      </c>
      <c r="H23" s="294" t="s">
        <v>121</v>
      </c>
      <c r="I23" s="294" t="s">
        <v>121</v>
      </c>
      <c r="J23" s="294" t="s">
        <v>121</v>
      </c>
      <c r="K23" s="294" t="s">
        <v>121</v>
      </c>
      <c r="L23" s="294" t="s">
        <v>121</v>
      </c>
      <c r="M23" s="86" t="s">
        <v>121</v>
      </c>
      <c r="N23" s="294" t="s">
        <v>121</v>
      </c>
      <c r="O23" s="294" t="s">
        <v>121</v>
      </c>
      <c r="P23" s="294" t="s">
        <v>121</v>
      </c>
      <c r="Q23" s="294" t="s">
        <v>121</v>
      </c>
      <c r="R23" s="294" t="s">
        <v>121</v>
      </c>
      <c r="S23" s="294">
        <v>16486</v>
      </c>
      <c r="T23" s="294">
        <v>18173</v>
      </c>
      <c r="U23" s="294">
        <v>18132.143</v>
      </c>
      <c r="V23" s="294">
        <v>18324.300999999999</v>
      </c>
      <c r="W23" s="294">
        <v>18414.692999999999</v>
      </c>
      <c r="X23" s="212">
        <v>19068</v>
      </c>
      <c r="Y23" s="212">
        <v>19245.653000000002</v>
      </c>
      <c r="Z23" s="212">
        <v>19331.628000000001</v>
      </c>
      <c r="AA23" s="212">
        <v>19417.304</v>
      </c>
      <c r="AB23" s="212">
        <v>20030.385000000002</v>
      </c>
      <c r="AC23" s="212">
        <v>20551.652999999998</v>
      </c>
      <c r="AD23" s="212">
        <v>20130.871999999999</v>
      </c>
      <c r="AE23" s="212">
        <v>19871.669999999998</v>
      </c>
      <c r="AF23" s="212">
        <v>20300.863000000001</v>
      </c>
      <c r="AG23" s="212">
        <v>21183.906999999999</v>
      </c>
      <c r="AH23" s="212">
        <v>22118.529000000002</v>
      </c>
      <c r="AI23" s="159">
        <v>23520.212</v>
      </c>
      <c r="AJ23" s="212">
        <v>23096.669000000002</v>
      </c>
      <c r="AK23" s="159">
        <v>23932.638999999999</v>
      </c>
      <c r="AL23" s="46">
        <v>24431.371999999999</v>
      </c>
      <c r="AM23" s="46">
        <v>25523.602999999999</v>
      </c>
      <c r="AN23" s="46">
        <v>26370.067000000003</v>
      </c>
      <c r="AO23" s="46">
        <v>28100.680999999997</v>
      </c>
      <c r="AP23" s="46">
        <v>28798.650999999998</v>
      </c>
      <c r="AQ23" s="46">
        <v>30834.556</v>
      </c>
      <c r="AR23" s="46">
        <v>29712.867999999999</v>
      </c>
      <c r="AS23" s="46">
        <v>29469.152999999998</v>
      </c>
      <c r="AT23" s="46">
        <v>15111.289000000001</v>
      </c>
      <c r="AU23" s="46">
        <v>16082.143</v>
      </c>
      <c r="AV23" s="46">
        <v>14860.727999999999</v>
      </c>
      <c r="AW23" s="46">
        <v>11307.378999999999</v>
      </c>
      <c r="AX23" s="46">
        <v>13373.992</v>
      </c>
      <c r="AY23" s="46">
        <v>14932.516</v>
      </c>
      <c r="AZ23" s="46">
        <v>14074.585999999999</v>
      </c>
      <c r="BA23" s="46">
        <v>13073.936</v>
      </c>
      <c r="BB23" s="46">
        <v>15394.030999999999</v>
      </c>
      <c r="BC23" s="20">
        <v>14686.193000000001</v>
      </c>
      <c r="BD23" s="20">
        <v>13796.369999999999</v>
      </c>
      <c r="BE23" s="20">
        <v>11650.012999999999</v>
      </c>
      <c r="BF23" s="20">
        <v>12809.151</v>
      </c>
      <c r="BG23" s="20">
        <v>11948.11</v>
      </c>
      <c r="BH23" s="20">
        <v>12683.153</v>
      </c>
      <c r="BI23" s="20">
        <v>9463.884</v>
      </c>
      <c r="BJ23" s="20">
        <v>8863.4380000000001</v>
      </c>
      <c r="BK23" s="20">
        <v>8770.1620000000003</v>
      </c>
      <c r="BL23" s="20">
        <v>9296.4529999999995</v>
      </c>
      <c r="BM23" s="36">
        <v>9742.7980000000007</v>
      </c>
      <c r="BN23" s="36">
        <v>9946.6710000000003</v>
      </c>
      <c r="BO23" s="36">
        <v>9509.7569999999996</v>
      </c>
      <c r="BP23" s="36">
        <v>9931.018</v>
      </c>
      <c r="BQ23" s="36" t="s">
        <v>121</v>
      </c>
      <c r="BR23" s="36" t="s">
        <v>121</v>
      </c>
      <c r="BS23" s="36" t="s">
        <v>121</v>
      </c>
      <c r="BT23" s="36" t="s">
        <v>121</v>
      </c>
      <c r="BU23" s="36" t="s">
        <v>121</v>
      </c>
      <c r="BV23" s="36" t="s">
        <v>121</v>
      </c>
      <c r="BW23" s="36" t="s">
        <v>121</v>
      </c>
      <c r="BX23" s="36" t="s">
        <v>121</v>
      </c>
      <c r="BY23" s="36" t="s">
        <v>121</v>
      </c>
      <c r="BZ23" s="36" t="s">
        <v>121</v>
      </c>
      <c r="CA23" s="36" t="s">
        <v>121</v>
      </c>
      <c r="CB23" s="36" t="s">
        <v>121</v>
      </c>
      <c r="CC23" s="36" t="s">
        <v>121</v>
      </c>
      <c r="CD23" s="36" t="s">
        <v>121</v>
      </c>
      <c r="CE23" s="36" t="s">
        <v>121</v>
      </c>
      <c r="CF23" s="36" t="s">
        <v>121</v>
      </c>
      <c r="CG23" s="36" t="s">
        <v>121</v>
      </c>
      <c r="CH23" s="36" t="s">
        <v>121</v>
      </c>
      <c r="CI23" s="36" t="s">
        <v>121</v>
      </c>
      <c r="CJ23" s="36" t="s">
        <v>121</v>
      </c>
      <c r="CK23" s="36" t="s">
        <v>121</v>
      </c>
      <c r="CL23" s="36" t="s">
        <v>121</v>
      </c>
      <c r="CM23" s="36" t="s">
        <v>121</v>
      </c>
      <c r="CN23" s="36" t="s">
        <v>121</v>
      </c>
      <c r="CO23" s="36" t="s">
        <v>121</v>
      </c>
      <c r="CP23" s="36" t="s">
        <v>121</v>
      </c>
      <c r="CQ23" s="36" t="s">
        <v>121</v>
      </c>
      <c r="CR23" s="36" t="s">
        <v>121</v>
      </c>
      <c r="CS23" s="36" t="s">
        <v>121</v>
      </c>
      <c r="CT23" s="36" t="s">
        <v>121</v>
      </c>
      <c r="CU23" s="36" t="s">
        <v>121</v>
      </c>
      <c r="CV23" s="36" t="s">
        <v>121</v>
      </c>
      <c r="CW23" s="36" t="s">
        <v>121</v>
      </c>
      <c r="CX23" s="36" t="s">
        <v>121</v>
      </c>
      <c r="CY23" s="36" t="s">
        <v>121</v>
      </c>
      <c r="CZ23" s="36" t="s">
        <v>121</v>
      </c>
      <c r="DA23" s="36" t="s">
        <v>121</v>
      </c>
      <c r="DB23" s="36" t="s">
        <v>121</v>
      </c>
      <c r="DC23" s="36" t="s">
        <v>121</v>
      </c>
      <c r="DD23" s="36" t="s">
        <v>121</v>
      </c>
      <c r="DE23" s="36" t="s">
        <v>121</v>
      </c>
      <c r="DF23" s="36" t="s">
        <v>121</v>
      </c>
      <c r="DG23" s="36" t="s">
        <v>121</v>
      </c>
      <c r="DH23" s="36" t="s">
        <v>121</v>
      </c>
      <c r="DI23" s="36" t="s">
        <v>121</v>
      </c>
      <c r="DJ23" s="36" t="s">
        <v>121</v>
      </c>
      <c r="DK23" s="36" t="s">
        <v>121</v>
      </c>
      <c r="DL23" s="36" t="s">
        <v>121</v>
      </c>
      <c r="DM23" s="36" t="s">
        <v>121</v>
      </c>
      <c r="DN23" s="36" t="s">
        <v>121</v>
      </c>
      <c r="DO23" s="36" t="s">
        <v>121</v>
      </c>
      <c r="DP23" s="36" t="s">
        <v>121</v>
      </c>
      <c r="DQ23" s="36" t="s">
        <v>121</v>
      </c>
      <c r="DR23" s="36" t="s">
        <v>121</v>
      </c>
      <c r="DS23" s="36" t="s">
        <v>121</v>
      </c>
      <c r="DT23" s="36" t="s">
        <v>121</v>
      </c>
      <c r="DU23" s="36" t="s">
        <v>121</v>
      </c>
      <c r="DV23" s="36" t="s">
        <v>121</v>
      </c>
      <c r="DW23" s="36" t="s">
        <v>121</v>
      </c>
      <c r="DX23" s="36" t="s">
        <v>121</v>
      </c>
      <c r="DY23" s="36" t="s">
        <v>121</v>
      </c>
      <c r="DZ23" s="36" t="s">
        <v>121</v>
      </c>
      <c r="EA23" s="36" t="s">
        <v>121</v>
      </c>
      <c r="EB23" s="36" t="s">
        <v>121</v>
      </c>
      <c r="EC23" s="36" t="s">
        <v>121</v>
      </c>
      <c r="ED23" s="36" t="s">
        <v>121</v>
      </c>
      <c r="EE23" s="36" t="s">
        <v>121</v>
      </c>
      <c r="EF23" s="36" t="s">
        <v>121</v>
      </c>
      <c r="EG23" s="36" t="s">
        <v>121</v>
      </c>
      <c r="EH23" s="36" t="s">
        <v>121</v>
      </c>
      <c r="EI23" s="36" t="s">
        <v>121</v>
      </c>
      <c r="EJ23" s="36" t="s">
        <v>121</v>
      </c>
      <c r="EK23" s="36" t="s">
        <v>121</v>
      </c>
      <c r="EL23" s="36" t="s">
        <v>121</v>
      </c>
      <c r="EM23" s="36" t="s">
        <v>121</v>
      </c>
      <c r="EN23" s="36" t="s">
        <v>121</v>
      </c>
      <c r="EO23" s="36" t="s">
        <v>121</v>
      </c>
    </row>
    <row r="24" spans="1:145" s="19" customFormat="1" ht="26.1" hidden="1" customHeight="1" outlineLevel="1" x14ac:dyDescent="0.25">
      <c r="A24" s="72">
        <v>24</v>
      </c>
      <c r="B24" s="57" t="s">
        <v>398</v>
      </c>
      <c r="C24" s="91" t="s">
        <v>121</v>
      </c>
      <c r="D24" s="86" t="s">
        <v>121</v>
      </c>
      <c r="E24" s="92" t="s">
        <v>121</v>
      </c>
      <c r="F24" s="294" t="s">
        <v>121</v>
      </c>
      <c r="G24" s="294" t="s">
        <v>121</v>
      </c>
      <c r="H24" s="294" t="s">
        <v>121</v>
      </c>
      <c r="I24" s="294" t="s">
        <v>121</v>
      </c>
      <c r="J24" s="294" t="s">
        <v>121</v>
      </c>
      <c r="K24" s="294" t="s">
        <v>121</v>
      </c>
      <c r="L24" s="294" t="s">
        <v>121</v>
      </c>
      <c r="M24" s="86" t="s">
        <v>121</v>
      </c>
      <c r="N24" s="294" t="s">
        <v>121</v>
      </c>
      <c r="O24" s="294" t="s">
        <v>121</v>
      </c>
      <c r="P24" s="294" t="s">
        <v>121</v>
      </c>
      <c r="Q24" s="294" t="s">
        <v>121</v>
      </c>
      <c r="R24" s="294" t="s">
        <v>121</v>
      </c>
      <c r="S24" s="294">
        <v>119112</v>
      </c>
      <c r="T24" s="294">
        <v>118051</v>
      </c>
      <c r="U24" s="294">
        <v>112801.685</v>
      </c>
      <c r="V24" s="294">
        <v>108109.17800000001</v>
      </c>
      <c r="W24" s="294">
        <v>105497.158</v>
      </c>
      <c r="X24" s="212">
        <v>103757</v>
      </c>
      <c r="Y24" s="212">
        <v>101744.30100000001</v>
      </c>
      <c r="Z24" s="212">
        <v>99077.820999999996</v>
      </c>
      <c r="AA24" s="212">
        <v>97148.575000000012</v>
      </c>
      <c r="AB24" s="212">
        <v>95365.62</v>
      </c>
      <c r="AC24" s="212">
        <v>95052.731</v>
      </c>
      <c r="AD24" s="212">
        <v>92622.207999999999</v>
      </c>
      <c r="AE24" s="212">
        <v>91902.392999999996</v>
      </c>
      <c r="AF24" s="212">
        <v>91811.645999999993</v>
      </c>
      <c r="AG24" s="212">
        <v>90851.342000000004</v>
      </c>
      <c r="AH24" s="212">
        <v>89199.57</v>
      </c>
      <c r="AI24" s="159">
        <v>88491.005000000005</v>
      </c>
      <c r="AJ24" s="212">
        <v>88977.23000000001</v>
      </c>
      <c r="AK24" s="159">
        <v>88059.277000000002</v>
      </c>
      <c r="AL24" s="46">
        <v>82898.403999999995</v>
      </c>
      <c r="AM24" s="46">
        <v>82255.764999999999</v>
      </c>
      <c r="AN24" s="46">
        <v>81625.399000000005</v>
      </c>
      <c r="AO24" s="46">
        <v>82108.875</v>
      </c>
      <c r="AP24" s="46">
        <v>81771.98</v>
      </c>
      <c r="AQ24" s="46">
        <v>82790.566000000006</v>
      </c>
      <c r="AR24" s="46">
        <v>81079.570000000007</v>
      </c>
      <c r="AS24" s="46">
        <v>79904.288</v>
      </c>
      <c r="AT24" s="46">
        <v>64426.5</v>
      </c>
      <c r="AU24" s="46">
        <v>64915.157999999996</v>
      </c>
      <c r="AV24" s="46">
        <v>62687.407999999996</v>
      </c>
      <c r="AW24" s="46">
        <v>59342.298999999999</v>
      </c>
      <c r="AX24" s="46">
        <v>60180.195999999996</v>
      </c>
      <c r="AY24" s="46">
        <v>60545.328000000009</v>
      </c>
      <c r="AZ24" s="46">
        <v>58011.835999999996</v>
      </c>
      <c r="BA24" s="46">
        <v>53931.809000000001</v>
      </c>
      <c r="BB24" s="46">
        <v>51620.578000000009</v>
      </c>
      <c r="BC24" s="20">
        <v>50856.904999999999</v>
      </c>
      <c r="BD24" s="20">
        <v>48887.152000000002</v>
      </c>
      <c r="BE24" s="20">
        <v>46210.961000000003</v>
      </c>
      <c r="BF24" s="20">
        <v>46673.451999999997</v>
      </c>
      <c r="BG24" s="20">
        <v>46491.843000000001</v>
      </c>
      <c r="BH24" s="20">
        <v>47077.192999999999</v>
      </c>
      <c r="BI24" s="20">
        <v>43603.519</v>
      </c>
      <c r="BJ24" s="20">
        <v>39137.14</v>
      </c>
      <c r="BK24" s="20">
        <v>37432.399000000005</v>
      </c>
      <c r="BL24" s="20">
        <v>35868.303</v>
      </c>
      <c r="BM24" s="19">
        <v>34499.874000000003</v>
      </c>
      <c r="BN24" s="19">
        <v>33530.887999999999</v>
      </c>
      <c r="BO24" s="19">
        <v>33145.697</v>
      </c>
      <c r="BP24" s="19">
        <v>33217.123999999996</v>
      </c>
      <c r="BQ24" s="19" t="s">
        <v>121</v>
      </c>
      <c r="BR24" s="19" t="s">
        <v>121</v>
      </c>
      <c r="BS24" s="19" t="s">
        <v>121</v>
      </c>
      <c r="BT24" s="19" t="s">
        <v>121</v>
      </c>
      <c r="BU24" s="19" t="s">
        <v>121</v>
      </c>
      <c r="BV24" s="19" t="s">
        <v>121</v>
      </c>
      <c r="BW24" s="19" t="s">
        <v>121</v>
      </c>
      <c r="BX24" s="19" t="s">
        <v>121</v>
      </c>
      <c r="BY24" s="19" t="s">
        <v>121</v>
      </c>
      <c r="BZ24" s="19" t="s">
        <v>121</v>
      </c>
      <c r="CA24" s="19" t="s">
        <v>121</v>
      </c>
      <c r="CB24" s="19" t="s">
        <v>121</v>
      </c>
      <c r="CC24" s="19" t="s">
        <v>121</v>
      </c>
      <c r="CD24" s="19" t="s">
        <v>121</v>
      </c>
      <c r="CE24" s="19" t="s">
        <v>121</v>
      </c>
      <c r="CF24" s="19" t="s">
        <v>121</v>
      </c>
      <c r="CG24" s="19" t="s">
        <v>121</v>
      </c>
      <c r="CH24" s="19" t="s">
        <v>121</v>
      </c>
      <c r="CI24" s="19" t="s">
        <v>121</v>
      </c>
      <c r="CJ24" s="19" t="s">
        <v>121</v>
      </c>
      <c r="CK24" s="19" t="s">
        <v>121</v>
      </c>
      <c r="CL24" s="19" t="s">
        <v>121</v>
      </c>
      <c r="CM24" s="19" t="s">
        <v>121</v>
      </c>
      <c r="CN24" s="19" t="s">
        <v>121</v>
      </c>
      <c r="CO24" s="19" t="s">
        <v>121</v>
      </c>
      <c r="CP24" s="19" t="s">
        <v>121</v>
      </c>
      <c r="CQ24" s="19" t="s">
        <v>121</v>
      </c>
      <c r="CR24" s="19" t="s">
        <v>121</v>
      </c>
      <c r="CS24" s="19" t="s">
        <v>121</v>
      </c>
      <c r="CT24" s="19" t="s">
        <v>121</v>
      </c>
      <c r="CU24" s="19" t="s">
        <v>121</v>
      </c>
      <c r="CV24" s="19" t="s">
        <v>121</v>
      </c>
      <c r="CW24" s="19" t="s">
        <v>121</v>
      </c>
      <c r="CX24" s="19" t="s">
        <v>121</v>
      </c>
      <c r="CY24" s="19" t="s">
        <v>121</v>
      </c>
      <c r="CZ24" s="19" t="s">
        <v>121</v>
      </c>
      <c r="DA24" s="19" t="s">
        <v>121</v>
      </c>
      <c r="DB24" s="19" t="s">
        <v>121</v>
      </c>
      <c r="DC24" s="19" t="s">
        <v>121</v>
      </c>
      <c r="DD24" s="19" t="s">
        <v>121</v>
      </c>
      <c r="DE24" s="19" t="s">
        <v>121</v>
      </c>
      <c r="DF24" s="19" t="s">
        <v>121</v>
      </c>
      <c r="DG24" s="19" t="s">
        <v>121</v>
      </c>
      <c r="DH24" s="19" t="s">
        <v>121</v>
      </c>
      <c r="DI24" s="19" t="s">
        <v>121</v>
      </c>
      <c r="DJ24" s="19" t="s">
        <v>121</v>
      </c>
      <c r="DK24" s="19" t="s">
        <v>121</v>
      </c>
      <c r="DL24" s="19" t="s">
        <v>121</v>
      </c>
      <c r="DM24" s="19" t="s">
        <v>121</v>
      </c>
      <c r="DN24" s="19" t="s">
        <v>121</v>
      </c>
      <c r="DO24" s="19" t="s">
        <v>121</v>
      </c>
      <c r="DP24" s="19" t="s">
        <v>121</v>
      </c>
      <c r="DQ24" s="19" t="s">
        <v>121</v>
      </c>
      <c r="DR24" s="19" t="s">
        <v>121</v>
      </c>
      <c r="DS24" s="19" t="s">
        <v>121</v>
      </c>
      <c r="DT24" s="19" t="s">
        <v>121</v>
      </c>
      <c r="DU24" s="19" t="s">
        <v>121</v>
      </c>
      <c r="DV24" s="19" t="s">
        <v>121</v>
      </c>
      <c r="DW24" s="19" t="s">
        <v>121</v>
      </c>
      <c r="DX24" s="19" t="s">
        <v>121</v>
      </c>
      <c r="DY24" s="19" t="s">
        <v>121</v>
      </c>
      <c r="DZ24" s="19" t="s">
        <v>121</v>
      </c>
      <c r="EA24" s="19" t="s">
        <v>121</v>
      </c>
      <c r="EB24" s="19" t="s">
        <v>121</v>
      </c>
      <c r="EC24" s="19" t="s">
        <v>121</v>
      </c>
      <c r="ED24" s="19" t="s">
        <v>121</v>
      </c>
      <c r="EE24" s="19" t="s">
        <v>121</v>
      </c>
      <c r="EF24" s="19" t="s">
        <v>121</v>
      </c>
      <c r="EG24" s="19" t="s">
        <v>121</v>
      </c>
      <c r="EH24" s="19" t="s">
        <v>121</v>
      </c>
      <c r="EI24" s="19" t="s">
        <v>121</v>
      </c>
      <c r="EJ24" s="19" t="s">
        <v>121</v>
      </c>
      <c r="EK24" s="19" t="s">
        <v>121</v>
      </c>
      <c r="EL24" s="19" t="s">
        <v>121</v>
      </c>
      <c r="EM24" s="19" t="s">
        <v>121</v>
      </c>
      <c r="EN24" s="19" t="s">
        <v>121</v>
      </c>
      <c r="EO24" s="19" t="s">
        <v>121</v>
      </c>
    </row>
    <row r="25" spans="1:145" hidden="1" outlineLevel="1" x14ac:dyDescent="0.25">
      <c r="A25" s="72">
        <v>25</v>
      </c>
      <c r="B25" s="39" t="s">
        <v>121</v>
      </c>
      <c r="C25" s="91" t="s">
        <v>121</v>
      </c>
      <c r="D25" s="86" t="s">
        <v>121</v>
      </c>
      <c r="E25" s="92" t="s">
        <v>121</v>
      </c>
      <c r="F25" s="304" t="s">
        <v>121</v>
      </c>
      <c r="G25" s="304" t="s">
        <v>121</v>
      </c>
      <c r="H25" s="304" t="s">
        <v>121</v>
      </c>
      <c r="I25" s="304" t="s">
        <v>121</v>
      </c>
      <c r="J25" s="304" t="s">
        <v>121</v>
      </c>
      <c r="K25" s="304" t="s">
        <v>121</v>
      </c>
      <c r="L25" s="304" t="s">
        <v>121</v>
      </c>
      <c r="M25" s="86" t="s">
        <v>121</v>
      </c>
      <c r="N25" s="304" t="s">
        <v>121</v>
      </c>
      <c r="O25" s="304" t="s">
        <v>121</v>
      </c>
      <c r="P25" s="304" t="s">
        <v>121</v>
      </c>
      <c r="Q25" s="304" t="s">
        <v>121</v>
      </c>
      <c r="R25" s="304" t="s">
        <v>121</v>
      </c>
      <c r="S25" s="304" t="s">
        <v>121</v>
      </c>
      <c r="T25" s="304" t="s">
        <v>121</v>
      </c>
      <c r="U25" s="304" t="s">
        <v>121</v>
      </c>
      <c r="V25" s="304" t="s">
        <v>121</v>
      </c>
      <c r="W25" s="304" t="s">
        <v>121</v>
      </c>
      <c r="X25" s="257" t="s">
        <v>121</v>
      </c>
      <c r="Y25" s="257" t="s">
        <v>121</v>
      </c>
      <c r="Z25" s="257" t="s">
        <v>121</v>
      </c>
      <c r="AA25" s="213" t="s">
        <v>121</v>
      </c>
      <c r="AB25" s="213" t="s">
        <v>121</v>
      </c>
      <c r="AC25" s="213" t="s">
        <v>121</v>
      </c>
      <c r="AD25" s="213" t="s">
        <v>121</v>
      </c>
      <c r="AE25" s="213" t="s">
        <v>121</v>
      </c>
      <c r="AF25" s="213" t="s">
        <v>121</v>
      </c>
      <c r="AG25" s="213" t="s">
        <v>121</v>
      </c>
      <c r="AH25" s="213" t="s">
        <v>121</v>
      </c>
      <c r="AI25" s="164" t="s">
        <v>121</v>
      </c>
      <c r="AJ25" s="213" t="s">
        <v>121</v>
      </c>
      <c r="AK25" s="164" t="s">
        <v>121</v>
      </c>
      <c r="AL25" s="86" t="s">
        <v>121</v>
      </c>
      <c r="AM25" s="86" t="s">
        <v>121</v>
      </c>
      <c r="AN25" s="86" t="s">
        <v>121</v>
      </c>
      <c r="AO25" s="86" t="s">
        <v>121</v>
      </c>
      <c r="AP25" s="86" t="s">
        <v>121</v>
      </c>
      <c r="AQ25" s="86" t="s">
        <v>121</v>
      </c>
      <c r="AR25" s="86" t="s">
        <v>121</v>
      </c>
      <c r="AS25" s="86" t="s">
        <v>121</v>
      </c>
      <c r="AT25" s="86" t="s">
        <v>121</v>
      </c>
      <c r="AU25" s="86" t="s">
        <v>121</v>
      </c>
      <c r="AV25" s="86" t="s">
        <v>121</v>
      </c>
      <c r="AW25" s="86" t="s">
        <v>121</v>
      </c>
      <c r="AX25" s="86" t="s">
        <v>121</v>
      </c>
      <c r="AY25" s="128" t="s">
        <v>121</v>
      </c>
      <c r="AZ25" s="32" t="s">
        <v>121</v>
      </c>
      <c r="BA25" s="45" t="s">
        <v>121</v>
      </c>
      <c r="BB25" s="45" t="s">
        <v>121</v>
      </c>
      <c r="BC25" s="11" t="s">
        <v>121</v>
      </c>
      <c r="BD25" s="11" t="s">
        <v>121</v>
      </c>
      <c r="BE25" s="11" t="s">
        <v>121</v>
      </c>
      <c r="BF25" s="11" t="s">
        <v>121</v>
      </c>
      <c r="BG25" s="11" t="s">
        <v>121</v>
      </c>
      <c r="BH25" s="11" t="s">
        <v>121</v>
      </c>
      <c r="BI25" s="11" t="s">
        <v>121</v>
      </c>
      <c r="BJ25" s="11" t="s">
        <v>121</v>
      </c>
      <c r="BK25" s="11" t="s">
        <v>121</v>
      </c>
      <c r="BL25" s="37" t="s">
        <v>121</v>
      </c>
      <c r="BM25" s="1" t="s">
        <v>121</v>
      </c>
      <c r="BN25" s="1" t="s">
        <v>121</v>
      </c>
      <c r="BO25" s="1" t="s">
        <v>121</v>
      </c>
      <c r="BP25" s="1" t="s">
        <v>121</v>
      </c>
      <c r="BQ25" s="1" t="s">
        <v>121</v>
      </c>
      <c r="BR25" s="1" t="s">
        <v>121</v>
      </c>
      <c r="BS25" s="1" t="s">
        <v>121</v>
      </c>
      <c r="BT25" s="1" t="s">
        <v>121</v>
      </c>
      <c r="BU25" s="1" t="s">
        <v>121</v>
      </c>
      <c r="BV25" s="1" t="s">
        <v>121</v>
      </c>
      <c r="BW25" s="1" t="s">
        <v>121</v>
      </c>
      <c r="BX25" s="1" t="s">
        <v>121</v>
      </c>
      <c r="BY25" s="1" t="s">
        <v>121</v>
      </c>
      <c r="BZ25" s="1" t="s">
        <v>121</v>
      </c>
      <c r="CA25" s="1" t="s">
        <v>121</v>
      </c>
      <c r="CB25" s="1" t="s">
        <v>121</v>
      </c>
      <c r="CC25" s="1" t="s">
        <v>121</v>
      </c>
      <c r="CD25" s="1" t="s">
        <v>121</v>
      </c>
      <c r="CE25" s="1" t="s">
        <v>121</v>
      </c>
      <c r="CF25" s="1" t="s">
        <v>121</v>
      </c>
      <c r="CG25" s="1" t="s">
        <v>121</v>
      </c>
      <c r="CH25" s="1" t="s">
        <v>121</v>
      </c>
      <c r="CI25" s="1" t="s">
        <v>121</v>
      </c>
      <c r="CJ25" s="1" t="s">
        <v>121</v>
      </c>
      <c r="CK25" s="1" t="s">
        <v>121</v>
      </c>
      <c r="CL25" s="1" t="s">
        <v>121</v>
      </c>
      <c r="CM25" s="1" t="s">
        <v>121</v>
      </c>
      <c r="CN25" s="1" t="s">
        <v>121</v>
      </c>
      <c r="CO25" s="1" t="s">
        <v>121</v>
      </c>
      <c r="CP25" s="1" t="s">
        <v>121</v>
      </c>
      <c r="CQ25" s="1" t="s">
        <v>121</v>
      </c>
      <c r="CR25" s="1" t="s">
        <v>121</v>
      </c>
      <c r="CS25" s="1" t="s">
        <v>121</v>
      </c>
      <c r="CT25" s="1" t="s">
        <v>121</v>
      </c>
      <c r="CU25" s="1" t="s">
        <v>121</v>
      </c>
      <c r="CV25" s="1" t="s">
        <v>121</v>
      </c>
      <c r="CW25" s="1" t="s">
        <v>121</v>
      </c>
      <c r="CX25" s="1" t="s">
        <v>121</v>
      </c>
      <c r="CY25" s="1" t="s">
        <v>121</v>
      </c>
      <c r="CZ25" s="1" t="s">
        <v>121</v>
      </c>
      <c r="DA25" s="1" t="s">
        <v>121</v>
      </c>
      <c r="DB25" s="1" t="s">
        <v>121</v>
      </c>
      <c r="DC25" s="1" t="s">
        <v>121</v>
      </c>
      <c r="DD25" s="1" t="s">
        <v>121</v>
      </c>
      <c r="DE25" s="1" t="s">
        <v>121</v>
      </c>
      <c r="DF25" s="1" t="s">
        <v>121</v>
      </c>
      <c r="DG25" s="1" t="s">
        <v>121</v>
      </c>
      <c r="DH25" s="1" t="s">
        <v>121</v>
      </c>
      <c r="DI25" s="1" t="s">
        <v>121</v>
      </c>
      <c r="DJ25" s="1" t="s">
        <v>121</v>
      </c>
      <c r="DK25" s="1" t="s">
        <v>121</v>
      </c>
      <c r="DL25" s="1" t="s">
        <v>121</v>
      </c>
      <c r="DM25" s="1" t="s">
        <v>121</v>
      </c>
      <c r="DN25" s="1" t="s">
        <v>121</v>
      </c>
      <c r="DO25" s="1" t="s">
        <v>121</v>
      </c>
      <c r="DP25" s="1" t="s">
        <v>121</v>
      </c>
      <c r="DQ25" s="1" t="s">
        <v>121</v>
      </c>
      <c r="DR25" s="1" t="s">
        <v>121</v>
      </c>
      <c r="DS25" s="1" t="s">
        <v>121</v>
      </c>
      <c r="DT25" s="1" t="s">
        <v>121</v>
      </c>
      <c r="DU25" s="1" t="s">
        <v>121</v>
      </c>
      <c r="DV25" s="1" t="s">
        <v>121</v>
      </c>
      <c r="DW25" s="1" t="s">
        <v>121</v>
      </c>
      <c r="DX25" s="1" t="s">
        <v>121</v>
      </c>
      <c r="DY25" s="1" t="s">
        <v>121</v>
      </c>
      <c r="DZ25" s="1" t="s">
        <v>121</v>
      </c>
      <c r="EA25" s="1" t="s">
        <v>121</v>
      </c>
      <c r="EB25" s="1" t="s">
        <v>121</v>
      </c>
      <c r="EC25" s="1" t="s">
        <v>121</v>
      </c>
      <c r="ED25" s="1" t="s">
        <v>121</v>
      </c>
      <c r="EE25" s="1" t="s">
        <v>121</v>
      </c>
      <c r="EF25" s="1" t="s">
        <v>121</v>
      </c>
      <c r="EG25" s="1" t="s">
        <v>121</v>
      </c>
      <c r="EH25" s="1" t="s">
        <v>121</v>
      </c>
      <c r="EI25" s="1" t="s">
        <v>121</v>
      </c>
      <c r="EJ25" s="1" t="s">
        <v>121</v>
      </c>
      <c r="EK25" s="1" t="s">
        <v>121</v>
      </c>
      <c r="EL25" s="1" t="s">
        <v>121</v>
      </c>
      <c r="EM25" s="1" t="s">
        <v>121</v>
      </c>
      <c r="EN25" s="1" t="s">
        <v>121</v>
      </c>
      <c r="EO25" s="1" t="s">
        <v>121</v>
      </c>
    </row>
    <row r="26" spans="1:145" hidden="1" outlineLevel="1" x14ac:dyDescent="0.25">
      <c r="A26" s="72">
        <v>26</v>
      </c>
      <c r="B26" s="57" t="s">
        <v>399</v>
      </c>
      <c r="C26" s="91" t="s">
        <v>121</v>
      </c>
      <c r="D26" s="86" t="s">
        <v>121</v>
      </c>
      <c r="E26" s="92" t="s">
        <v>121</v>
      </c>
      <c r="F26" s="303" t="s">
        <v>121</v>
      </c>
      <c r="G26" s="303" t="s">
        <v>121</v>
      </c>
      <c r="H26" s="303" t="s">
        <v>121</v>
      </c>
      <c r="I26" s="303" t="s">
        <v>121</v>
      </c>
      <c r="J26" s="303" t="s">
        <v>121</v>
      </c>
      <c r="K26" s="303" t="s">
        <v>121</v>
      </c>
      <c r="L26" s="303" t="s">
        <v>121</v>
      </c>
      <c r="M26" s="86" t="s">
        <v>121</v>
      </c>
      <c r="N26" s="303" t="s">
        <v>121</v>
      </c>
      <c r="O26" s="303" t="s">
        <v>121</v>
      </c>
      <c r="P26" s="303" t="s">
        <v>121</v>
      </c>
      <c r="Q26" s="303" t="s">
        <v>121</v>
      </c>
      <c r="R26" s="303" t="s">
        <v>121</v>
      </c>
      <c r="S26" s="303" t="s">
        <v>121</v>
      </c>
      <c r="T26" s="303" t="s">
        <v>121</v>
      </c>
      <c r="U26" s="303" t="s">
        <v>121</v>
      </c>
      <c r="V26" s="303" t="s">
        <v>121</v>
      </c>
      <c r="W26" s="303" t="s">
        <v>121</v>
      </c>
      <c r="X26" s="213" t="s">
        <v>121</v>
      </c>
      <c r="Y26" s="213" t="s">
        <v>121</v>
      </c>
      <c r="Z26" s="213" t="s">
        <v>121</v>
      </c>
      <c r="AA26" s="213" t="s">
        <v>121</v>
      </c>
      <c r="AB26" s="213" t="s">
        <v>121</v>
      </c>
      <c r="AC26" s="213" t="s">
        <v>121</v>
      </c>
      <c r="AD26" s="213" t="s">
        <v>121</v>
      </c>
      <c r="AE26" s="213" t="s">
        <v>121</v>
      </c>
      <c r="AF26" s="213" t="s">
        <v>121</v>
      </c>
      <c r="AG26" s="213" t="s">
        <v>121</v>
      </c>
      <c r="AH26" s="213" t="s">
        <v>121</v>
      </c>
      <c r="AI26" s="164" t="s">
        <v>121</v>
      </c>
      <c r="AJ26" s="213" t="s">
        <v>121</v>
      </c>
      <c r="AK26" s="164" t="s">
        <v>121</v>
      </c>
      <c r="AL26" s="86" t="s">
        <v>121</v>
      </c>
      <c r="AM26" s="86" t="s">
        <v>121</v>
      </c>
      <c r="AN26" s="86" t="s">
        <v>121</v>
      </c>
      <c r="AO26" s="86" t="s">
        <v>121</v>
      </c>
      <c r="AP26" s="86" t="s">
        <v>121</v>
      </c>
      <c r="AQ26" s="86" t="s">
        <v>121</v>
      </c>
      <c r="AR26" s="86" t="s">
        <v>121</v>
      </c>
      <c r="AS26" s="86" t="s">
        <v>121</v>
      </c>
      <c r="AT26" s="86" t="s">
        <v>121</v>
      </c>
      <c r="AU26" s="86" t="s">
        <v>121</v>
      </c>
      <c r="AV26" s="86" t="s">
        <v>121</v>
      </c>
      <c r="AW26" s="86" t="s">
        <v>121</v>
      </c>
      <c r="AX26" s="86" t="s">
        <v>121</v>
      </c>
      <c r="AY26" s="45" t="s">
        <v>121</v>
      </c>
      <c r="AZ26" s="45" t="s">
        <v>121</v>
      </c>
      <c r="BA26" s="45" t="s">
        <v>121</v>
      </c>
      <c r="BB26" s="45" t="s">
        <v>121</v>
      </c>
      <c r="BC26" s="11" t="s">
        <v>121</v>
      </c>
      <c r="BD26" s="11" t="s">
        <v>121</v>
      </c>
      <c r="BE26" s="11" t="s">
        <v>121</v>
      </c>
      <c r="BF26" s="11" t="s">
        <v>121</v>
      </c>
      <c r="BG26" s="11" t="s">
        <v>121</v>
      </c>
      <c r="BH26" s="11" t="s">
        <v>121</v>
      </c>
      <c r="BI26" s="11" t="s">
        <v>121</v>
      </c>
      <c r="BJ26" s="11" t="s">
        <v>121</v>
      </c>
      <c r="BK26" s="11" t="s">
        <v>121</v>
      </c>
      <c r="BL26" s="37" t="s">
        <v>121</v>
      </c>
      <c r="BM26" s="1" t="s">
        <v>121</v>
      </c>
      <c r="BN26" s="1" t="s">
        <v>121</v>
      </c>
      <c r="BO26" s="1" t="s">
        <v>121</v>
      </c>
      <c r="BP26" s="1" t="s">
        <v>121</v>
      </c>
      <c r="BQ26" s="1" t="s">
        <v>121</v>
      </c>
      <c r="BR26" s="1" t="s">
        <v>121</v>
      </c>
      <c r="BS26" s="1" t="s">
        <v>121</v>
      </c>
      <c r="BT26" s="1" t="s">
        <v>121</v>
      </c>
      <c r="BU26" s="1" t="s">
        <v>121</v>
      </c>
      <c r="BV26" s="1" t="s">
        <v>121</v>
      </c>
      <c r="BW26" s="1" t="s">
        <v>121</v>
      </c>
      <c r="BX26" s="1" t="s">
        <v>121</v>
      </c>
      <c r="BY26" s="1" t="s">
        <v>121</v>
      </c>
      <c r="BZ26" s="1" t="s">
        <v>121</v>
      </c>
      <c r="CA26" s="1" t="s">
        <v>121</v>
      </c>
      <c r="CB26" s="1" t="s">
        <v>121</v>
      </c>
      <c r="CC26" s="1" t="s">
        <v>121</v>
      </c>
      <c r="CD26" s="1" t="s">
        <v>121</v>
      </c>
      <c r="CE26" s="1" t="s">
        <v>121</v>
      </c>
      <c r="CF26" s="1" t="s">
        <v>121</v>
      </c>
      <c r="CG26" s="1" t="s">
        <v>121</v>
      </c>
      <c r="CH26" s="1" t="s">
        <v>121</v>
      </c>
      <c r="CI26" s="1" t="s">
        <v>121</v>
      </c>
      <c r="CJ26" s="1" t="s">
        <v>121</v>
      </c>
      <c r="CK26" s="1" t="s">
        <v>121</v>
      </c>
      <c r="CL26" s="1" t="s">
        <v>121</v>
      </c>
      <c r="CM26" s="1" t="s">
        <v>121</v>
      </c>
      <c r="CN26" s="1" t="s">
        <v>121</v>
      </c>
      <c r="CO26" s="1" t="s">
        <v>121</v>
      </c>
      <c r="CP26" s="1" t="s">
        <v>121</v>
      </c>
      <c r="CQ26" s="1" t="s">
        <v>121</v>
      </c>
      <c r="CR26" s="1" t="s">
        <v>121</v>
      </c>
      <c r="CS26" s="1" t="s">
        <v>121</v>
      </c>
      <c r="CT26" s="1" t="s">
        <v>121</v>
      </c>
      <c r="CU26" s="1" t="s">
        <v>121</v>
      </c>
      <c r="CV26" s="1" t="s">
        <v>121</v>
      </c>
      <c r="CW26" s="1" t="s">
        <v>121</v>
      </c>
      <c r="CX26" s="1" t="s">
        <v>121</v>
      </c>
      <c r="CY26" s="1" t="s">
        <v>121</v>
      </c>
      <c r="CZ26" s="1" t="s">
        <v>121</v>
      </c>
      <c r="DA26" s="1" t="s">
        <v>121</v>
      </c>
      <c r="DB26" s="1" t="s">
        <v>121</v>
      </c>
      <c r="DC26" s="1" t="s">
        <v>121</v>
      </c>
      <c r="DD26" s="1" t="s">
        <v>121</v>
      </c>
      <c r="DE26" s="1" t="s">
        <v>121</v>
      </c>
      <c r="DF26" s="1" t="s">
        <v>121</v>
      </c>
      <c r="DG26" s="1" t="s">
        <v>121</v>
      </c>
      <c r="DH26" s="1" t="s">
        <v>121</v>
      </c>
      <c r="DI26" s="1" t="s">
        <v>121</v>
      </c>
      <c r="DJ26" s="1" t="s">
        <v>121</v>
      </c>
      <c r="DK26" s="1" t="s">
        <v>121</v>
      </c>
      <c r="DL26" s="1" t="s">
        <v>121</v>
      </c>
      <c r="DM26" s="1" t="s">
        <v>121</v>
      </c>
      <c r="DN26" s="1" t="s">
        <v>121</v>
      </c>
      <c r="DO26" s="1" t="s">
        <v>121</v>
      </c>
      <c r="DP26" s="1" t="s">
        <v>121</v>
      </c>
      <c r="DQ26" s="1" t="s">
        <v>121</v>
      </c>
      <c r="DR26" s="1" t="s">
        <v>121</v>
      </c>
      <c r="DS26" s="1" t="s">
        <v>121</v>
      </c>
      <c r="DT26" s="1" t="s">
        <v>121</v>
      </c>
      <c r="DU26" s="1" t="s">
        <v>121</v>
      </c>
      <c r="DV26" s="1" t="s">
        <v>121</v>
      </c>
      <c r="DW26" s="1" t="s">
        <v>121</v>
      </c>
      <c r="DX26" s="1" t="s">
        <v>121</v>
      </c>
      <c r="DY26" s="1" t="s">
        <v>121</v>
      </c>
      <c r="DZ26" s="1" t="s">
        <v>121</v>
      </c>
      <c r="EA26" s="1" t="s">
        <v>121</v>
      </c>
      <c r="EB26" s="1" t="s">
        <v>121</v>
      </c>
      <c r="EC26" s="1" t="s">
        <v>121</v>
      </c>
      <c r="ED26" s="1" t="s">
        <v>121</v>
      </c>
      <c r="EE26" s="1" t="s">
        <v>121</v>
      </c>
      <c r="EF26" s="1" t="s">
        <v>121</v>
      </c>
      <c r="EG26" s="1" t="s">
        <v>121</v>
      </c>
      <c r="EH26" s="1" t="s">
        <v>121</v>
      </c>
      <c r="EI26" s="1" t="s">
        <v>121</v>
      </c>
      <c r="EJ26" s="1" t="s">
        <v>121</v>
      </c>
      <c r="EK26" s="1" t="s">
        <v>121</v>
      </c>
      <c r="EL26" s="1" t="s">
        <v>121</v>
      </c>
      <c r="EM26" s="1" t="s">
        <v>121</v>
      </c>
      <c r="EN26" s="1" t="s">
        <v>121</v>
      </c>
      <c r="EO26" s="1" t="s">
        <v>121</v>
      </c>
    </row>
    <row r="27" spans="1:145" hidden="1" outlineLevel="1" x14ac:dyDescent="0.25">
      <c r="A27" s="72">
        <v>27</v>
      </c>
      <c r="B27" s="43" t="s">
        <v>400</v>
      </c>
      <c r="C27" s="91" t="s">
        <v>121</v>
      </c>
      <c r="D27" s="86" t="s">
        <v>121</v>
      </c>
      <c r="E27" s="92" t="s">
        <v>121</v>
      </c>
      <c r="F27" s="250" t="s">
        <v>121</v>
      </c>
      <c r="G27" s="250" t="s">
        <v>121</v>
      </c>
      <c r="H27" s="250" t="s">
        <v>121</v>
      </c>
      <c r="I27" s="250" t="s">
        <v>121</v>
      </c>
      <c r="J27" s="250" t="s">
        <v>121</v>
      </c>
      <c r="K27" s="250" t="s">
        <v>121</v>
      </c>
      <c r="L27" s="250" t="s">
        <v>121</v>
      </c>
      <c r="M27" s="86" t="s">
        <v>121</v>
      </c>
      <c r="N27" s="250" t="s">
        <v>121</v>
      </c>
      <c r="O27" s="250" t="s">
        <v>121</v>
      </c>
      <c r="P27" s="250" t="s">
        <v>121</v>
      </c>
      <c r="Q27" s="250" t="s">
        <v>121</v>
      </c>
      <c r="R27" s="250" t="s">
        <v>121</v>
      </c>
      <c r="S27" s="250">
        <v>605046</v>
      </c>
      <c r="T27" s="250">
        <v>572877</v>
      </c>
      <c r="U27" s="250">
        <v>564699.424</v>
      </c>
      <c r="V27" s="250">
        <v>564431.70700000005</v>
      </c>
      <c r="W27" s="250">
        <v>549449.42599999998</v>
      </c>
      <c r="X27" s="165">
        <v>544176</v>
      </c>
      <c r="Y27" s="165">
        <v>567157.25800000003</v>
      </c>
      <c r="Z27" s="165">
        <v>514038.57699999999</v>
      </c>
      <c r="AA27" s="165">
        <v>520018.43599999999</v>
      </c>
      <c r="AB27" s="165">
        <v>469929.473</v>
      </c>
      <c r="AC27" s="165">
        <v>455387.33500000002</v>
      </c>
      <c r="AD27" s="165">
        <v>448115.26</v>
      </c>
      <c r="AE27" s="165">
        <v>441755.54</v>
      </c>
      <c r="AF27" s="165">
        <v>445137.54</v>
      </c>
      <c r="AG27" s="165">
        <v>431742.234</v>
      </c>
      <c r="AH27" s="165">
        <v>386132.68300000002</v>
      </c>
      <c r="AI27" s="78">
        <v>393559.77500000002</v>
      </c>
      <c r="AJ27" s="165">
        <v>403549.91899999999</v>
      </c>
      <c r="AK27" s="78">
        <v>383648.74900000001</v>
      </c>
      <c r="AL27" s="78">
        <v>383779.092</v>
      </c>
      <c r="AM27" s="78">
        <v>402398.61099999998</v>
      </c>
      <c r="AN27" s="78">
        <v>416867.18300000002</v>
      </c>
      <c r="AO27" s="78">
        <v>425678.81800000003</v>
      </c>
      <c r="AP27" s="78">
        <v>440282.47100000002</v>
      </c>
      <c r="AQ27" s="78">
        <v>455575.74400000001</v>
      </c>
      <c r="AR27" s="78">
        <v>456087.53100000002</v>
      </c>
      <c r="AS27" s="45">
        <v>434793.94099999999</v>
      </c>
      <c r="AT27" s="45">
        <v>422101.11300000001</v>
      </c>
      <c r="AU27" s="45">
        <v>429590.54100000003</v>
      </c>
      <c r="AV27" s="45">
        <v>418110.34100000001</v>
      </c>
      <c r="AW27" s="45">
        <v>307663.554</v>
      </c>
      <c r="AX27" s="45">
        <v>297259.76299999998</v>
      </c>
      <c r="AY27" s="45">
        <v>298121.20600000001</v>
      </c>
      <c r="AZ27" s="45">
        <v>281665.89799999999</v>
      </c>
      <c r="BA27" s="45">
        <v>293582.34100000001</v>
      </c>
      <c r="BB27" s="45">
        <v>273816.29599999997</v>
      </c>
      <c r="BC27" s="11">
        <v>257280.91099999999</v>
      </c>
      <c r="BD27" s="11">
        <v>254098.198</v>
      </c>
      <c r="BE27" s="11">
        <v>246194.25</v>
      </c>
      <c r="BF27" s="11">
        <v>252725.50099999999</v>
      </c>
      <c r="BG27" s="11">
        <v>243514.52799999999</v>
      </c>
      <c r="BH27" s="11">
        <v>246469.02799999999</v>
      </c>
      <c r="BI27" s="11">
        <v>232357.44399999999</v>
      </c>
      <c r="BJ27" s="11">
        <v>222836.53</v>
      </c>
      <c r="BK27" s="11">
        <v>216319.55600000001</v>
      </c>
      <c r="BL27" s="37">
        <v>206925.24299999999</v>
      </c>
      <c r="BM27" s="1">
        <v>196425.185</v>
      </c>
      <c r="BN27" s="1">
        <v>178836.25599999999</v>
      </c>
      <c r="BO27" s="1">
        <v>179666.889</v>
      </c>
      <c r="BP27" s="1">
        <v>177034.17499999999</v>
      </c>
      <c r="BQ27" s="1" t="s">
        <v>121</v>
      </c>
      <c r="BR27" s="1" t="s">
        <v>121</v>
      </c>
      <c r="BS27" s="1" t="s">
        <v>121</v>
      </c>
      <c r="BT27" s="1" t="s">
        <v>121</v>
      </c>
      <c r="BU27" s="1" t="s">
        <v>121</v>
      </c>
      <c r="BV27" s="1" t="s">
        <v>121</v>
      </c>
      <c r="BW27" s="1" t="s">
        <v>121</v>
      </c>
      <c r="BX27" s="1" t="s">
        <v>121</v>
      </c>
      <c r="BY27" s="1" t="s">
        <v>121</v>
      </c>
      <c r="BZ27" s="1" t="s">
        <v>121</v>
      </c>
      <c r="CA27" s="1" t="s">
        <v>121</v>
      </c>
      <c r="CB27" s="1" t="s">
        <v>121</v>
      </c>
      <c r="CC27" s="1" t="s">
        <v>121</v>
      </c>
      <c r="CD27" s="1" t="s">
        <v>121</v>
      </c>
      <c r="CE27" s="1" t="s">
        <v>121</v>
      </c>
      <c r="CF27" s="1" t="s">
        <v>121</v>
      </c>
      <c r="CG27" s="1" t="s">
        <v>121</v>
      </c>
      <c r="CH27" s="1" t="s">
        <v>121</v>
      </c>
      <c r="CI27" s="1" t="s">
        <v>121</v>
      </c>
      <c r="CJ27" s="1" t="s">
        <v>121</v>
      </c>
      <c r="CK27" s="1" t="s">
        <v>121</v>
      </c>
      <c r="CL27" s="1" t="s">
        <v>121</v>
      </c>
      <c r="CM27" s="1" t="s">
        <v>121</v>
      </c>
      <c r="CN27" s="1" t="s">
        <v>121</v>
      </c>
      <c r="CO27" s="1" t="s">
        <v>121</v>
      </c>
      <c r="CP27" s="1" t="s">
        <v>121</v>
      </c>
      <c r="CQ27" s="1" t="s">
        <v>121</v>
      </c>
      <c r="CR27" s="1" t="s">
        <v>121</v>
      </c>
      <c r="CS27" s="1" t="s">
        <v>121</v>
      </c>
      <c r="CT27" s="1" t="s">
        <v>121</v>
      </c>
      <c r="CU27" s="1" t="s">
        <v>121</v>
      </c>
      <c r="CV27" s="1" t="s">
        <v>121</v>
      </c>
      <c r="CW27" s="1" t="s">
        <v>121</v>
      </c>
      <c r="CX27" s="1" t="s">
        <v>121</v>
      </c>
      <c r="CY27" s="1" t="s">
        <v>121</v>
      </c>
      <c r="CZ27" s="1" t="s">
        <v>121</v>
      </c>
      <c r="DA27" s="1" t="s">
        <v>121</v>
      </c>
      <c r="DB27" s="1" t="s">
        <v>121</v>
      </c>
      <c r="DC27" s="1" t="s">
        <v>121</v>
      </c>
      <c r="DD27" s="1" t="s">
        <v>121</v>
      </c>
      <c r="DE27" s="1" t="s">
        <v>121</v>
      </c>
      <c r="DF27" s="1" t="s">
        <v>121</v>
      </c>
      <c r="DG27" s="1" t="s">
        <v>121</v>
      </c>
      <c r="DH27" s="1" t="s">
        <v>121</v>
      </c>
      <c r="DI27" s="1" t="s">
        <v>121</v>
      </c>
      <c r="DJ27" s="1" t="s">
        <v>121</v>
      </c>
      <c r="DK27" s="1" t="s">
        <v>121</v>
      </c>
      <c r="DL27" s="1" t="s">
        <v>121</v>
      </c>
      <c r="DM27" s="1" t="s">
        <v>121</v>
      </c>
      <c r="DN27" s="1" t="s">
        <v>121</v>
      </c>
      <c r="DO27" s="1" t="s">
        <v>121</v>
      </c>
      <c r="DP27" s="1" t="s">
        <v>121</v>
      </c>
      <c r="DQ27" s="1" t="s">
        <v>121</v>
      </c>
      <c r="DR27" s="1" t="s">
        <v>121</v>
      </c>
      <c r="DS27" s="1" t="s">
        <v>121</v>
      </c>
      <c r="DT27" s="1" t="s">
        <v>121</v>
      </c>
      <c r="DU27" s="1" t="s">
        <v>121</v>
      </c>
      <c r="DV27" s="1" t="s">
        <v>121</v>
      </c>
      <c r="DW27" s="1" t="s">
        <v>121</v>
      </c>
      <c r="DX27" s="1" t="s">
        <v>121</v>
      </c>
      <c r="DY27" s="1" t="s">
        <v>121</v>
      </c>
      <c r="DZ27" s="1" t="s">
        <v>121</v>
      </c>
      <c r="EA27" s="1" t="s">
        <v>121</v>
      </c>
      <c r="EB27" s="1" t="s">
        <v>121</v>
      </c>
      <c r="EC27" s="1" t="s">
        <v>121</v>
      </c>
      <c r="ED27" s="1" t="s">
        <v>121</v>
      </c>
      <c r="EE27" s="1" t="s">
        <v>121</v>
      </c>
      <c r="EF27" s="1" t="s">
        <v>121</v>
      </c>
      <c r="EG27" s="1" t="s">
        <v>121</v>
      </c>
      <c r="EH27" s="1" t="s">
        <v>121</v>
      </c>
      <c r="EI27" s="1" t="s">
        <v>121</v>
      </c>
      <c r="EJ27" s="1" t="s">
        <v>121</v>
      </c>
      <c r="EK27" s="1" t="s">
        <v>121</v>
      </c>
      <c r="EL27" s="1" t="s">
        <v>121</v>
      </c>
      <c r="EM27" s="1" t="s">
        <v>121</v>
      </c>
      <c r="EN27" s="1" t="s">
        <v>121</v>
      </c>
      <c r="EO27" s="1" t="s">
        <v>121</v>
      </c>
    </row>
    <row r="28" spans="1:145" hidden="1" outlineLevel="1" x14ac:dyDescent="0.25">
      <c r="A28" s="72">
        <v>28</v>
      </c>
      <c r="B28" s="43" t="s">
        <v>401</v>
      </c>
      <c r="C28" s="91" t="s">
        <v>121</v>
      </c>
      <c r="D28" s="86" t="s">
        <v>121</v>
      </c>
      <c r="E28" s="92" t="s">
        <v>121</v>
      </c>
      <c r="F28" s="250" t="s">
        <v>121</v>
      </c>
      <c r="G28" s="250" t="s">
        <v>121</v>
      </c>
      <c r="H28" s="250" t="s">
        <v>121</v>
      </c>
      <c r="I28" s="250" t="s">
        <v>121</v>
      </c>
      <c r="J28" s="250" t="s">
        <v>121</v>
      </c>
      <c r="K28" s="250" t="s">
        <v>121</v>
      </c>
      <c r="L28" s="250" t="s">
        <v>121</v>
      </c>
      <c r="M28" s="86" t="s">
        <v>121</v>
      </c>
      <c r="N28" s="250" t="s">
        <v>121</v>
      </c>
      <c r="O28" s="250" t="s">
        <v>121</v>
      </c>
      <c r="P28" s="250" t="s">
        <v>121</v>
      </c>
      <c r="Q28" s="250" t="s">
        <v>121</v>
      </c>
      <c r="R28" s="250" t="s">
        <v>121</v>
      </c>
      <c r="S28" s="250">
        <v>58388</v>
      </c>
      <c r="T28" s="250">
        <v>39128</v>
      </c>
      <c r="U28" s="250">
        <v>34626.938000000002</v>
      </c>
      <c r="V28" s="250">
        <v>24592.012999999999</v>
      </c>
      <c r="W28" s="250">
        <v>18060.887999999999</v>
      </c>
      <c r="X28" s="165">
        <v>13027</v>
      </c>
      <c r="Y28" s="165">
        <v>12283.163</v>
      </c>
      <c r="Z28" s="165">
        <v>15993.786</v>
      </c>
      <c r="AA28" s="165">
        <v>15388.463</v>
      </c>
      <c r="AB28" s="165">
        <v>20255.512999999999</v>
      </c>
      <c r="AC28" s="165">
        <v>20901.650000000001</v>
      </c>
      <c r="AD28" s="165">
        <v>24858.35</v>
      </c>
      <c r="AE28" s="165">
        <v>39125.675000000003</v>
      </c>
      <c r="AF28" s="165">
        <v>42368.987999999998</v>
      </c>
      <c r="AG28" s="165">
        <v>44041.75</v>
      </c>
      <c r="AH28" s="165">
        <v>88196.387000000002</v>
      </c>
      <c r="AI28" s="78">
        <v>108038.788</v>
      </c>
      <c r="AJ28" s="165">
        <v>90933.6</v>
      </c>
      <c r="AK28" s="78">
        <v>74768.324999999997</v>
      </c>
      <c r="AL28" s="78">
        <v>76822.725000000006</v>
      </c>
      <c r="AM28" s="78">
        <v>45931.05</v>
      </c>
      <c r="AN28" s="78">
        <v>52505.588000000003</v>
      </c>
      <c r="AO28" s="78">
        <v>31962.705999999998</v>
      </c>
      <c r="AP28" s="78">
        <v>50907.25</v>
      </c>
      <c r="AQ28" s="78">
        <v>34835.588000000003</v>
      </c>
      <c r="AR28" s="78">
        <v>29547.012999999999</v>
      </c>
      <c r="AS28" s="45">
        <v>21039.588</v>
      </c>
      <c r="AT28" s="45">
        <v>14446.538</v>
      </c>
      <c r="AU28" s="45">
        <v>7914.8</v>
      </c>
      <c r="AV28" s="45">
        <v>7324.277</v>
      </c>
      <c r="AW28" s="45">
        <v>78071.812999999995</v>
      </c>
      <c r="AX28" s="45">
        <v>76498.187999999995</v>
      </c>
      <c r="AY28" s="45">
        <v>76953.163</v>
      </c>
      <c r="AZ28" s="45">
        <v>85854.763000000006</v>
      </c>
      <c r="BA28" s="45">
        <v>71940.463000000003</v>
      </c>
      <c r="BB28" s="45">
        <v>67522.388000000006</v>
      </c>
      <c r="BC28" s="11">
        <v>71113.663</v>
      </c>
      <c r="BD28" s="11">
        <v>59851.612999999998</v>
      </c>
      <c r="BE28" s="11">
        <v>56295.625</v>
      </c>
      <c r="BF28" s="11">
        <v>65574.45</v>
      </c>
      <c r="BG28" s="11">
        <v>59521.813000000002</v>
      </c>
      <c r="BH28" s="11">
        <v>52269.9</v>
      </c>
      <c r="BI28" s="11">
        <v>54228.588000000003</v>
      </c>
      <c r="BJ28" s="11">
        <v>55711.224999999999</v>
      </c>
      <c r="BK28" s="11">
        <v>50506.775000000001</v>
      </c>
      <c r="BL28" s="37">
        <v>42980.688000000002</v>
      </c>
      <c r="BM28" s="1">
        <v>40431.525000000001</v>
      </c>
      <c r="BN28" s="1">
        <v>34977.114999999998</v>
      </c>
      <c r="BO28" s="1">
        <v>42679.6</v>
      </c>
      <c r="BP28" s="1">
        <v>32061.413</v>
      </c>
      <c r="BQ28" s="1" t="s">
        <v>121</v>
      </c>
      <c r="BR28" s="1" t="s">
        <v>121</v>
      </c>
      <c r="BS28" s="1" t="s">
        <v>121</v>
      </c>
      <c r="BT28" s="1" t="s">
        <v>121</v>
      </c>
      <c r="BU28" s="1" t="s">
        <v>121</v>
      </c>
      <c r="BV28" s="1" t="s">
        <v>121</v>
      </c>
      <c r="BW28" s="1" t="s">
        <v>121</v>
      </c>
      <c r="BX28" s="1" t="s">
        <v>121</v>
      </c>
      <c r="BY28" s="1" t="s">
        <v>121</v>
      </c>
      <c r="BZ28" s="1" t="s">
        <v>121</v>
      </c>
      <c r="CA28" s="1" t="s">
        <v>121</v>
      </c>
      <c r="CB28" s="1" t="s">
        <v>121</v>
      </c>
      <c r="CC28" s="1" t="s">
        <v>121</v>
      </c>
      <c r="CD28" s="1" t="s">
        <v>121</v>
      </c>
      <c r="CE28" s="1" t="s">
        <v>121</v>
      </c>
      <c r="CF28" s="1" t="s">
        <v>121</v>
      </c>
      <c r="CG28" s="1" t="s">
        <v>121</v>
      </c>
      <c r="CH28" s="1" t="s">
        <v>121</v>
      </c>
      <c r="CI28" s="1" t="s">
        <v>121</v>
      </c>
      <c r="CJ28" s="1" t="s">
        <v>121</v>
      </c>
      <c r="CK28" s="1" t="s">
        <v>121</v>
      </c>
      <c r="CL28" s="1" t="s">
        <v>121</v>
      </c>
      <c r="CM28" s="1" t="s">
        <v>121</v>
      </c>
      <c r="CN28" s="1" t="s">
        <v>121</v>
      </c>
      <c r="CO28" s="1" t="s">
        <v>121</v>
      </c>
      <c r="CP28" s="1" t="s">
        <v>121</v>
      </c>
      <c r="CQ28" s="1" t="s">
        <v>121</v>
      </c>
      <c r="CR28" s="1" t="s">
        <v>121</v>
      </c>
      <c r="CS28" s="1" t="s">
        <v>121</v>
      </c>
      <c r="CT28" s="1" t="s">
        <v>121</v>
      </c>
      <c r="CU28" s="1" t="s">
        <v>121</v>
      </c>
      <c r="CV28" s="1" t="s">
        <v>121</v>
      </c>
      <c r="CW28" s="1" t="s">
        <v>121</v>
      </c>
      <c r="CX28" s="1" t="s">
        <v>121</v>
      </c>
      <c r="CY28" s="1" t="s">
        <v>121</v>
      </c>
      <c r="CZ28" s="1" t="s">
        <v>121</v>
      </c>
      <c r="DA28" s="1" t="s">
        <v>121</v>
      </c>
      <c r="DB28" s="1" t="s">
        <v>121</v>
      </c>
      <c r="DC28" s="1" t="s">
        <v>121</v>
      </c>
      <c r="DD28" s="1" t="s">
        <v>121</v>
      </c>
      <c r="DE28" s="1" t="s">
        <v>121</v>
      </c>
      <c r="DF28" s="1" t="s">
        <v>121</v>
      </c>
      <c r="DG28" s="1" t="s">
        <v>121</v>
      </c>
      <c r="DH28" s="1" t="s">
        <v>121</v>
      </c>
      <c r="DI28" s="1" t="s">
        <v>121</v>
      </c>
      <c r="DJ28" s="1" t="s">
        <v>121</v>
      </c>
      <c r="DK28" s="1" t="s">
        <v>121</v>
      </c>
      <c r="DL28" s="1" t="s">
        <v>121</v>
      </c>
      <c r="DM28" s="1" t="s">
        <v>121</v>
      </c>
      <c r="DN28" s="1" t="s">
        <v>121</v>
      </c>
      <c r="DO28" s="1" t="s">
        <v>121</v>
      </c>
      <c r="DP28" s="1" t="s">
        <v>121</v>
      </c>
      <c r="DQ28" s="1" t="s">
        <v>121</v>
      </c>
      <c r="DR28" s="1" t="s">
        <v>121</v>
      </c>
      <c r="DS28" s="1" t="s">
        <v>121</v>
      </c>
      <c r="DT28" s="1" t="s">
        <v>121</v>
      </c>
      <c r="DU28" s="1" t="s">
        <v>121</v>
      </c>
      <c r="DV28" s="1" t="s">
        <v>121</v>
      </c>
      <c r="DW28" s="1" t="s">
        <v>121</v>
      </c>
      <c r="DX28" s="1" t="s">
        <v>121</v>
      </c>
      <c r="DY28" s="1" t="s">
        <v>121</v>
      </c>
      <c r="DZ28" s="1" t="s">
        <v>121</v>
      </c>
      <c r="EA28" s="1" t="s">
        <v>121</v>
      </c>
      <c r="EB28" s="1" t="s">
        <v>121</v>
      </c>
      <c r="EC28" s="1" t="s">
        <v>121</v>
      </c>
      <c r="ED28" s="1" t="s">
        <v>121</v>
      </c>
      <c r="EE28" s="1" t="s">
        <v>121</v>
      </c>
      <c r="EF28" s="1" t="s">
        <v>121</v>
      </c>
      <c r="EG28" s="1" t="s">
        <v>121</v>
      </c>
      <c r="EH28" s="1" t="s">
        <v>121</v>
      </c>
      <c r="EI28" s="1" t="s">
        <v>121</v>
      </c>
      <c r="EJ28" s="1" t="s">
        <v>121</v>
      </c>
      <c r="EK28" s="1" t="s">
        <v>121</v>
      </c>
      <c r="EL28" s="1" t="s">
        <v>121</v>
      </c>
      <c r="EM28" s="1" t="s">
        <v>121</v>
      </c>
      <c r="EN28" s="1" t="s">
        <v>121</v>
      </c>
      <c r="EO28" s="1" t="s">
        <v>121</v>
      </c>
    </row>
    <row r="29" spans="1:145" hidden="1" outlineLevel="1" x14ac:dyDescent="0.25">
      <c r="A29" s="72">
        <v>29</v>
      </c>
      <c r="B29" s="43" t="s">
        <v>402</v>
      </c>
      <c r="C29" s="91" t="s">
        <v>121</v>
      </c>
      <c r="D29" s="86" t="s">
        <v>121</v>
      </c>
      <c r="E29" s="92" t="s">
        <v>121</v>
      </c>
      <c r="F29" s="250" t="s">
        <v>121</v>
      </c>
      <c r="G29" s="250" t="s">
        <v>121</v>
      </c>
      <c r="H29" s="250" t="s">
        <v>121</v>
      </c>
      <c r="I29" s="250" t="s">
        <v>121</v>
      </c>
      <c r="J29" s="250" t="s">
        <v>121</v>
      </c>
      <c r="K29" s="250" t="s">
        <v>121</v>
      </c>
      <c r="L29" s="250" t="s">
        <v>121</v>
      </c>
      <c r="M29" s="86" t="s">
        <v>121</v>
      </c>
      <c r="N29" s="250" t="s">
        <v>121</v>
      </c>
      <c r="O29" s="250" t="s">
        <v>121</v>
      </c>
      <c r="P29" s="250" t="s">
        <v>121</v>
      </c>
      <c r="Q29" s="250" t="s">
        <v>121</v>
      </c>
      <c r="R29" s="250" t="s">
        <v>121</v>
      </c>
      <c r="S29" s="250">
        <v>81624</v>
      </c>
      <c r="T29" s="250">
        <v>93074</v>
      </c>
      <c r="U29" s="250">
        <v>85829.760999999999</v>
      </c>
      <c r="V29" s="250">
        <v>85225.763999999996</v>
      </c>
      <c r="W29" s="250">
        <v>79665.146999999997</v>
      </c>
      <c r="X29" s="165">
        <v>83031</v>
      </c>
      <c r="Y29" s="165">
        <v>72704.292000000001</v>
      </c>
      <c r="Z29" s="165">
        <v>73792.604999999996</v>
      </c>
      <c r="AA29" s="165">
        <v>65718.957999999999</v>
      </c>
      <c r="AB29" s="165">
        <v>62399.756999999998</v>
      </c>
      <c r="AC29" s="165">
        <v>51240.940000000024</v>
      </c>
      <c r="AD29" s="165">
        <v>52024.103999999999</v>
      </c>
      <c r="AE29" s="165">
        <v>42030.15</v>
      </c>
      <c r="AF29" s="165">
        <v>46191.963000000003</v>
      </c>
      <c r="AG29" s="165">
        <v>38860.788999999997</v>
      </c>
      <c r="AH29" s="165">
        <v>37739.067000000003</v>
      </c>
      <c r="AI29" s="78">
        <v>34456.684000000001</v>
      </c>
      <c r="AJ29" s="165">
        <v>37230.021999999997</v>
      </c>
      <c r="AK29" s="78">
        <v>36642.644</v>
      </c>
      <c r="AL29" s="78">
        <v>35386.934999999998</v>
      </c>
      <c r="AM29" s="78">
        <v>29754.182000000001</v>
      </c>
      <c r="AN29" s="78">
        <v>33000.159</v>
      </c>
      <c r="AO29" s="78">
        <v>44971.362999999998</v>
      </c>
      <c r="AP29" s="78">
        <v>31546.357</v>
      </c>
      <c r="AQ29" s="78">
        <v>29404.976999999999</v>
      </c>
      <c r="AR29" s="78">
        <v>34463.254999999997</v>
      </c>
      <c r="AS29" s="78">
        <v>34577.044000000002</v>
      </c>
      <c r="AT29" s="78">
        <v>34036.663999999997</v>
      </c>
      <c r="AU29" s="78">
        <v>35300.417000000001</v>
      </c>
      <c r="AV29" s="78">
        <v>45286.824999999997</v>
      </c>
      <c r="AW29" s="78">
        <v>38787.000999999997</v>
      </c>
      <c r="AX29" s="78">
        <v>40982.635000000002</v>
      </c>
      <c r="AY29" s="78">
        <v>42331.525999999998</v>
      </c>
      <c r="AZ29" s="78">
        <v>37785.447999999997</v>
      </c>
      <c r="BA29" s="78">
        <v>49283.860999999997</v>
      </c>
      <c r="BB29" s="45">
        <v>46912.317999999999</v>
      </c>
      <c r="BC29" s="11">
        <v>42448.177000000003</v>
      </c>
      <c r="BD29" s="11">
        <v>40539.375</v>
      </c>
      <c r="BE29" s="11">
        <v>49211.408000000003</v>
      </c>
      <c r="BF29" s="11">
        <v>44652.752999999997</v>
      </c>
      <c r="BG29" s="11">
        <v>41217.716</v>
      </c>
      <c r="BH29" s="11">
        <v>39385.819000000003</v>
      </c>
      <c r="BI29" s="11">
        <v>37703.338000000003</v>
      </c>
      <c r="BJ29" s="11">
        <v>33584.945</v>
      </c>
      <c r="BK29" s="11">
        <v>28672.234</v>
      </c>
      <c r="BL29" s="37">
        <v>26872.368999999999</v>
      </c>
      <c r="BM29" s="1">
        <v>14369.197</v>
      </c>
      <c r="BN29" s="1">
        <v>11229.904</v>
      </c>
      <c r="BO29" s="1">
        <v>8673.1970000000001</v>
      </c>
      <c r="BP29" s="1">
        <v>9515.1190000000006</v>
      </c>
      <c r="BQ29" s="1" t="s">
        <v>121</v>
      </c>
      <c r="BR29" s="1" t="s">
        <v>121</v>
      </c>
      <c r="BS29" s="1" t="s">
        <v>121</v>
      </c>
      <c r="BT29" s="1" t="s">
        <v>121</v>
      </c>
      <c r="BU29" s="1" t="s">
        <v>121</v>
      </c>
      <c r="BV29" s="1" t="s">
        <v>121</v>
      </c>
      <c r="BW29" s="1" t="s">
        <v>121</v>
      </c>
      <c r="BX29" s="1" t="s">
        <v>121</v>
      </c>
      <c r="BY29" s="1" t="s">
        <v>121</v>
      </c>
      <c r="BZ29" s="1" t="s">
        <v>121</v>
      </c>
      <c r="CA29" s="1" t="s">
        <v>121</v>
      </c>
      <c r="CB29" s="1" t="s">
        <v>121</v>
      </c>
      <c r="CC29" s="1" t="s">
        <v>121</v>
      </c>
      <c r="CD29" s="1" t="s">
        <v>121</v>
      </c>
      <c r="CE29" s="1" t="s">
        <v>121</v>
      </c>
      <c r="CF29" s="1" t="s">
        <v>121</v>
      </c>
      <c r="CG29" s="1" t="s">
        <v>121</v>
      </c>
      <c r="CH29" s="1" t="s">
        <v>121</v>
      </c>
      <c r="CI29" s="1" t="s">
        <v>121</v>
      </c>
      <c r="CJ29" s="1" t="s">
        <v>121</v>
      </c>
      <c r="CK29" s="1" t="s">
        <v>121</v>
      </c>
      <c r="CL29" s="1" t="s">
        <v>121</v>
      </c>
      <c r="CM29" s="1" t="s">
        <v>121</v>
      </c>
      <c r="CN29" s="1" t="s">
        <v>121</v>
      </c>
      <c r="CO29" s="1" t="s">
        <v>121</v>
      </c>
      <c r="CP29" s="1" t="s">
        <v>121</v>
      </c>
      <c r="CQ29" s="1" t="s">
        <v>121</v>
      </c>
      <c r="CR29" s="1" t="s">
        <v>121</v>
      </c>
      <c r="CS29" s="1" t="s">
        <v>121</v>
      </c>
      <c r="CT29" s="1" t="s">
        <v>121</v>
      </c>
      <c r="CU29" s="1" t="s">
        <v>121</v>
      </c>
      <c r="CV29" s="1" t="s">
        <v>121</v>
      </c>
      <c r="CW29" s="1" t="s">
        <v>121</v>
      </c>
      <c r="CX29" s="1" t="s">
        <v>121</v>
      </c>
      <c r="CY29" s="1" t="s">
        <v>121</v>
      </c>
      <c r="CZ29" s="1" t="s">
        <v>121</v>
      </c>
      <c r="DA29" s="1" t="s">
        <v>121</v>
      </c>
      <c r="DB29" s="1" t="s">
        <v>121</v>
      </c>
      <c r="DC29" s="1" t="s">
        <v>121</v>
      </c>
      <c r="DD29" s="1" t="s">
        <v>121</v>
      </c>
      <c r="DE29" s="1" t="s">
        <v>121</v>
      </c>
      <c r="DF29" s="1" t="s">
        <v>121</v>
      </c>
      <c r="DG29" s="1" t="s">
        <v>121</v>
      </c>
      <c r="DH29" s="1" t="s">
        <v>121</v>
      </c>
      <c r="DI29" s="1" t="s">
        <v>121</v>
      </c>
      <c r="DJ29" s="1" t="s">
        <v>121</v>
      </c>
      <c r="DK29" s="1" t="s">
        <v>121</v>
      </c>
      <c r="DL29" s="1" t="s">
        <v>121</v>
      </c>
      <c r="DM29" s="1" t="s">
        <v>121</v>
      </c>
      <c r="DN29" s="1" t="s">
        <v>121</v>
      </c>
      <c r="DO29" s="1" t="s">
        <v>121</v>
      </c>
      <c r="DP29" s="1" t="s">
        <v>121</v>
      </c>
      <c r="DQ29" s="1" t="s">
        <v>121</v>
      </c>
      <c r="DR29" s="1" t="s">
        <v>121</v>
      </c>
      <c r="DS29" s="1" t="s">
        <v>121</v>
      </c>
      <c r="DT29" s="1" t="s">
        <v>121</v>
      </c>
      <c r="DU29" s="1" t="s">
        <v>121</v>
      </c>
      <c r="DV29" s="1" t="s">
        <v>121</v>
      </c>
      <c r="DW29" s="1" t="s">
        <v>121</v>
      </c>
      <c r="DX29" s="1" t="s">
        <v>121</v>
      </c>
      <c r="DY29" s="1" t="s">
        <v>121</v>
      </c>
      <c r="DZ29" s="1" t="s">
        <v>121</v>
      </c>
      <c r="EA29" s="1" t="s">
        <v>121</v>
      </c>
      <c r="EB29" s="1" t="s">
        <v>121</v>
      </c>
      <c r="EC29" s="1" t="s">
        <v>121</v>
      </c>
      <c r="ED29" s="1" t="s">
        <v>121</v>
      </c>
      <c r="EE29" s="1" t="s">
        <v>121</v>
      </c>
      <c r="EF29" s="1" t="s">
        <v>121</v>
      </c>
      <c r="EG29" s="1" t="s">
        <v>121</v>
      </c>
      <c r="EH29" s="1" t="s">
        <v>121</v>
      </c>
      <c r="EI29" s="1" t="s">
        <v>121</v>
      </c>
      <c r="EJ29" s="1" t="s">
        <v>121</v>
      </c>
      <c r="EK29" s="1" t="s">
        <v>121</v>
      </c>
      <c r="EL29" s="1" t="s">
        <v>121</v>
      </c>
      <c r="EM29" s="1" t="s">
        <v>121</v>
      </c>
      <c r="EN29" s="1" t="s">
        <v>121</v>
      </c>
      <c r="EO29" s="1" t="s">
        <v>121</v>
      </c>
    </row>
    <row r="30" spans="1:145" s="19" customFormat="1" ht="26.1" hidden="1" customHeight="1" outlineLevel="1" x14ac:dyDescent="0.25">
      <c r="A30" s="72">
        <v>30</v>
      </c>
      <c r="B30" s="57" t="s">
        <v>403</v>
      </c>
      <c r="C30" s="91" t="s">
        <v>121</v>
      </c>
      <c r="D30" s="86" t="s">
        <v>121</v>
      </c>
      <c r="E30" s="92" t="s">
        <v>121</v>
      </c>
      <c r="F30" s="212" t="s">
        <v>121</v>
      </c>
      <c r="G30" s="212" t="s">
        <v>121</v>
      </c>
      <c r="H30" s="212" t="s">
        <v>121</v>
      </c>
      <c r="I30" s="212" t="s">
        <v>121</v>
      </c>
      <c r="J30" s="212" t="s">
        <v>121</v>
      </c>
      <c r="K30" s="212" t="s">
        <v>121</v>
      </c>
      <c r="L30" s="212" t="s">
        <v>121</v>
      </c>
      <c r="M30" s="86" t="s">
        <v>121</v>
      </c>
      <c r="N30" s="212" t="s">
        <v>121</v>
      </c>
      <c r="O30" s="212" t="s">
        <v>121</v>
      </c>
      <c r="P30" s="212" t="s">
        <v>121</v>
      </c>
      <c r="Q30" s="212" t="s">
        <v>121</v>
      </c>
      <c r="R30" s="212" t="s">
        <v>121</v>
      </c>
      <c r="S30" s="212">
        <v>745058</v>
      </c>
      <c r="T30" s="212">
        <v>705079</v>
      </c>
      <c r="U30" s="212">
        <v>685156.12299999991</v>
      </c>
      <c r="V30" s="212">
        <v>674249.48400000005</v>
      </c>
      <c r="W30" s="212">
        <v>647175.46100000001</v>
      </c>
      <c r="X30" s="212">
        <v>640234</v>
      </c>
      <c r="Y30" s="212">
        <v>652144.71300000011</v>
      </c>
      <c r="Z30" s="212">
        <v>603824.96799999999</v>
      </c>
      <c r="AA30" s="212">
        <v>601125.85699999996</v>
      </c>
      <c r="AB30" s="212">
        <v>552584.74300000002</v>
      </c>
      <c r="AC30" s="212">
        <v>527529.92500000005</v>
      </c>
      <c r="AD30" s="212">
        <v>524997.71400000004</v>
      </c>
      <c r="AE30" s="212">
        <v>522911.36499999999</v>
      </c>
      <c r="AF30" s="212">
        <v>533698.49100000004</v>
      </c>
      <c r="AG30" s="212">
        <v>514644.77299999999</v>
      </c>
      <c r="AH30" s="212">
        <v>512068.13699999999</v>
      </c>
      <c r="AI30" s="159">
        <v>536055.24699999997</v>
      </c>
      <c r="AJ30" s="212">
        <v>531713.54099999997</v>
      </c>
      <c r="AK30" s="159">
        <v>495059.71799999999</v>
      </c>
      <c r="AL30" s="159">
        <v>495988.75200000004</v>
      </c>
      <c r="AM30" s="159">
        <v>478083.84299999999</v>
      </c>
      <c r="AN30" s="159">
        <v>502372.93</v>
      </c>
      <c r="AO30" s="159">
        <v>502612.88700000005</v>
      </c>
      <c r="AP30" s="159">
        <v>522736.07800000004</v>
      </c>
      <c r="AQ30" s="159">
        <v>519816.30900000001</v>
      </c>
      <c r="AR30" s="159">
        <v>520097.799</v>
      </c>
      <c r="AS30" s="46">
        <v>490410.57299999997</v>
      </c>
      <c r="AT30" s="46">
        <v>470584.315</v>
      </c>
      <c r="AU30" s="46">
        <v>472805.75800000003</v>
      </c>
      <c r="AV30" s="46">
        <v>470721.44300000003</v>
      </c>
      <c r="AW30" s="46">
        <v>424522.36799999996</v>
      </c>
      <c r="AX30" s="46">
        <v>414740.58600000001</v>
      </c>
      <c r="AY30" s="46">
        <v>417405.89500000002</v>
      </c>
      <c r="AZ30" s="46">
        <v>405306.10899999994</v>
      </c>
      <c r="BA30" s="46">
        <v>414806.66499999998</v>
      </c>
      <c r="BB30" s="46">
        <v>388251.00199999998</v>
      </c>
      <c r="BC30" s="20">
        <v>370842.75100000005</v>
      </c>
      <c r="BD30" s="20">
        <v>354489.18599999999</v>
      </c>
      <c r="BE30" s="20">
        <v>351701.283</v>
      </c>
      <c r="BF30" s="20">
        <v>362952.70400000003</v>
      </c>
      <c r="BG30" s="20">
        <v>344254.05700000003</v>
      </c>
      <c r="BH30" s="20">
        <v>338124.74700000003</v>
      </c>
      <c r="BI30" s="20">
        <v>324289.37</v>
      </c>
      <c r="BJ30" s="20">
        <v>312132.7</v>
      </c>
      <c r="BK30" s="20">
        <v>295498.565</v>
      </c>
      <c r="BL30" s="20">
        <v>276778.3</v>
      </c>
      <c r="BM30" s="19">
        <v>251225.90700000001</v>
      </c>
      <c r="BN30" s="19">
        <v>225043.27499999999</v>
      </c>
      <c r="BO30" s="19">
        <v>231019.68599999999</v>
      </c>
      <c r="BP30" s="19">
        <v>218610.70699999999</v>
      </c>
      <c r="BQ30" s="19" t="s">
        <v>121</v>
      </c>
      <c r="BR30" s="19" t="s">
        <v>121</v>
      </c>
      <c r="BS30" s="19" t="s">
        <v>121</v>
      </c>
      <c r="BT30" s="19" t="s">
        <v>121</v>
      </c>
      <c r="BU30" s="19" t="s">
        <v>121</v>
      </c>
      <c r="BV30" s="19" t="s">
        <v>121</v>
      </c>
      <c r="BW30" s="19" t="s">
        <v>121</v>
      </c>
      <c r="BX30" s="19" t="s">
        <v>121</v>
      </c>
      <c r="BY30" s="19" t="s">
        <v>121</v>
      </c>
      <c r="BZ30" s="19" t="s">
        <v>121</v>
      </c>
      <c r="CA30" s="19" t="s">
        <v>121</v>
      </c>
      <c r="CB30" s="19" t="s">
        <v>121</v>
      </c>
      <c r="CC30" s="19" t="s">
        <v>121</v>
      </c>
      <c r="CD30" s="19" t="s">
        <v>121</v>
      </c>
      <c r="CE30" s="19" t="s">
        <v>121</v>
      </c>
      <c r="CF30" s="19" t="s">
        <v>121</v>
      </c>
      <c r="CG30" s="19" t="s">
        <v>121</v>
      </c>
      <c r="CH30" s="19" t="s">
        <v>121</v>
      </c>
      <c r="CI30" s="19" t="s">
        <v>121</v>
      </c>
      <c r="CJ30" s="19" t="s">
        <v>121</v>
      </c>
      <c r="CK30" s="19" t="s">
        <v>121</v>
      </c>
      <c r="CL30" s="19" t="s">
        <v>121</v>
      </c>
      <c r="CM30" s="19" t="s">
        <v>121</v>
      </c>
      <c r="CN30" s="19" t="s">
        <v>121</v>
      </c>
      <c r="CO30" s="19" t="s">
        <v>121</v>
      </c>
      <c r="CP30" s="19" t="s">
        <v>121</v>
      </c>
      <c r="CQ30" s="19" t="s">
        <v>121</v>
      </c>
      <c r="CR30" s="19" t="s">
        <v>121</v>
      </c>
      <c r="CS30" s="19" t="s">
        <v>121</v>
      </c>
      <c r="CT30" s="19" t="s">
        <v>121</v>
      </c>
      <c r="CU30" s="19" t="s">
        <v>121</v>
      </c>
      <c r="CV30" s="19" t="s">
        <v>121</v>
      </c>
      <c r="CW30" s="19" t="s">
        <v>121</v>
      </c>
      <c r="CX30" s="19" t="s">
        <v>121</v>
      </c>
      <c r="CY30" s="19" t="s">
        <v>121</v>
      </c>
      <c r="CZ30" s="19" t="s">
        <v>121</v>
      </c>
      <c r="DA30" s="19" t="s">
        <v>121</v>
      </c>
      <c r="DB30" s="19" t="s">
        <v>121</v>
      </c>
      <c r="DC30" s="19" t="s">
        <v>121</v>
      </c>
      <c r="DD30" s="19" t="s">
        <v>121</v>
      </c>
      <c r="DE30" s="19" t="s">
        <v>121</v>
      </c>
      <c r="DF30" s="19" t="s">
        <v>121</v>
      </c>
      <c r="DG30" s="19" t="s">
        <v>121</v>
      </c>
      <c r="DH30" s="19" t="s">
        <v>121</v>
      </c>
      <c r="DI30" s="19" t="s">
        <v>121</v>
      </c>
      <c r="DJ30" s="19" t="s">
        <v>121</v>
      </c>
      <c r="DK30" s="19" t="s">
        <v>121</v>
      </c>
      <c r="DL30" s="19" t="s">
        <v>121</v>
      </c>
      <c r="DM30" s="19" t="s">
        <v>121</v>
      </c>
      <c r="DN30" s="19" t="s">
        <v>121</v>
      </c>
      <c r="DO30" s="19" t="s">
        <v>121</v>
      </c>
      <c r="DP30" s="19" t="s">
        <v>121</v>
      </c>
      <c r="DQ30" s="19" t="s">
        <v>121</v>
      </c>
      <c r="DR30" s="19" t="s">
        <v>121</v>
      </c>
      <c r="DS30" s="19" t="s">
        <v>121</v>
      </c>
      <c r="DT30" s="19" t="s">
        <v>121</v>
      </c>
      <c r="DU30" s="19" t="s">
        <v>121</v>
      </c>
      <c r="DV30" s="19" t="s">
        <v>121</v>
      </c>
      <c r="DW30" s="19" t="s">
        <v>121</v>
      </c>
      <c r="DX30" s="19" t="s">
        <v>121</v>
      </c>
      <c r="DY30" s="19" t="s">
        <v>121</v>
      </c>
      <c r="DZ30" s="19" t="s">
        <v>121</v>
      </c>
      <c r="EA30" s="19" t="s">
        <v>121</v>
      </c>
      <c r="EB30" s="19" t="s">
        <v>121</v>
      </c>
      <c r="EC30" s="19" t="s">
        <v>121</v>
      </c>
      <c r="ED30" s="19" t="s">
        <v>121</v>
      </c>
      <c r="EE30" s="19" t="s">
        <v>121</v>
      </c>
      <c r="EF30" s="19" t="s">
        <v>121</v>
      </c>
      <c r="EG30" s="19" t="s">
        <v>121</v>
      </c>
      <c r="EH30" s="19" t="s">
        <v>121</v>
      </c>
      <c r="EI30" s="19" t="s">
        <v>121</v>
      </c>
      <c r="EJ30" s="19" t="s">
        <v>121</v>
      </c>
      <c r="EK30" s="19" t="s">
        <v>121</v>
      </c>
      <c r="EL30" s="19" t="s">
        <v>121</v>
      </c>
      <c r="EM30" s="19" t="s">
        <v>121</v>
      </c>
      <c r="EN30" s="19" t="s">
        <v>121</v>
      </c>
      <c r="EO30" s="19" t="s">
        <v>121</v>
      </c>
    </row>
    <row r="31" spans="1:145" s="19" customFormat="1" hidden="1" outlineLevel="1" x14ac:dyDescent="0.25">
      <c r="A31" s="72">
        <v>31</v>
      </c>
      <c r="B31" s="57" t="s">
        <v>121</v>
      </c>
      <c r="C31" s="91" t="s">
        <v>121</v>
      </c>
      <c r="D31" s="86" t="s">
        <v>121</v>
      </c>
      <c r="E31" s="92" t="s">
        <v>121</v>
      </c>
      <c r="F31" s="159" t="s">
        <v>121</v>
      </c>
      <c r="G31" s="159" t="s">
        <v>121</v>
      </c>
      <c r="H31" s="159" t="s">
        <v>121</v>
      </c>
      <c r="I31" s="159" t="s">
        <v>121</v>
      </c>
      <c r="J31" s="159" t="s">
        <v>121</v>
      </c>
      <c r="K31" s="159" t="s">
        <v>121</v>
      </c>
      <c r="L31" s="159" t="s">
        <v>121</v>
      </c>
      <c r="M31" s="86" t="s">
        <v>121</v>
      </c>
      <c r="N31" s="159" t="s">
        <v>121</v>
      </c>
      <c r="O31" s="159" t="s">
        <v>121</v>
      </c>
      <c r="P31" s="159" t="s">
        <v>121</v>
      </c>
      <c r="Q31" s="159" t="s">
        <v>121</v>
      </c>
      <c r="R31" s="159" t="s">
        <v>121</v>
      </c>
      <c r="S31" s="159" t="s">
        <v>121</v>
      </c>
      <c r="T31" s="159" t="s">
        <v>121</v>
      </c>
      <c r="U31" s="159" t="s">
        <v>121</v>
      </c>
      <c r="V31" s="159" t="s">
        <v>121</v>
      </c>
      <c r="W31" s="159" t="s">
        <v>121</v>
      </c>
      <c r="X31" s="159" t="s">
        <v>121</v>
      </c>
      <c r="Y31" s="159" t="s">
        <v>121</v>
      </c>
      <c r="Z31" s="159" t="s">
        <v>121</v>
      </c>
      <c r="AA31" s="159" t="s">
        <v>121</v>
      </c>
      <c r="AB31" s="159" t="s">
        <v>121</v>
      </c>
      <c r="AC31" s="159" t="s">
        <v>121</v>
      </c>
      <c r="AD31" s="159" t="s">
        <v>121</v>
      </c>
      <c r="AE31" s="159" t="s">
        <v>121</v>
      </c>
      <c r="AF31" s="159" t="s">
        <v>121</v>
      </c>
      <c r="AG31" s="159" t="s">
        <v>121</v>
      </c>
      <c r="AH31" s="159" t="s">
        <v>121</v>
      </c>
      <c r="AI31" s="159" t="s">
        <v>121</v>
      </c>
      <c r="AJ31" s="159" t="s">
        <v>121</v>
      </c>
      <c r="AK31" s="159" t="s">
        <v>121</v>
      </c>
      <c r="AL31" s="46" t="s">
        <v>121</v>
      </c>
      <c r="AM31" s="46" t="s">
        <v>121</v>
      </c>
      <c r="AN31" s="46" t="s">
        <v>121</v>
      </c>
      <c r="AO31" s="46" t="s">
        <v>121</v>
      </c>
      <c r="AP31" s="46" t="s">
        <v>121</v>
      </c>
      <c r="AQ31" s="46" t="s">
        <v>121</v>
      </c>
      <c r="AR31" s="46" t="s">
        <v>121</v>
      </c>
      <c r="AS31" s="46" t="s">
        <v>121</v>
      </c>
      <c r="AT31" s="46" t="s">
        <v>121</v>
      </c>
      <c r="AU31" s="46" t="s">
        <v>121</v>
      </c>
      <c r="AV31" s="46" t="s">
        <v>121</v>
      </c>
      <c r="AW31" s="46" t="s">
        <v>121</v>
      </c>
      <c r="AX31" s="46" t="s">
        <v>121</v>
      </c>
      <c r="AY31" s="46" t="s">
        <v>121</v>
      </c>
      <c r="AZ31" s="46" t="s">
        <v>121</v>
      </c>
      <c r="BA31" s="46" t="s">
        <v>121</v>
      </c>
      <c r="BB31" s="46" t="s">
        <v>121</v>
      </c>
      <c r="BC31" s="20" t="s">
        <v>121</v>
      </c>
      <c r="BD31" s="20" t="s">
        <v>121</v>
      </c>
      <c r="BE31" s="20" t="s">
        <v>121</v>
      </c>
      <c r="BF31" s="20" t="s">
        <v>121</v>
      </c>
      <c r="BG31" s="20" t="s">
        <v>121</v>
      </c>
      <c r="BH31" s="20" t="s">
        <v>121</v>
      </c>
      <c r="BI31" s="20" t="s">
        <v>121</v>
      </c>
      <c r="BJ31" s="20" t="s">
        <v>121</v>
      </c>
      <c r="BK31" s="20" t="s">
        <v>121</v>
      </c>
      <c r="BL31" s="19" t="s">
        <v>121</v>
      </c>
      <c r="BM31" s="19" t="s">
        <v>121</v>
      </c>
      <c r="BN31" s="19" t="s">
        <v>121</v>
      </c>
      <c r="BO31" s="19" t="s">
        <v>121</v>
      </c>
      <c r="BP31" s="19" t="s">
        <v>121</v>
      </c>
      <c r="BQ31" s="19" t="s">
        <v>121</v>
      </c>
      <c r="BR31" s="19" t="s">
        <v>121</v>
      </c>
      <c r="BS31" s="19" t="s">
        <v>121</v>
      </c>
      <c r="BT31" s="19" t="s">
        <v>121</v>
      </c>
      <c r="BU31" s="19" t="s">
        <v>121</v>
      </c>
      <c r="BV31" s="19" t="s">
        <v>121</v>
      </c>
      <c r="BW31" s="19" t="s">
        <v>121</v>
      </c>
      <c r="BX31" s="19" t="s">
        <v>121</v>
      </c>
      <c r="BY31" s="19" t="s">
        <v>121</v>
      </c>
      <c r="BZ31" s="19" t="s">
        <v>121</v>
      </c>
      <c r="CA31" s="19" t="s">
        <v>121</v>
      </c>
      <c r="CB31" s="19" t="s">
        <v>121</v>
      </c>
      <c r="CC31" s="19" t="s">
        <v>121</v>
      </c>
      <c r="CD31" s="19" t="s">
        <v>121</v>
      </c>
      <c r="CE31" s="19" t="s">
        <v>121</v>
      </c>
      <c r="CF31" s="19" t="s">
        <v>121</v>
      </c>
      <c r="CG31" s="19" t="s">
        <v>121</v>
      </c>
      <c r="CH31" s="19" t="s">
        <v>121</v>
      </c>
      <c r="CI31" s="19" t="s">
        <v>121</v>
      </c>
      <c r="CJ31" s="19" t="s">
        <v>121</v>
      </c>
      <c r="CK31" s="19" t="s">
        <v>121</v>
      </c>
      <c r="CL31" s="19" t="s">
        <v>121</v>
      </c>
      <c r="CM31" s="19" t="s">
        <v>121</v>
      </c>
      <c r="CN31" s="19" t="s">
        <v>121</v>
      </c>
      <c r="CO31" s="19" t="s">
        <v>121</v>
      </c>
      <c r="CP31" s="19" t="s">
        <v>121</v>
      </c>
      <c r="CQ31" s="19" t="s">
        <v>121</v>
      </c>
      <c r="CR31" s="19" t="s">
        <v>121</v>
      </c>
      <c r="CS31" s="19" t="s">
        <v>121</v>
      </c>
      <c r="CT31" s="19" t="s">
        <v>121</v>
      </c>
      <c r="CU31" s="19" t="s">
        <v>121</v>
      </c>
      <c r="CV31" s="19" t="s">
        <v>121</v>
      </c>
      <c r="CW31" s="19" t="s">
        <v>121</v>
      </c>
      <c r="CX31" s="19" t="s">
        <v>121</v>
      </c>
      <c r="CY31" s="19" t="s">
        <v>121</v>
      </c>
      <c r="CZ31" s="19" t="s">
        <v>121</v>
      </c>
      <c r="DA31" s="19" t="s">
        <v>121</v>
      </c>
      <c r="DB31" s="19" t="s">
        <v>121</v>
      </c>
      <c r="DC31" s="19" t="s">
        <v>121</v>
      </c>
      <c r="DD31" s="19" t="s">
        <v>121</v>
      </c>
      <c r="DE31" s="19" t="s">
        <v>121</v>
      </c>
      <c r="DF31" s="19" t="s">
        <v>121</v>
      </c>
      <c r="DG31" s="19" t="s">
        <v>121</v>
      </c>
      <c r="DH31" s="19" t="s">
        <v>121</v>
      </c>
      <c r="DI31" s="19" t="s">
        <v>121</v>
      </c>
      <c r="DJ31" s="19" t="s">
        <v>121</v>
      </c>
      <c r="DK31" s="19" t="s">
        <v>121</v>
      </c>
      <c r="DL31" s="19" t="s">
        <v>121</v>
      </c>
      <c r="DM31" s="19" t="s">
        <v>121</v>
      </c>
      <c r="DN31" s="19" t="s">
        <v>121</v>
      </c>
      <c r="DO31" s="19" t="s">
        <v>121</v>
      </c>
      <c r="DP31" s="19" t="s">
        <v>121</v>
      </c>
      <c r="DQ31" s="19" t="s">
        <v>121</v>
      </c>
      <c r="DR31" s="19" t="s">
        <v>121</v>
      </c>
      <c r="DS31" s="19" t="s">
        <v>121</v>
      </c>
      <c r="DT31" s="19" t="s">
        <v>121</v>
      </c>
      <c r="DU31" s="19" t="s">
        <v>121</v>
      </c>
      <c r="DV31" s="19" t="s">
        <v>121</v>
      </c>
      <c r="DW31" s="19" t="s">
        <v>121</v>
      </c>
      <c r="DX31" s="19" t="s">
        <v>121</v>
      </c>
      <c r="DY31" s="19" t="s">
        <v>121</v>
      </c>
      <c r="DZ31" s="19" t="s">
        <v>121</v>
      </c>
      <c r="EA31" s="19" t="s">
        <v>121</v>
      </c>
      <c r="EB31" s="19" t="s">
        <v>121</v>
      </c>
      <c r="EC31" s="19" t="s">
        <v>121</v>
      </c>
      <c r="ED31" s="19" t="s">
        <v>121</v>
      </c>
      <c r="EE31" s="19" t="s">
        <v>121</v>
      </c>
      <c r="EF31" s="19" t="s">
        <v>121</v>
      </c>
      <c r="EG31" s="19" t="s">
        <v>121</v>
      </c>
      <c r="EH31" s="19" t="s">
        <v>121</v>
      </c>
      <c r="EI31" s="19" t="s">
        <v>121</v>
      </c>
      <c r="EJ31" s="19" t="s">
        <v>121</v>
      </c>
      <c r="EK31" s="19" t="s">
        <v>121</v>
      </c>
      <c r="EL31" s="19" t="s">
        <v>121</v>
      </c>
      <c r="EM31" s="19" t="s">
        <v>121</v>
      </c>
      <c r="EN31" s="19" t="s">
        <v>121</v>
      </c>
      <c r="EO31" s="19" t="s">
        <v>121</v>
      </c>
    </row>
    <row r="32" spans="1:145" s="19" customFormat="1" ht="26.1" hidden="1" customHeight="1" outlineLevel="1" x14ac:dyDescent="0.25">
      <c r="A32" s="72">
        <v>32</v>
      </c>
      <c r="B32" s="57" t="s">
        <v>404</v>
      </c>
      <c r="C32" s="91" t="s">
        <v>121</v>
      </c>
      <c r="D32" s="86" t="s">
        <v>121</v>
      </c>
      <c r="E32" s="92" t="s">
        <v>121</v>
      </c>
      <c r="F32" s="166" t="s">
        <v>121</v>
      </c>
      <c r="G32" s="166" t="s">
        <v>121</v>
      </c>
      <c r="H32" s="166" t="s">
        <v>121</v>
      </c>
      <c r="I32" s="166" t="s">
        <v>121</v>
      </c>
      <c r="J32" s="166" t="s">
        <v>121</v>
      </c>
      <c r="K32" s="166" t="s">
        <v>121</v>
      </c>
      <c r="L32" s="166" t="s">
        <v>121</v>
      </c>
      <c r="M32" s="86" t="s">
        <v>121</v>
      </c>
      <c r="N32" s="166" t="s">
        <v>121</v>
      </c>
      <c r="O32" s="166" t="s">
        <v>121</v>
      </c>
      <c r="P32" s="166" t="s">
        <v>121</v>
      </c>
      <c r="Q32" s="166" t="s">
        <v>121</v>
      </c>
      <c r="R32" s="166" t="s">
        <v>121</v>
      </c>
      <c r="S32" s="166">
        <v>0.15986943298374087</v>
      </c>
      <c r="T32" s="166">
        <v>0.1674294653506912</v>
      </c>
      <c r="U32" s="166">
        <v>0.16463646928540987</v>
      </c>
      <c r="V32" s="166">
        <v>0.16034002333771161</v>
      </c>
      <c r="W32" s="166">
        <v>0.16301167821936313</v>
      </c>
      <c r="X32" s="166">
        <v>0.16206105892533043</v>
      </c>
      <c r="Y32" s="166">
        <v>0.15601491351812891</v>
      </c>
      <c r="Z32" s="166">
        <v>0.1640836769770673</v>
      </c>
      <c r="AA32" s="166">
        <v>0.16161104013198357</v>
      </c>
      <c r="AB32" s="166">
        <v>0.17258098637008512</v>
      </c>
      <c r="AC32" s="166">
        <v>0.18018452886819641</v>
      </c>
      <c r="AD32" s="166">
        <v>0.17642402153392994</v>
      </c>
      <c r="AE32" s="166">
        <v>0.1757513780562027</v>
      </c>
      <c r="AF32" s="166">
        <v>0.17202905301075694</v>
      </c>
      <c r="AG32" s="166">
        <v>0.17653213782859115</v>
      </c>
      <c r="AH32" s="166">
        <v>0.17419472830819779</v>
      </c>
      <c r="AI32" s="166">
        <v>0.16507814352202396</v>
      </c>
      <c r="AJ32" s="166">
        <v>0.16734053797587978</v>
      </c>
      <c r="AK32" s="166">
        <v>0.17787606989264274</v>
      </c>
      <c r="AL32" s="58">
        <v>0.16713766928327436</v>
      </c>
      <c r="AM32" s="58">
        <v>0.17205301163043069</v>
      </c>
      <c r="AN32" s="58">
        <v>0.16247969212831592</v>
      </c>
      <c r="AO32" s="58">
        <v>0.16336404641371638</v>
      </c>
      <c r="AP32" s="58">
        <v>0.15643071798843775</v>
      </c>
      <c r="AQ32" s="58">
        <v>0.15926888896438993</v>
      </c>
      <c r="AR32" s="58">
        <v>0.15589293043710806</v>
      </c>
      <c r="AS32" s="58">
        <v>0.16293345290498051</v>
      </c>
      <c r="AT32" s="58">
        <v>0.13690745302465085</v>
      </c>
      <c r="AU32" s="58">
        <v>0.1372977314713667</v>
      </c>
      <c r="AV32" s="58">
        <v>0.13317304518885067</v>
      </c>
      <c r="AW32" s="58">
        <v>0.13978603596218517</v>
      </c>
      <c r="AX32" s="58">
        <v>0.14510322363290482</v>
      </c>
      <c r="AY32" s="58">
        <v>0.14505144446989662</v>
      </c>
      <c r="AZ32" s="58">
        <v>0.14313091935162517</v>
      </c>
      <c r="BA32" s="58">
        <v>0.13001673683329076</v>
      </c>
      <c r="BB32" s="58">
        <v>0.13295671546006727</v>
      </c>
      <c r="BC32" s="58">
        <v>0.13713873296123832</v>
      </c>
      <c r="BD32" s="33">
        <v>0.1379087259378344</v>
      </c>
      <c r="BE32" s="33">
        <v>0.13139264265919667</v>
      </c>
      <c r="BF32" s="33">
        <v>0.12859375749408936</v>
      </c>
      <c r="BG32" s="33">
        <v>0.13505096615317447</v>
      </c>
      <c r="BH32" s="33">
        <v>0.13923024983439025</v>
      </c>
      <c r="BI32" s="33">
        <v>0.1344586749790781</v>
      </c>
      <c r="BJ32" s="33">
        <v>0.12538622194983096</v>
      </c>
      <c r="BK32" s="33">
        <v>0.12667540026801824</v>
      </c>
      <c r="BL32" s="33">
        <v>0.12959217901114359</v>
      </c>
      <c r="BM32" s="19">
        <v>0.13732609989144154</v>
      </c>
      <c r="BN32" s="19">
        <v>0.14899751170080511</v>
      </c>
      <c r="BO32" s="19">
        <v>0.14347563869513702</v>
      </c>
      <c r="BP32" s="19">
        <v>0.1519464643605036</v>
      </c>
      <c r="BQ32" s="19" t="s">
        <v>121</v>
      </c>
      <c r="BR32" s="19" t="s">
        <v>121</v>
      </c>
      <c r="BS32" s="19" t="s">
        <v>121</v>
      </c>
      <c r="BT32" s="19" t="s">
        <v>121</v>
      </c>
      <c r="BU32" s="19" t="s">
        <v>121</v>
      </c>
      <c r="BV32" s="19" t="s">
        <v>121</v>
      </c>
      <c r="BW32" s="19" t="s">
        <v>121</v>
      </c>
      <c r="BX32" s="19" t="s">
        <v>121</v>
      </c>
      <c r="BY32" s="19" t="s">
        <v>121</v>
      </c>
      <c r="BZ32" s="19" t="s">
        <v>121</v>
      </c>
      <c r="CA32" s="19" t="s">
        <v>121</v>
      </c>
      <c r="CB32" s="19" t="s">
        <v>121</v>
      </c>
      <c r="CC32" s="19" t="s">
        <v>121</v>
      </c>
      <c r="CD32" s="19" t="s">
        <v>121</v>
      </c>
      <c r="CE32" s="19" t="s">
        <v>121</v>
      </c>
      <c r="CF32" s="19" t="s">
        <v>121</v>
      </c>
      <c r="CG32" s="19" t="s">
        <v>121</v>
      </c>
      <c r="CH32" s="19" t="s">
        <v>121</v>
      </c>
      <c r="CI32" s="19" t="s">
        <v>121</v>
      </c>
      <c r="CJ32" s="19" t="s">
        <v>121</v>
      </c>
      <c r="CK32" s="19" t="s">
        <v>121</v>
      </c>
      <c r="CL32" s="19" t="s">
        <v>121</v>
      </c>
      <c r="CM32" s="19" t="s">
        <v>121</v>
      </c>
      <c r="CN32" s="19" t="s">
        <v>121</v>
      </c>
      <c r="CO32" s="19" t="s">
        <v>121</v>
      </c>
      <c r="CP32" s="19" t="s">
        <v>121</v>
      </c>
      <c r="CQ32" s="19" t="s">
        <v>121</v>
      </c>
      <c r="CR32" s="19" t="s">
        <v>121</v>
      </c>
      <c r="CS32" s="19" t="s">
        <v>121</v>
      </c>
      <c r="CT32" s="19" t="s">
        <v>121</v>
      </c>
      <c r="CU32" s="19" t="s">
        <v>121</v>
      </c>
      <c r="CV32" s="19" t="s">
        <v>121</v>
      </c>
      <c r="CW32" s="19" t="s">
        <v>121</v>
      </c>
      <c r="CX32" s="19" t="s">
        <v>121</v>
      </c>
      <c r="CY32" s="19" t="s">
        <v>121</v>
      </c>
      <c r="CZ32" s="19" t="s">
        <v>121</v>
      </c>
      <c r="DA32" s="19" t="s">
        <v>121</v>
      </c>
      <c r="DB32" s="19" t="s">
        <v>121</v>
      </c>
      <c r="DC32" s="19" t="s">
        <v>121</v>
      </c>
      <c r="DD32" s="19" t="s">
        <v>121</v>
      </c>
      <c r="DE32" s="19" t="s">
        <v>121</v>
      </c>
      <c r="DF32" s="19" t="s">
        <v>121</v>
      </c>
      <c r="DG32" s="19" t="s">
        <v>121</v>
      </c>
      <c r="DH32" s="19" t="s">
        <v>121</v>
      </c>
      <c r="DI32" s="19" t="s">
        <v>121</v>
      </c>
      <c r="DJ32" s="19" t="s">
        <v>121</v>
      </c>
      <c r="DK32" s="19" t="s">
        <v>121</v>
      </c>
      <c r="DL32" s="19" t="s">
        <v>121</v>
      </c>
      <c r="DM32" s="19" t="s">
        <v>121</v>
      </c>
      <c r="DN32" s="19" t="s">
        <v>121</v>
      </c>
      <c r="DO32" s="19" t="s">
        <v>121</v>
      </c>
      <c r="DP32" s="19" t="s">
        <v>121</v>
      </c>
      <c r="DQ32" s="19" t="s">
        <v>121</v>
      </c>
      <c r="DR32" s="19" t="s">
        <v>121</v>
      </c>
      <c r="DS32" s="19" t="s">
        <v>121</v>
      </c>
      <c r="DT32" s="19" t="s">
        <v>121</v>
      </c>
      <c r="DU32" s="19" t="s">
        <v>121</v>
      </c>
      <c r="DV32" s="19" t="s">
        <v>121</v>
      </c>
      <c r="DW32" s="19" t="s">
        <v>121</v>
      </c>
      <c r="DX32" s="19" t="s">
        <v>121</v>
      </c>
      <c r="DY32" s="19" t="s">
        <v>121</v>
      </c>
      <c r="DZ32" s="19" t="s">
        <v>121</v>
      </c>
      <c r="EA32" s="19" t="s">
        <v>121</v>
      </c>
      <c r="EB32" s="19" t="s">
        <v>121</v>
      </c>
      <c r="EC32" s="19" t="s">
        <v>121</v>
      </c>
      <c r="ED32" s="19" t="s">
        <v>121</v>
      </c>
      <c r="EE32" s="19" t="s">
        <v>121</v>
      </c>
      <c r="EF32" s="19" t="s">
        <v>121</v>
      </c>
      <c r="EG32" s="19" t="s">
        <v>121</v>
      </c>
      <c r="EH32" s="19" t="s">
        <v>121</v>
      </c>
      <c r="EI32" s="19" t="s">
        <v>121</v>
      </c>
      <c r="EJ32" s="19" t="s">
        <v>121</v>
      </c>
      <c r="EK32" s="19" t="s">
        <v>121</v>
      </c>
      <c r="EL32" s="19" t="s">
        <v>121</v>
      </c>
      <c r="EM32" s="19" t="s">
        <v>121</v>
      </c>
      <c r="EN32" s="19" t="s">
        <v>121</v>
      </c>
      <c r="EO32" s="19" t="s">
        <v>121</v>
      </c>
    </row>
    <row r="33" spans="1:145" s="19" customFormat="1" ht="26.1" hidden="1" customHeight="1" outlineLevel="1" x14ac:dyDescent="0.25">
      <c r="A33" s="72">
        <v>33</v>
      </c>
      <c r="B33" s="57" t="s">
        <v>405</v>
      </c>
      <c r="C33" s="91" t="s">
        <v>121</v>
      </c>
      <c r="D33" s="86" t="s">
        <v>121</v>
      </c>
      <c r="E33" s="92" t="s">
        <v>121</v>
      </c>
      <c r="F33" s="166" t="s">
        <v>121</v>
      </c>
      <c r="G33" s="166" t="s">
        <v>121</v>
      </c>
      <c r="H33" s="166" t="s">
        <v>121</v>
      </c>
      <c r="I33" s="166" t="s">
        <v>121</v>
      </c>
      <c r="J33" s="166" t="s">
        <v>121</v>
      </c>
      <c r="K33" s="166" t="s">
        <v>121</v>
      </c>
      <c r="L33" s="166" t="s">
        <v>121</v>
      </c>
      <c r="M33" s="86" t="s">
        <v>121</v>
      </c>
      <c r="N33" s="166" t="s">
        <v>121</v>
      </c>
      <c r="O33" s="166" t="s">
        <v>121</v>
      </c>
      <c r="P33" s="166" t="s">
        <v>121</v>
      </c>
      <c r="Q33" s="166" t="s">
        <v>121</v>
      </c>
      <c r="R33" s="166" t="s">
        <v>121</v>
      </c>
      <c r="S33" s="166">
        <v>0.13774229657288425</v>
      </c>
      <c r="T33" s="166">
        <v>0.1416550485832084</v>
      </c>
      <c r="U33" s="166">
        <v>0.13817221918047431</v>
      </c>
      <c r="V33" s="166">
        <v>0.13316269293577984</v>
      </c>
      <c r="W33" s="166">
        <v>0.13455773626744477</v>
      </c>
      <c r="X33" s="166">
        <v>0.13227819828375251</v>
      </c>
      <c r="Y33" s="166">
        <v>0.12650359092921143</v>
      </c>
      <c r="Z33" s="166">
        <v>0.13206839270680837</v>
      </c>
      <c r="AA33" s="166">
        <v>0.12930947836436191</v>
      </c>
      <c r="AB33" s="166">
        <v>0.13633245570806504</v>
      </c>
      <c r="AC33" s="166">
        <v>0.14122625934443436</v>
      </c>
      <c r="AD33" s="166">
        <v>0.13807933647497747</v>
      </c>
      <c r="AE33" s="166">
        <v>0.13774939276754866</v>
      </c>
      <c r="AF33" s="166">
        <v>0.13399097843804844</v>
      </c>
      <c r="AG33" s="166">
        <v>0.13536994574702502</v>
      </c>
      <c r="AH33" s="166">
        <v>0.1310002246829898</v>
      </c>
      <c r="AI33" s="166">
        <v>0.12120167345363192</v>
      </c>
      <c r="AJ33" s="166">
        <v>0.12390235704002883</v>
      </c>
      <c r="AK33" s="166">
        <v>0.12953313644476322</v>
      </c>
      <c r="AL33" s="58">
        <v>0.11787975385377286</v>
      </c>
      <c r="AM33" s="58">
        <v>0.11866571696713875</v>
      </c>
      <c r="AN33" s="58">
        <v>0.10998867315561768</v>
      </c>
      <c r="AO33" s="58">
        <v>0.10745485322185938</v>
      </c>
      <c r="AP33" s="58">
        <v>0.1013385745301475</v>
      </c>
      <c r="AQ33" s="58">
        <v>9.9950711627249084E-2</v>
      </c>
      <c r="AR33" s="58">
        <v>9.8763544277179316E-2</v>
      </c>
      <c r="AS33" s="58">
        <v>0.10284267464192703</v>
      </c>
      <c r="AT33" s="58">
        <v>0.10479569638864823</v>
      </c>
      <c r="AU33" s="58">
        <v>0.1032834608583595</v>
      </c>
      <c r="AV33" s="58">
        <v>0.10160293462560616</v>
      </c>
      <c r="AW33" s="58">
        <v>0.11315050423915472</v>
      </c>
      <c r="AX33" s="58">
        <v>0.11285657970305321</v>
      </c>
      <c r="AY33" s="58">
        <v>0.10927687544997419</v>
      </c>
      <c r="AZ33" s="58">
        <v>0.1084051017844392</v>
      </c>
      <c r="BA33" s="58">
        <v>9.8498593314550534E-2</v>
      </c>
      <c r="BB33" s="58">
        <v>9.3307027704721823E-2</v>
      </c>
      <c r="BC33" s="58">
        <v>9.7536521618566019E-2</v>
      </c>
      <c r="BD33" s="33">
        <v>9.8989710789090191E-2</v>
      </c>
      <c r="BE33" s="33">
        <v>9.826790424304481E-2</v>
      </c>
      <c r="BF33" s="33">
        <v>9.33022419361835E-2</v>
      </c>
      <c r="BG33" s="33">
        <v>0.1003437208584589</v>
      </c>
      <c r="BH33" s="33">
        <v>0.10171997259934364</v>
      </c>
      <c r="BI33" s="33">
        <v>0.10527522070797449</v>
      </c>
      <c r="BJ33" s="33">
        <v>9.6989844383494589E-2</v>
      </c>
      <c r="BK33" s="33">
        <v>9.6996196918925817E-2</v>
      </c>
      <c r="BL33" s="33">
        <v>9.6004094251608607E-2</v>
      </c>
      <c r="BM33" s="19">
        <v>9.854507560798656E-2</v>
      </c>
      <c r="BN33" s="19">
        <v>0.10479858596085576</v>
      </c>
      <c r="BO33" s="19">
        <v>0.10231136752562292</v>
      </c>
      <c r="BP33" s="19">
        <v>0.10651859792027478</v>
      </c>
      <c r="BQ33" s="19" t="s">
        <v>121</v>
      </c>
      <c r="BR33" s="19" t="s">
        <v>121</v>
      </c>
      <c r="BS33" s="19" t="s">
        <v>121</v>
      </c>
      <c r="BT33" s="19" t="s">
        <v>121</v>
      </c>
      <c r="BU33" s="19" t="s">
        <v>121</v>
      </c>
      <c r="BV33" s="19" t="s">
        <v>121</v>
      </c>
      <c r="BW33" s="19" t="s">
        <v>121</v>
      </c>
      <c r="BX33" s="19" t="s">
        <v>121</v>
      </c>
      <c r="BY33" s="19" t="s">
        <v>121</v>
      </c>
      <c r="BZ33" s="19" t="s">
        <v>121</v>
      </c>
      <c r="CA33" s="19" t="s">
        <v>121</v>
      </c>
      <c r="CB33" s="19" t="s">
        <v>121</v>
      </c>
      <c r="CC33" s="19" t="s">
        <v>121</v>
      </c>
      <c r="CD33" s="19" t="s">
        <v>121</v>
      </c>
      <c r="CE33" s="19" t="s">
        <v>121</v>
      </c>
      <c r="CF33" s="19" t="s">
        <v>121</v>
      </c>
      <c r="CG33" s="19" t="s">
        <v>121</v>
      </c>
      <c r="CH33" s="19" t="s">
        <v>121</v>
      </c>
      <c r="CI33" s="19" t="s">
        <v>121</v>
      </c>
      <c r="CJ33" s="19" t="s">
        <v>121</v>
      </c>
      <c r="CK33" s="19" t="s">
        <v>121</v>
      </c>
      <c r="CL33" s="19" t="s">
        <v>121</v>
      </c>
      <c r="CM33" s="19" t="s">
        <v>121</v>
      </c>
      <c r="CN33" s="19" t="s">
        <v>121</v>
      </c>
      <c r="CO33" s="19" t="s">
        <v>121</v>
      </c>
      <c r="CP33" s="19" t="s">
        <v>121</v>
      </c>
      <c r="CQ33" s="19" t="s">
        <v>121</v>
      </c>
      <c r="CR33" s="19" t="s">
        <v>121</v>
      </c>
      <c r="CS33" s="19" t="s">
        <v>121</v>
      </c>
      <c r="CT33" s="19" t="s">
        <v>121</v>
      </c>
      <c r="CU33" s="19" t="s">
        <v>121</v>
      </c>
      <c r="CV33" s="19" t="s">
        <v>121</v>
      </c>
      <c r="CW33" s="19" t="s">
        <v>121</v>
      </c>
      <c r="CX33" s="19" t="s">
        <v>121</v>
      </c>
      <c r="CY33" s="19" t="s">
        <v>121</v>
      </c>
      <c r="CZ33" s="19" t="s">
        <v>121</v>
      </c>
      <c r="DA33" s="19" t="s">
        <v>121</v>
      </c>
      <c r="DB33" s="19" t="s">
        <v>121</v>
      </c>
      <c r="DC33" s="19" t="s">
        <v>121</v>
      </c>
      <c r="DD33" s="19" t="s">
        <v>121</v>
      </c>
      <c r="DE33" s="19" t="s">
        <v>121</v>
      </c>
      <c r="DF33" s="19" t="s">
        <v>121</v>
      </c>
      <c r="DG33" s="19" t="s">
        <v>121</v>
      </c>
      <c r="DH33" s="19" t="s">
        <v>121</v>
      </c>
      <c r="DI33" s="19" t="s">
        <v>121</v>
      </c>
      <c r="DJ33" s="19" t="s">
        <v>121</v>
      </c>
      <c r="DK33" s="19" t="s">
        <v>121</v>
      </c>
      <c r="DL33" s="19" t="s">
        <v>121</v>
      </c>
      <c r="DM33" s="19" t="s">
        <v>121</v>
      </c>
      <c r="DN33" s="19" t="s">
        <v>121</v>
      </c>
      <c r="DO33" s="19" t="s">
        <v>121</v>
      </c>
      <c r="DP33" s="19" t="s">
        <v>121</v>
      </c>
      <c r="DQ33" s="19" t="s">
        <v>121</v>
      </c>
      <c r="DR33" s="19" t="s">
        <v>121</v>
      </c>
      <c r="DS33" s="19" t="s">
        <v>121</v>
      </c>
      <c r="DT33" s="19" t="s">
        <v>121</v>
      </c>
      <c r="DU33" s="19" t="s">
        <v>121</v>
      </c>
      <c r="DV33" s="19" t="s">
        <v>121</v>
      </c>
      <c r="DW33" s="19" t="s">
        <v>121</v>
      </c>
      <c r="DX33" s="19" t="s">
        <v>121</v>
      </c>
      <c r="DY33" s="19" t="s">
        <v>121</v>
      </c>
      <c r="DZ33" s="19" t="s">
        <v>121</v>
      </c>
      <c r="EA33" s="19" t="s">
        <v>121</v>
      </c>
      <c r="EB33" s="19" t="s">
        <v>121</v>
      </c>
      <c r="EC33" s="19" t="s">
        <v>121</v>
      </c>
      <c r="ED33" s="19" t="s">
        <v>121</v>
      </c>
      <c r="EE33" s="19" t="s">
        <v>121</v>
      </c>
      <c r="EF33" s="19" t="s">
        <v>121</v>
      </c>
      <c r="EG33" s="19" t="s">
        <v>121</v>
      </c>
      <c r="EH33" s="19" t="s">
        <v>121</v>
      </c>
      <c r="EI33" s="19" t="s">
        <v>121</v>
      </c>
      <c r="EJ33" s="19" t="s">
        <v>121</v>
      </c>
      <c r="EK33" s="19" t="s">
        <v>121</v>
      </c>
      <c r="EL33" s="19" t="s">
        <v>121</v>
      </c>
      <c r="EM33" s="19" t="s">
        <v>121</v>
      </c>
      <c r="EN33" s="19" t="s">
        <v>121</v>
      </c>
      <c r="EO33" s="19" t="s">
        <v>121</v>
      </c>
    </row>
    <row r="34" spans="1:145" ht="15" hidden="1" customHeight="1" outlineLevel="1" x14ac:dyDescent="0.25">
      <c r="A34" s="72">
        <v>34</v>
      </c>
      <c r="B34" s="19" t="s">
        <v>121</v>
      </c>
      <c r="C34" s="19" t="s">
        <v>121</v>
      </c>
      <c r="D34" s="19" t="s">
        <v>121</v>
      </c>
      <c r="E34" s="19" t="s">
        <v>121</v>
      </c>
      <c r="F34" s="19" t="s">
        <v>121</v>
      </c>
      <c r="G34" s="19" t="s">
        <v>121</v>
      </c>
      <c r="H34" s="19" t="s">
        <v>121</v>
      </c>
      <c r="I34" s="19" t="s">
        <v>121</v>
      </c>
      <c r="J34" s="19" t="s">
        <v>121</v>
      </c>
      <c r="K34" s="19" t="s">
        <v>121</v>
      </c>
      <c r="L34" s="19" t="s">
        <v>121</v>
      </c>
      <c r="M34" s="19" t="s">
        <v>121</v>
      </c>
      <c r="N34" s="19" t="s">
        <v>121</v>
      </c>
      <c r="O34" s="19" t="s">
        <v>121</v>
      </c>
      <c r="P34" s="19" t="s">
        <v>121</v>
      </c>
      <c r="Q34" s="19" t="s">
        <v>121</v>
      </c>
      <c r="R34" s="19" t="s">
        <v>121</v>
      </c>
      <c r="S34" s="19" t="s">
        <v>121</v>
      </c>
      <c r="T34" s="19" t="s">
        <v>121</v>
      </c>
      <c r="U34" s="19" t="s">
        <v>121</v>
      </c>
      <c r="V34" s="19" t="s">
        <v>121</v>
      </c>
      <c r="W34" s="19" t="s">
        <v>121</v>
      </c>
      <c r="X34" s="19" t="s">
        <v>121</v>
      </c>
      <c r="Y34" s="19" t="s">
        <v>121</v>
      </c>
      <c r="Z34" s="19" t="s">
        <v>121</v>
      </c>
      <c r="AA34" s="19" t="s">
        <v>121</v>
      </c>
      <c r="AB34" s="19" t="s">
        <v>121</v>
      </c>
      <c r="AC34" s="19" t="s">
        <v>121</v>
      </c>
      <c r="AD34" s="19" t="s">
        <v>121</v>
      </c>
      <c r="AE34" s="19" t="s">
        <v>121</v>
      </c>
      <c r="AF34" s="19" t="s">
        <v>121</v>
      </c>
      <c r="AG34" s="19" t="s">
        <v>121</v>
      </c>
      <c r="AH34" s="19" t="s">
        <v>121</v>
      </c>
      <c r="AI34" s="19" t="s">
        <v>121</v>
      </c>
      <c r="AJ34" s="19" t="s">
        <v>121</v>
      </c>
      <c r="AK34" s="19" t="s">
        <v>121</v>
      </c>
      <c r="AL34" s="19" t="s">
        <v>121</v>
      </c>
      <c r="AM34" s="19" t="s">
        <v>121</v>
      </c>
      <c r="AN34" s="19" t="s">
        <v>121</v>
      </c>
      <c r="AO34" s="19" t="s">
        <v>121</v>
      </c>
      <c r="AP34" s="19" t="s">
        <v>121</v>
      </c>
      <c r="AQ34" s="19" t="s">
        <v>121</v>
      </c>
      <c r="AR34" s="19" t="s">
        <v>121</v>
      </c>
      <c r="AS34" s="19" t="s">
        <v>121</v>
      </c>
      <c r="AT34" s="19" t="s">
        <v>121</v>
      </c>
      <c r="AU34" s="19" t="s">
        <v>121</v>
      </c>
      <c r="AV34" s="19" t="s">
        <v>121</v>
      </c>
      <c r="AW34" s="19" t="s">
        <v>121</v>
      </c>
      <c r="AX34" s="19" t="s">
        <v>121</v>
      </c>
      <c r="AY34" s="1" t="s">
        <v>121</v>
      </c>
      <c r="AZ34" s="19" t="s">
        <v>121</v>
      </c>
      <c r="BA34" s="10" t="s">
        <v>121</v>
      </c>
      <c r="BB34" s="10" t="s">
        <v>121</v>
      </c>
      <c r="BC34" s="10" t="s">
        <v>121</v>
      </c>
      <c r="BD34" s="10" t="s">
        <v>121</v>
      </c>
      <c r="BE34" s="10" t="s">
        <v>121</v>
      </c>
      <c r="BF34" s="10" t="s">
        <v>121</v>
      </c>
      <c r="BG34" s="10" t="s">
        <v>121</v>
      </c>
      <c r="BH34" s="10" t="s">
        <v>121</v>
      </c>
      <c r="BI34" s="10" t="s">
        <v>121</v>
      </c>
      <c r="BJ34" s="10" t="s">
        <v>121</v>
      </c>
      <c r="BK34" s="32" t="s">
        <v>121</v>
      </c>
      <c r="BL34" s="1" t="s">
        <v>121</v>
      </c>
      <c r="BM34" s="1" t="s">
        <v>121</v>
      </c>
      <c r="BN34" s="1" t="s">
        <v>121</v>
      </c>
      <c r="BO34" s="1" t="s">
        <v>121</v>
      </c>
      <c r="BP34" s="1" t="s">
        <v>121</v>
      </c>
      <c r="BQ34" s="1" t="s">
        <v>121</v>
      </c>
      <c r="BR34" s="1" t="s">
        <v>121</v>
      </c>
      <c r="BS34" s="1" t="s">
        <v>121</v>
      </c>
      <c r="BT34" s="1" t="s">
        <v>121</v>
      </c>
      <c r="BU34" s="1" t="s">
        <v>121</v>
      </c>
      <c r="BV34" s="1" t="s">
        <v>121</v>
      </c>
      <c r="BW34" s="1" t="s">
        <v>121</v>
      </c>
      <c r="BX34" s="1" t="s">
        <v>121</v>
      </c>
      <c r="BY34" s="1" t="s">
        <v>121</v>
      </c>
      <c r="BZ34" s="1" t="s">
        <v>121</v>
      </c>
      <c r="CA34" s="1" t="s">
        <v>121</v>
      </c>
      <c r="CB34" s="1" t="s">
        <v>121</v>
      </c>
      <c r="CC34" s="1" t="s">
        <v>121</v>
      </c>
      <c r="CD34" s="1" t="s">
        <v>121</v>
      </c>
      <c r="CE34" s="1" t="s">
        <v>121</v>
      </c>
      <c r="CF34" s="1" t="s">
        <v>121</v>
      </c>
      <c r="CG34" s="1" t="s">
        <v>121</v>
      </c>
      <c r="CH34" s="1" t="s">
        <v>121</v>
      </c>
      <c r="CI34" s="1" t="s">
        <v>121</v>
      </c>
      <c r="CJ34" s="1" t="s">
        <v>121</v>
      </c>
      <c r="CK34" s="1" t="s">
        <v>121</v>
      </c>
      <c r="CL34" s="1" t="s">
        <v>121</v>
      </c>
      <c r="CM34" s="1" t="s">
        <v>121</v>
      </c>
      <c r="CN34" s="1" t="s">
        <v>121</v>
      </c>
      <c r="CO34" s="1" t="s">
        <v>121</v>
      </c>
      <c r="CP34" s="1" t="s">
        <v>121</v>
      </c>
      <c r="CQ34" s="1" t="s">
        <v>121</v>
      </c>
      <c r="CR34" s="1" t="s">
        <v>121</v>
      </c>
      <c r="CS34" s="1" t="s">
        <v>121</v>
      </c>
      <c r="CT34" s="1" t="s">
        <v>121</v>
      </c>
      <c r="CU34" s="1" t="s">
        <v>121</v>
      </c>
      <c r="CV34" s="1" t="s">
        <v>121</v>
      </c>
      <c r="CW34" s="1" t="s">
        <v>121</v>
      </c>
      <c r="CX34" s="1" t="s">
        <v>121</v>
      </c>
      <c r="CY34" s="1" t="s">
        <v>121</v>
      </c>
      <c r="CZ34" s="1" t="s">
        <v>121</v>
      </c>
      <c r="DA34" s="1" t="s">
        <v>121</v>
      </c>
      <c r="DB34" s="1" t="s">
        <v>121</v>
      </c>
      <c r="DC34" s="1" t="s">
        <v>121</v>
      </c>
      <c r="DD34" s="1" t="s">
        <v>121</v>
      </c>
      <c r="DE34" s="1" t="s">
        <v>121</v>
      </c>
      <c r="DF34" s="1" t="s">
        <v>121</v>
      </c>
      <c r="DG34" s="1" t="s">
        <v>121</v>
      </c>
      <c r="DH34" s="1" t="s">
        <v>121</v>
      </c>
      <c r="DI34" s="1" t="s">
        <v>121</v>
      </c>
      <c r="DJ34" s="1" t="s">
        <v>121</v>
      </c>
      <c r="DK34" s="1" t="s">
        <v>121</v>
      </c>
      <c r="DL34" s="1" t="s">
        <v>121</v>
      </c>
      <c r="DM34" s="1" t="s">
        <v>121</v>
      </c>
      <c r="DN34" s="1" t="s">
        <v>121</v>
      </c>
      <c r="DO34" s="1" t="s">
        <v>121</v>
      </c>
      <c r="DP34" s="1" t="s">
        <v>121</v>
      </c>
      <c r="DQ34" s="1" t="s">
        <v>121</v>
      </c>
      <c r="DR34" s="1" t="s">
        <v>121</v>
      </c>
      <c r="DS34" s="1" t="s">
        <v>121</v>
      </c>
      <c r="DT34" s="1" t="s">
        <v>121</v>
      </c>
      <c r="DU34" s="1" t="s">
        <v>121</v>
      </c>
      <c r="DV34" s="1" t="s">
        <v>121</v>
      </c>
      <c r="DW34" s="1" t="s">
        <v>121</v>
      </c>
      <c r="DX34" s="1" t="s">
        <v>121</v>
      </c>
      <c r="DY34" s="1" t="s">
        <v>121</v>
      </c>
      <c r="DZ34" s="1" t="s">
        <v>121</v>
      </c>
      <c r="EA34" s="1" t="s">
        <v>121</v>
      </c>
      <c r="EB34" s="1" t="s">
        <v>121</v>
      </c>
      <c r="EC34" s="1" t="s">
        <v>121</v>
      </c>
      <c r="ED34" s="1" t="s">
        <v>121</v>
      </c>
      <c r="EE34" s="1" t="s">
        <v>121</v>
      </c>
      <c r="EF34" s="1" t="s">
        <v>121</v>
      </c>
      <c r="EG34" s="1" t="s">
        <v>121</v>
      </c>
      <c r="EH34" s="1" t="s">
        <v>121</v>
      </c>
      <c r="EI34" s="1" t="s">
        <v>121</v>
      </c>
      <c r="EJ34" s="1" t="s">
        <v>121</v>
      </c>
      <c r="EK34" s="1" t="s">
        <v>121</v>
      </c>
      <c r="EL34" s="1" t="s">
        <v>121</v>
      </c>
      <c r="EM34" s="1" t="s">
        <v>121</v>
      </c>
      <c r="EN34" s="1" t="s">
        <v>121</v>
      </c>
      <c r="EO34" s="1" t="s">
        <v>121</v>
      </c>
    </row>
    <row r="35" spans="1:145" ht="15" customHeight="1" collapsed="1" x14ac:dyDescent="0.25">
      <c r="A35" s="72">
        <v>35</v>
      </c>
      <c r="B35" s="1" t="s">
        <v>121</v>
      </c>
      <c r="C35" s="1" t="s">
        <v>121</v>
      </c>
      <c r="D35" s="1" t="s">
        <v>121</v>
      </c>
      <c r="E35" s="1" t="s">
        <v>121</v>
      </c>
      <c r="F35" s="1" t="s">
        <v>121</v>
      </c>
      <c r="G35" s="1" t="s">
        <v>121</v>
      </c>
      <c r="H35" s="1" t="s">
        <v>121</v>
      </c>
      <c r="I35" s="1" t="s">
        <v>121</v>
      </c>
      <c r="J35" s="1" t="s">
        <v>121</v>
      </c>
      <c r="K35" s="1" t="s">
        <v>121</v>
      </c>
      <c r="L35" s="1" t="s">
        <v>121</v>
      </c>
      <c r="M35" s="1" t="s">
        <v>121</v>
      </c>
      <c r="N35" s="1" t="s">
        <v>121</v>
      </c>
      <c r="O35" s="1" t="s">
        <v>121</v>
      </c>
      <c r="P35" s="1" t="s">
        <v>121</v>
      </c>
      <c r="Q35" s="1" t="s">
        <v>121</v>
      </c>
      <c r="R35" s="1" t="s">
        <v>121</v>
      </c>
      <c r="S35" s="1" t="s">
        <v>121</v>
      </c>
      <c r="T35" s="1" t="s">
        <v>121</v>
      </c>
      <c r="U35" s="1" t="s">
        <v>121</v>
      </c>
      <c r="V35" s="1" t="s">
        <v>121</v>
      </c>
      <c r="W35" s="1" t="s">
        <v>121</v>
      </c>
      <c r="X35" s="1" t="s">
        <v>121</v>
      </c>
      <c r="Y35" s="1" t="s">
        <v>121</v>
      </c>
      <c r="Z35" s="1" t="s">
        <v>121</v>
      </c>
      <c r="AA35" s="1" t="s">
        <v>121</v>
      </c>
      <c r="AB35" s="1" t="s">
        <v>121</v>
      </c>
      <c r="AC35" s="1" t="s">
        <v>121</v>
      </c>
      <c r="AD35" s="1" t="s">
        <v>121</v>
      </c>
      <c r="AE35" s="1" t="s">
        <v>121</v>
      </c>
      <c r="AF35" s="1" t="s">
        <v>121</v>
      </c>
      <c r="AG35" s="1" t="s">
        <v>121</v>
      </c>
      <c r="AH35" s="1" t="s">
        <v>121</v>
      </c>
      <c r="AI35" s="1" t="s">
        <v>121</v>
      </c>
      <c r="AJ35" s="1" t="s">
        <v>121</v>
      </c>
      <c r="AK35" s="1" t="s">
        <v>121</v>
      </c>
      <c r="AL35" s="1" t="s">
        <v>121</v>
      </c>
      <c r="AM35" s="1" t="s">
        <v>121</v>
      </c>
      <c r="AN35" s="1" t="s">
        <v>121</v>
      </c>
      <c r="AO35" s="1" t="s">
        <v>121</v>
      </c>
      <c r="AP35" s="1" t="s">
        <v>121</v>
      </c>
      <c r="AQ35" s="1" t="s">
        <v>121</v>
      </c>
      <c r="AR35" s="1" t="s">
        <v>121</v>
      </c>
      <c r="AS35" s="1" t="s">
        <v>121</v>
      </c>
      <c r="AT35" s="1" t="s">
        <v>121</v>
      </c>
      <c r="AU35" s="1" t="s">
        <v>121</v>
      </c>
      <c r="AV35" s="1" t="s">
        <v>121</v>
      </c>
      <c r="AW35" s="1" t="s">
        <v>121</v>
      </c>
      <c r="AX35" s="1" t="s">
        <v>121</v>
      </c>
      <c r="AY35" s="1" t="s">
        <v>121</v>
      </c>
      <c r="AZ35" s="1" t="s">
        <v>121</v>
      </c>
      <c r="BA35" s="32" t="s">
        <v>121</v>
      </c>
      <c r="BB35" s="10" t="s">
        <v>121</v>
      </c>
      <c r="BC35" s="10" t="s">
        <v>121</v>
      </c>
      <c r="BD35" s="10" t="s">
        <v>121</v>
      </c>
      <c r="BE35" s="10" t="s">
        <v>121</v>
      </c>
      <c r="BF35" s="10" t="s">
        <v>121</v>
      </c>
      <c r="BG35" s="10" t="s">
        <v>121</v>
      </c>
      <c r="BH35" s="10" t="s">
        <v>121</v>
      </c>
      <c r="BI35" s="10" t="s">
        <v>121</v>
      </c>
      <c r="BJ35" s="10" t="s">
        <v>121</v>
      </c>
      <c r="BK35" s="10" t="s">
        <v>121</v>
      </c>
      <c r="BL35" s="1" t="s">
        <v>121</v>
      </c>
      <c r="BM35" s="1" t="s">
        <v>121</v>
      </c>
      <c r="BN35" s="1" t="s">
        <v>121</v>
      </c>
      <c r="BO35" s="1" t="s">
        <v>121</v>
      </c>
      <c r="BP35" s="1" t="s">
        <v>121</v>
      </c>
      <c r="BQ35" s="1" t="s">
        <v>121</v>
      </c>
      <c r="BR35" s="1" t="s">
        <v>121</v>
      </c>
      <c r="BS35" s="1" t="s">
        <v>121</v>
      </c>
      <c r="BT35" s="1" t="s">
        <v>121</v>
      </c>
      <c r="BU35" s="1" t="s">
        <v>121</v>
      </c>
      <c r="BV35" s="1" t="s">
        <v>121</v>
      </c>
      <c r="BW35" s="1" t="s">
        <v>121</v>
      </c>
      <c r="BX35" s="1" t="s">
        <v>121</v>
      </c>
      <c r="BY35" s="1" t="s">
        <v>121</v>
      </c>
      <c r="BZ35" s="1" t="s">
        <v>121</v>
      </c>
      <c r="CA35" s="1" t="s">
        <v>121</v>
      </c>
      <c r="CB35" s="1" t="s">
        <v>121</v>
      </c>
      <c r="CC35" s="1" t="s">
        <v>121</v>
      </c>
      <c r="CD35" s="1" t="s">
        <v>121</v>
      </c>
      <c r="CE35" s="1" t="s">
        <v>121</v>
      </c>
      <c r="CF35" s="1" t="s">
        <v>121</v>
      </c>
      <c r="CG35" s="1" t="s">
        <v>121</v>
      </c>
      <c r="CH35" s="1" t="s">
        <v>121</v>
      </c>
      <c r="CI35" s="1" t="s">
        <v>121</v>
      </c>
      <c r="CJ35" s="1" t="s">
        <v>121</v>
      </c>
      <c r="CK35" s="1" t="s">
        <v>121</v>
      </c>
      <c r="CL35" s="1" t="s">
        <v>121</v>
      </c>
      <c r="CM35" s="1" t="s">
        <v>121</v>
      </c>
      <c r="CN35" s="1" t="s">
        <v>121</v>
      </c>
      <c r="CO35" s="1" t="s">
        <v>121</v>
      </c>
      <c r="CP35" s="1" t="s">
        <v>121</v>
      </c>
      <c r="CQ35" s="1" t="s">
        <v>121</v>
      </c>
      <c r="CR35" s="1" t="s">
        <v>121</v>
      </c>
      <c r="CS35" s="1" t="s">
        <v>121</v>
      </c>
      <c r="CT35" s="1" t="s">
        <v>121</v>
      </c>
      <c r="CU35" s="1" t="s">
        <v>121</v>
      </c>
      <c r="CV35" s="1" t="s">
        <v>121</v>
      </c>
      <c r="CW35" s="1" t="s">
        <v>121</v>
      </c>
      <c r="CX35" s="1" t="s">
        <v>121</v>
      </c>
      <c r="CY35" s="1" t="s">
        <v>121</v>
      </c>
      <c r="CZ35" s="1" t="s">
        <v>121</v>
      </c>
      <c r="DA35" s="1" t="s">
        <v>121</v>
      </c>
      <c r="DB35" s="1" t="s">
        <v>121</v>
      </c>
      <c r="DC35" s="1" t="s">
        <v>121</v>
      </c>
      <c r="DD35" s="1" t="s">
        <v>121</v>
      </c>
      <c r="DE35" s="1" t="s">
        <v>121</v>
      </c>
      <c r="DF35" s="1" t="s">
        <v>121</v>
      </c>
      <c r="DG35" s="1" t="s">
        <v>121</v>
      </c>
      <c r="DH35" s="1" t="s">
        <v>121</v>
      </c>
      <c r="DI35" s="1" t="s">
        <v>121</v>
      </c>
      <c r="DJ35" s="1" t="s">
        <v>121</v>
      </c>
      <c r="DK35" s="1" t="s">
        <v>121</v>
      </c>
      <c r="DL35" s="1" t="s">
        <v>121</v>
      </c>
      <c r="DM35" s="1" t="s">
        <v>121</v>
      </c>
      <c r="DN35" s="1" t="s">
        <v>121</v>
      </c>
      <c r="DO35" s="1" t="s">
        <v>121</v>
      </c>
      <c r="DP35" s="1" t="s">
        <v>121</v>
      </c>
      <c r="DQ35" s="1" t="s">
        <v>121</v>
      </c>
      <c r="DR35" s="1" t="s">
        <v>121</v>
      </c>
      <c r="DS35" s="1" t="s">
        <v>121</v>
      </c>
      <c r="DT35" s="1" t="s">
        <v>121</v>
      </c>
      <c r="DU35" s="1" t="s">
        <v>121</v>
      </c>
      <c r="DV35" s="1" t="s">
        <v>121</v>
      </c>
      <c r="DW35" s="1" t="s">
        <v>121</v>
      </c>
      <c r="DX35" s="1" t="s">
        <v>121</v>
      </c>
      <c r="DY35" s="1" t="s">
        <v>121</v>
      </c>
      <c r="DZ35" s="1" t="s">
        <v>121</v>
      </c>
      <c r="EA35" s="1" t="s">
        <v>121</v>
      </c>
      <c r="EB35" s="1" t="s">
        <v>121</v>
      </c>
      <c r="EC35" s="1" t="s">
        <v>121</v>
      </c>
      <c r="ED35" s="1" t="s">
        <v>121</v>
      </c>
      <c r="EE35" s="1" t="s">
        <v>121</v>
      </c>
      <c r="EF35" s="1" t="s">
        <v>121</v>
      </c>
      <c r="EG35" s="1" t="s">
        <v>121</v>
      </c>
      <c r="EH35" s="1" t="s">
        <v>121</v>
      </c>
      <c r="EI35" s="1" t="s">
        <v>121</v>
      </c>
      <c r="EJ35" s="1" t="s">
        <v>121</v>
      </c>
      <c r="EK35" s="1" t="s">
        <v>121</v>
      </c>
      <c r="EL35" s="1" t="s">
        <v>121</v>
      </c>
      <c r="EM35" s="1" t="s">
        <v>121</v>
      </c>
      <c r="EN35" s="1" t="s">
        <v>121</v>
      </c>
      <c r="EO35" s="1" t="s">
        <v>121</v>
      </c>
    </row>
    <row r="36" spans="1:145" ht="15" customHeight="1" x14ac:dyDescent="0.25">
      <c r="A36" s="72">
        <v>36</v>
      </c>
      <c r="B36" s="1" t="s">
        <v>121</v>
      </c>
      <c r="C36" s="1" t="s">
        <v>121</v>
      </c>
      <c r="D36" s="1" t="s">
        <v>121</v>
      </c>
      <c r="E36" s="1" t="s">
        <v>121</v>
      </c>
      <c r="F36" s="1" t="s">
        <v>121</v>
      </c>
      <c r="G36" s="1" t="s">
        <v>121</v>
      </c>
      <c r="H36" s="1" t="s">
        <v>121</v>
      </c>
      <c r="I36" s="1" t="s">
        <v>121</v>
      </c>
      <c r="J36" s="1" t="s">
        <v>121</v>
      </c>
      <c r="K36" s="1" t="s">
        <v>121</v>
      </c>
      <c r="L36" s="1" t="s">
        <v>121</v>
      </c>
      <c r="M36" s="1" t="s">
        <v>121</v>
      </c>
      <c r="N36" s="1" t="s">
        <v>121</v>
      </c>
      <c r="O36" s="1" t="s">
        <v>121</v>
      </c>
      <c r="P36" s="1" t="s">
        <v>121</v>
      </c>
      <c r="Q36" s="1" t="s">
        <v>121</v>
      </c>
      <c r="R36" s="1" t="s">
        <v>121</v>
      </c>
      <c r="S36" s="1" t="s">
        <v>121</v>
      </c>
      <c r="T36" s="1" t="s">
        <v>121</v>
      </c>
      <c r="U36" s="1" t="s">
        <v>121</v>
      </c>
      <c r="V36" s="1" t="s">
        <v>121</v>
      </c>
      <c r="W36" s="1" t="s">
        <v>121</v>
      </c>
      <c r="X36" s="1" t="s">
        <v>121</v>
      </c>
      <c r="Y36" s="1" t="s">
        <v>121</v>
      </c>
      <c r="Z36" s="1" t="s">
        <v>121</v>
      </c>
      <c r="AA36" s="1" t="s">
        <v>121</v>
      </c>
      <c r="AB36" s="1" t="s">
        <v>121</v>
      </c>
      <c r="AC36" s="1" t="s">
        <v>121</v>
      </c>
      <c r="AD36" s="1" t="s">
        <v>121</v>
      </c>
      <c r="AE36" s="1" t="s">
        <v>121</v>
      </c>
      <c r="AF36" s="1" t="s">
        <v>121</v>
      </c>
      <c r="AG36" s="1" t="s">
        <v>121</v>
      </c>
      <c r="AH36" s="1" t="s">
        <v>121</v>
      </c>
      <c r="AI36" s="1" t="s">
        <v>121</v>
      </c>
      <c r="AJ36" s="1" t="s">
        <v>121</v>
      </c>
      <c r="AK36" s="1" t="s">
        <v>121</v>
      </c>
      <c r="AL36" s="1" t="s">
        <v>121</v>
      </c>
      <c r="AM36" s="1" t="s">
        <v>121</v>
      </c>
      <c r="AN36" s="1" t="s">
        <v>121</v>
      </c>
      <c r="AO36" s="1" t="s">
        <v>121</v>
      </c>
      <c r="AP36" s="1" t="s">
        <v>121</v>
      </c>
      <c r="AQ36" s="1" t="s">
        <v>121</v>
      </c>
      <c r="AR36" s="1" t="s">
        <v>121</v>
      </c>
      <c r="AS36" s="1" t="s">
        <v>121</v>
      </c>
      <c r="AT36" s="1" t="s">
        <v>121</v>
      </c>
      <c r="AU36" s="1" t="s">
        <v>121</v>
      </c>
      <c r="AV36" s="1" t="s">
        <v>121</v>
      </c>
      <c r="AW36" s="1" t="s">
        <v>121</v>
      </c>
      <c r="AX36" s="1" t="s">
        <v>121</v>
      </c>
      <c r="AY36" s="1" t="s">
        <v>121</v>
      </c>
      <c r="AZ36" s="1" t="s">
        <v>121</v>
      </c>
      <c r="BA36" s="1" t="s">
        <v>121</v>
      </c>
      <c r="BB36" s="1" t="s">
        <v>121</v>
      </c>
      <c r="BC36" s="1" t="s">
        <v>121</v>
      </c>
      <c r="BD36" s="1" t="s">
        <v>121</v>
      </c>
      <c r="BE36" s="1" t="s">
        <v>121</v>
      </c>
      <c r="BF36" s="1" t="s">
        <v>121</v>
      </c>
      <c r="BG36" s="1" t="s">
        <v>121</v>
      </c>
      <c r="BH36" s="1" t="s">
        <v>121</v>
      </c>
      <c r="BI36" s="1" t="s">
        <v>121</v>
      </c>
      <c r="BJ36" s="1" t="s">
        <v>121</v>
      </c>
      <c r="BK36" s="1" t="s">
        <v>121</v>
      </c>
      <c r="BL36" s="1" t="s">
        <v>121</v>
      </c>
      <c r="BM36" s="1" t="s">
        <v>121</v>
      </c>
      <c r="BN36" s="1" t="s">
        <v>121</v>
      </c>
      <c r="BO36" s="1" t="s">
        <v>121</v>
      </c>
      <c r="BP36" s="1" t="s">
        <v>121</v>
      </c>
      <c r="BQ36" s="1" t="s">
        <v>121</v>
      </c>
      <c r="BR36" s="1" t="s">
        <v>121</v>
      </c>
      <c r="BS36" s="1" t="s">
        <v>121</v>
      </c>
      <c r="BT36" s="1" t="s">
        <v>121</v>
      </c>
      <c r="BU36" s="1" t="s">
        <v>121</v>
      </c>
      <c r="BV36" s="1" t="s">
        <v>121</v>
      </c>
      <c r="BW36" s="1" t="s">
        <v>121</v>
      </c>
      <c r="BX36" s="1" t="s">
        <v>121</v>
      </c>
      <c r="BY36" s="1" t="s">
        <v>121</v>
      </c>
      <c r="BZ36" s="1" t="s">
        <v>121</v>
      </c>
      <c r="CA36" s="1" t="s">
        <v>121</v>
      </c>
      <c r="CB36" s="1" t="s">
        <v>121</v>
      </c>
      <c r="CC36" s="1" t="s">
        <v>121</v>
      </c>
      <c r="CD36" s="1" t="s">
        <v>121</v>
      </c>
      <c r="CE36" s="1" t="s">
        <v>121</v>
      </c>
      <c r="CF36" s="1" t="s">
        <v>121</v>
      </c>
      <c r="CG36" s="1" t="s">
        <v>121</v>
      </c>
      <c r="CH36" s="1" t="s">
        <v>121</v>
      </c>
      <c r="CI36" s="1" t="s">
        <v>121</v>
      </c>
      <c r="CJ36" s="1" t="s">
        <v>121</v>
      </c>
      <c r="CK36" s="1" t="s">
        <v>121</v>
      </c>
      <c r="CL36" s="1" t="s">
        <v>121</v>
      </c>
      <c r="CM36" s="1" t="s">
        <v>121</v>
      </c>
      <c r="CN36" s="1" t="s">
        <v>121</v>
      </c>
      <c r="CO36" s="1" t="s">
        <v>121</v>
      </c>
      <c r="CP36" s="1" t="s">
        <v>121</v>
      </c>
      <c r="CQ36" s="1" t="s">
        <v>121</v>
      </c>
      <c r="CR36" s="1" t="s">
        <v>121</v>
      </c>
      <c r="CS36" s="1" t="s">
        <v>121</v>
      </c>
      <c r="CT36" s="1" t="s">
        <v>121</v>
      </c>
      <c r="CU36" s="1" t="s">
        <v>121</v>
      </c>
      <c r="CV36" s="1" t="s">
        <v>121</v>
      </c>
      <c r="CW36" s="1" t="s">
        <v>121</v>
      </c>
      <c r="CX36" s="1" t="s">
        <v>121</v>
      </c>
      <c r="CY36" s="1" t="s">
        <v>121</v>
      </c>
      <c r="CZ36" s="1" t="s">
        <v>121</v>
      </c>
      <c r="DA36" s="1" t="s">
        <v>121</v>
      </c>
      <c r="DB36" s="1" t="s">
        <v>121</v>
      </c>
      <c r="DC36" s="1" t="s">
        <v>121</v>
      </c>
      <c r="DD36" s="1" t="s">
        <v>121</v>
      </c>
      <c r="DE36" s="1" t="s">
        <v>121</v>
      </c>
      <c r="DF36" s="1" t="s">
        <v>121</v>
      </c>
      <c r="DG36" s="1" t="s">
        <v>121</v>
      </c>
      <c r="DH36" s="1" t="s">
        <v>121</v>
      </c>
      <c r="DI36" s="1" t="s">
        <v>121</v>
      </c>
      <c r="DJ36" s="1" t="s">
        <v>121</v>
      </c>
      <c r="DK36" s="1" t="s">
        <v>121</v>
      </c>
      <c r="DL36" s="1" t="s">
        <v>121</v>
      </c>
      <c r="DM36" s="1" t="s">
        <v>121</v>
      </c>
      <c r="DN36" s="1" t="s">
        <v>121</v>
      </c>
      <c r="DO36" s="1" t="s">
        <v>121</v>
      </c>
      <c r="DP36" s="1" t="s">
        <v>121</v>
      </c>
      <c r="DQ36" s="1" t="s">
        <v>121</v>
      </c>
      <c r="DR36" s="1" t="s">
        <v>121</v>
      </c>
      <c r="DS36" s="1" t="s">
        <v>121</v>
      </c>
      <c r="DT36" s="1" t="s">
        <v>121</v>
      </c>
      <c r="DU36" s="1" t="s">
        <v>121</v>
      </c>
      <c r="DV36" s="1" t="s">
        <v>121</v>
      </c>
      <c r="DW36" s="1" t="s">
        <v>121</v>
      </c>
      <c r="DX36" s="1" t="s">
        <v>121</v>
      </c>
      <c r="DY36" s="1" t="s">
        <v>121</v>
      </c>
      <c r="DZ36" s="1" t="s">
        <v>121</v>
      </c>
      <c r="EA36" s="1" t="s">
        <v>121</v>
      </c>
      <c r="EB36" s="1" t="s">
        <v>121</v>
      </c>
      <c r="EC36" s="1" t="s">
        <v>121</v>
      </c>
      <c r="ED36" s="1" t="s">
        <v>121</v>
      </c>
      <c r="EE36" s="1" t="s">
        <v>121</v>
      </c>
      <c r="EF36" s="1" t="s">
        <v>121</v>
      </c>
      <c r="EG36" s="1" t="s">
        <v>121</v>
      </c>
      <c r="EH36" s="1" t="s">
        <v>121</v>
      </c>
      <c r="EI36" s="1" t="s">
        <v>121</v>
      </c>
      <c r="EJ36" s="1" t="s">
        <v>121</v>
      </c>
      <c r="EK36" s="1" t="s">
        <v>121</v>
      </c>
      <c r="EL36" s="1" t="s">
        <v>121</v>
      </c>
      <c r="EM36" s="1" t="s">
        <v>121</v>
      </c>
      <c r="EN36" s="1" t="s">
        <v>121</v>
      </c>
      <c r="EO36" s="1" t="s">
        <v>121</v>
      </c>
    </row>
    <row r="37" spans="1:145" x14ac:dyDescent="0.25">
      <c r="A37" s="72">
        <v>37</v>
      </c>
      <c r="B37" s="426" t="s">
        <v>406</v>
      </c>
      <c r="C37" s="436" t="s">
        <v>64</v>
      </c>
      <c r="D37" s="438" t="s">
        <v>265</v>
      </c>
      <c r="E37" s="434" t="s">
        <v>79</v>
      </c>
      <c r="F37" s="416">
        <v>45930</v>
      </c>
      <c r="G37" s="416">
        <v>45838</v>
      </c>
      <c r="H37" s="416">
        <v>45747</v>
      </c>
      <c r="I37" s="416">
        <v>45657</v>
      </c>
      <c r="J37" s="416">
        <v>45565</v>
      </c>
      <c r="K37" s="416">
        <v>45473</v>
      </c>
      <c r="L37" s="416">
        <v>45382</v>
      </c>
      <c r="M37" s="416">
        <v>45291</v>
      </c>
      <c r="N37" s="416">
        <v>45199</v>
      </c>
      <c r="O37" s="416">
        <v>45107</v>
      </c>
      <c r="P37" s="416">
        <v>45016</v>
      </c>
      <c r="Q37" s="416">
        <v>44926</v>
      </c>
      <c r="R37" s="416">
        <v>44834</v>
      </c>
      <c r="S37" s="416">
        <v>44742</v>
      </c>
      <c r="T37" s="416">
        <v>44651</v>
      </c>
      <c r="U37" s="416">
        <v>44561</v>
      </c>
      <c r="V37" s="416">
        <v>44469</v>
      </c>
      <c r="W37" s="416">
        <v>44377</v>
      </c>
      <c r="X37" s="416">
        <v>44286</v>
      </c>
      <c r="Y37" s="416">
        <v>44196</v>
      </c>
      <c r="Z37" s="416">
        <v>44104</v>
      </c>
      <c r="AA37" s="416">
        <v>44012</v>
      </c>
      <c r="AB37" s="416">
        <v>43921</v>
      </c>
      <c r="AC37" s="416">
        <v>43830</v>
      </c>
      <c r="AD37" s="416">
        <v>43738</v>
      </c>
      <c r="AE37" s="416">
        <v>43646</v>
      </c>
      <c r="AF37" s="416">
        <v>43555</v>
      </c>
      <c r="AG37" s="416">
        <v>43465</v>
      </c>
      <c r="AH37" s="416">
        <v>43373</v>
      </c>
      <c r="AI37" s="416">
        <v>43281</v>
      </c>
      <c r="AJ37" s="416">
        <v>43190</v>
      </c>
      <c r="AK37" s="416">
        <v>43100</v>
      </c>
      <c r="AL37" s="416">
        <v>43008</v>
      </c>
      <c r="AM37" s="416">
        <v>42916</v>
      </c>
      <c r="AN37" s="416">
        <v>42825</v>
      </c>
      <c r="AO37" s="416">
        <v>42735</v>
      </c>
      <c r="AP37" s="416">
        <v>42643</v>
      </c>
      <c r="AQ37" s="416">
        <v>42551</v>
      </c>
      <c r="AR37" s="416">
        <v>42460</v>
      </c>
      <c r="AS37" s="416">
        <v>42369</v>
      </c>
      <c r="AT37" s="416">
        <v>42277</v>
      </c>
      <c r="AU37" s="416">
        <v>42185</v>
      </c>
      <c r="AV37" s="416">
        <v>42094</v>
      </c>
      <c r="AW37" s="416">
        <v>42004</v>
      </c>
      <c r="AX37" s="416">
        <v>41912</v>
      </c>
      <c r="AY37" s="416">
        <v>41820</v>
      </c>
      <c r="AZ37" s="416">
        <v>41729</v>
      </c>
      <c r="BA37" s="416">
        <v>41639</v>
      </c>
      <c r="BB37" s="416">
        <v>41547</v>
      </c>
      <c r="BC37" s="416">
        <v>41455</v>
      </c>
      <c r="BD37" s="416">
        <v>41364</v>
      </c>
      <c r="BE37" s="416">
        <v>41274</v>
      </c>
      <c r="BF37" s="416">
        <v>41182</v>
      </c>
      <c r="BG37" s="416">
        <v>41090</v>
      </c>
      <c r="BH37" s="416">
        <v>40999</v>
      </c>
      <c r="BI37" s="416">
        <v>40908</v>
      </c>
      <c r="BJ37" s="416">
        <v>40816</v>
      </c>
      <c r="BK37" s="416">
        <v>40724</v>
      </c>
      <c r="BL37" s="416">
        <v>40633</v>
      </c>
      <c r="BM37" s="1">
        <v>40543</v>
      </c>
      <c r="BN37" s="1">
        <v>40451</v>
      </c>
      <c r="BO37" s="1">
        <v>40359</v>
      </c>
      <c r="BP37" s="1">
        <v>40268</v>
      </c>
      <c r="BQ37" s="1">
        <v>40178</v>
      </c>
      <c r="BR37" s="1" t="s">
        <v>121</v>
      </c>
      <c r="BS37" s="1" t="s">
        <v>121</v>
      </c>
      <c r="BT37" s="1" t="s">
        <v>121</v>
      </c>
      <c r="BU37" s="1" t="s">
        <v>121</v>
      </c>
      <c r="BV37" s="1" t="s">
        <v>121</v>
      </c>
      <c r="BW37" s="1" t="s">
        <v>121</v>
      </c>
      <c r="BX37" s="1" t="s">
        <v>121</v>
      </c>
      <c r="BY37" s="1" t="s">
        <v>121</v>
      </c>
      <c r="BZ37" s="1" t="s">
        <v>121</v>
      </c>
      <c r="CA37" s="1" t="s">
        <v>121</v>
      </c>
      <c r="CB37" s="1" t="s">
        <v>121</v>
      </c>
      <c r="CC37" s="1" t="s">
        <v>121</v>
      </c>
      <c r="CD37" s="1" t="s">
        <v>121</v>
      </c>
      <c r="CE37" s="1" t="s">
        <v>121</v>
      </c>
      <c r="CF37" s="1" t="s">
        <v>121</v>
      </c>
      <c r="CG37" s="1" t="s">
        <v>121</v>
      </c>
      <c r="CH37" s="1" t="s">
        <v>121</v>
      </c>
      <c r="CI37" s="1" t="s">
        <v>121</v>
      </c>
      <c r="CJ37" s="1" t="s">
        <v>121</v>
      </c>
      <c r="CK37" s="1" t="s">
        <v>121</v>
      </c>
      <c r="CL37" s="1" t="s">
        <v>121</v>
      </c>
      <c r="CM37" s="1" t="s">
        <v>121</v>
      </c>
      <c r="CN37" s="1" t="s">
        <v>121</v>
      </c>
      <c r="CO37" s="1" t="s">
        <v>121</v>
      </c>
      <c r="CP37" s="1" t="s">
        <v>121</v>
      </c>
      <c r="CQ37" s="1" t="s">
        <v>121</v>
      </c>
      <c r="CR37" s="1" t="s">
        <v>121</v>
      </c>
      <c r="CS37" s="1" t="s">
        <v>121</v>
      </c>
      <c r="CT37" s="1" t="s">
        <v>121</v>
      </c>
      <c r="CU37" s="1" t="s">
        <v>121</v>
      </c>
      <c r="CV37" s="1" t="s">
        <v>121</v>
      </c>
      <c r="CW37" s="1" t="s">
        <v>121</v>
      </c>
      <c r="CX37" s="1" t="s">
        <v>121</v>
      </c>
      <c r="CY37" s="1" t="s">
        <v>121</v>
      </c>
      <c r="CZ37" s="1" t="s">
        <v>121</v>
      </c>
      <c r="DA37" s="1" t="s">
        <v>121</v>
      </c>
      <c r="DB37" s="1" t="s">
        <v>121</v>
      </c>
      <c r="DC37" s="1" t="s">
        <v>121</v>
      </c>
      <c r="DD37" s="1" t="s">
        <v>121</v>
      </c>
      <c r="DE37" s="1" t="s">
        <v>121</v>
      </c>
      <c r="DF37" s="1" t="s">
        <v>121</v>
      </c>
      <c r="DG37" s="1" t="s">
        <v>121</v>
      </c>
      <c r="DH37" s="1" t="s">
        <v>121</v>
      </c>
      <c r="DI37" s="1" t="s">
        <v>121</v>
      </c>
      <c r="DJ37" s="1" t="s">
        <v>121</v>
      </c>
      <c r="DK37" s="1" t="s">
        <v>121</v>
      </c>
      <c r="DL37" s="1" t="s">
        <v>121</v>
      </c>
      <c r="DM37" s="1" t="s">
        <v>121</v>
      </c>
      <c r="DN37" s="1" t="s">
        <v>121</v>
      </c>
      <c r="DO37" s="1" t="s">
        <v>121</v>
      </c>
      <c r="DP37" s="1" t="s">
        <v>121</v>
      </c>
      <c r="DQ37" s="1" t="s">
        <v>121</v>
      </c>
      <c r="DR37" s="1" t="s">
        <v>121</v>
      </c>
      <c r="DS37" s="1" t="s">
        <v>121</v>
      </c>
      <c r="DT37" s="1" t="s">
        <v>121</v>
      </c>
      <c r="DU37" s="1" t="s">
        <v>121</v>
      </c>
      <c r="DV37" s="1" t="s">
        <v>121</v>
      </c>
      <c r="DW37" s="1" t="s">
        <v>121</v>
      </c>
      <c r="DX37" s="1" t="s">
        <v>121</v>
      </c>
      <c r="DY37" s="1" t="s">
        <v>121</v>
      </c>
      <c r="DZ37" s="1" t="s">
        <v>121</v>
      </c>
      <c r="EA37" s="1" t="s">
        <v>121</v>
      </c>
      <c r="EB37" s="1" t="s">
        <v>121</v>
      </c>
      <c r="EC37" s="1" t="s">
        <v>121</v>
      </c>
      <c r="ED37" s="1" t="s">
        <v>121</v>
      </c>
      <c r="EE37" s="1" t="s">
        <v>121</v>
      </c>
      <c r="EF37" s="1" t="s">
        <v>121</v>
      </c>
      <c r="EG37" s="1" t="s">
        <v>121</v>
      </c>
      <c r="EH37" s="1" t="s">
        <v>121</v>
      </c>
      <c r="EI37" s="1" t="s">
        <v>121</v>
      </c>
      <c r="EJ37" s="1" t="s">
        <v>121</v>
      </c>
      <c r="EK37" s="1" t="s">
        <v>121</v>
      </c>
      <c r="EL37" s="1" t="s">
        <v>121</v>
      </c>
      <c r="EM37" s="1" t="s">
        <v>121</v>
      </c>
      <c r="EN37" s="1" t="s">
        <v>121</v>
      </c>
      <c r="EO37" s="1" t="s">
        <v>121</v>
      </c>
    </row>
    <row r="38" spans="1:145" x14ac:dyDescent="0.25">
      <c r="A38" s="72">
        <v>38</v>
      </c>
      <c r="B38" s="427"/>
      <c r="C38" s="437"/>
      <c r="D38" s="439"/>
      <c r="E38" s="444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8"/>
      <c r="V38" s="418"/>
      <c r="W38" s="418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417"/>
      <c r="BF38" s="417"/>
      <c r="BG38" s="417"/>
      <c r="BH38" s="417"/>
      <c r="BI38" s="417"/>
      <c r="BJ38" s="417"/>
      <c r="BK38" s="417"/>
      <c r="BL38" s="417"/>
    </row>
    <row r="39" spans="1:145" ht="15.75" x14ac:dyDescent="0.25">
      <c r="A39" s="72">
        <v>39</v>
      </c>
      <c r="B39" s="34" t="s">
        <v>121</v>
      </c>
      <c r="C39" s="87" t="s">
        <v>121</v>
      </c>
      <c r="D39" s="56" t="s">
        <v>121</v>
      </c>
      <c r="E39" s="265" t="s">
        <v>121</v>
      </c>
      <c r="F39" s="274" t="s">
        <v>121</v>
      </c>
      <c r="G39" s="274" t="s">
        <v>121</v>
      </c>
      <c r="H39" s="274" t="s">
        <v>121</v>
      </c>
      <c r="I39" s="274" t="s">
        <v>121</v>
      </c>
      <c r="J39" s="274" t="s">
        <v>121</v>
      </c>
      <c r="K39" s="274" t="s">
        <v>121</v>
      </c>
      <c r="L39" s="274" t="s">
        <v>121</v>
      </c>
      <c r="M39" s="274" t="s">
        <v>121</v>
      </c>
      <c r="N39" s="274" t="s">
        <v>121</v>
      </c>
      <c r="O39" s="274" t="s">
        <v>121</v>
      </c>
      <c r="P39" s="274" t="s">
        <v>121</v>
      </c>
      <c r="Q39" s="274" t="s">
        <v>121</v>
      </c>
      <c r="R39" s="274" t="s">
        <v>121</v>
      </c>
      <c r="S39" s="274" t="s">
        <v>121</v>
      </c>
      <c r="T39" s="274" t="s">
        <v>121</v>
      </c>
      <c r="U39" s="274" t="s">
        <v>121</v>
      </c>
      <c r="V39" s="274" t="s">
        <v>121</v>
      </c>
      <c r="W39" s="274" t="s">
        <v>121</v>
      </c>
      <c r="X39" s="274" t="s">
        <v>121</v>
      </c>
      <c r="Y39" s="215" t="s">
        <v>121</v>
      </c>
      <c r="Z39" s="215" t="s">
        <v>121</v>
      </c>
      <c r="AA39" s="215" t="s">
        <v>121</v>
      </c>
      <c r="AB39" s="215" t="s">
        <v>121</v>
      </c>
      <c r="AC39" s="215" t="s">
        <v>121</v>
      </c>
      <c r="AD39" s="215" t="s">
        <v>121</v>
      </c>
      <c r="AE39" s="215" t="s">
        <v>121</v>
      </c>
      <c r="AF39" s="215" t="s">
        <v>121</v>
      </c>
      <c r="AG39" s="56" t="s">
        <v>121</v>
      </c>
      <c r="AH39" s="56" t="s">
        <v>121</v>
      </c>
      <c r="AI39" s="56" t="s">
        <v>121</v>
      </c>
      <c r="AJ39" s="56" t="s">
        <v>121</v>
      </c>
      <c r="AK39" s="56" t="s">
        <v>121</v>
      </c>
      <c r="AL39" s="56" t="s">
        <v>121</v>
      </c>
      <c r="AM39" s="56" t="s">
        <v>121</v>
      </c>
      <c r="AN39" s="56" t="s">
        <v>121</v>
      </c>
      <c r="AO39" s="56" t="s">
        <v>121</v>
      </c>
      <c r="AP39" s="56" t="s">
        <v>121</v>
      </c>
      <c r="AQ39" s="56" t="s">
        <v>121</v>
      </c>
      <c r="AR39" s="56" t="s">
        <v>121</v>
      </c>
      <c r="AS39" s="56" t="s">
        <v>121</v>
      </c>
      <c r="AT39" s="56" t="s">
        <v>121</v>
      </c>
      <c r="AU39" s="56" t="s">
        <v>121</v>
      </c>
      <c r="AV39" s="56" t="s">
        <v>121</v>
      </c>
      <c r="AW39" s="56" t="s">
        <v>121</v>
      </c>
      <c r="AX39" s="56" t="s">
        <v>121</v>
      </c>
      <c r="AY39" s="56" t="s">
        <v>121</v>
      </c>
      <c r="AZ39" s="34" t="s">
        <v>121</v>
      </c>
      <c r="BA39" s="35" t="s">
        <v>121</v>
      </c>
      <c r="BB39" s="35" t="s">
        <v>121</v>
      </c>
      <c r="BC39" s="35" t="s">
        <v>121</v>
      </c>
      <c r="BD39" s="35" t="s">
        <v>121</v>
      </c>
      <c r="BE39" s="35" t="s">
        <v>121</v>
      </c>
      <c r="BF39" s="35" t="s">
        <v>121</v>
      </c>
      <c r="BG39" s="35" t="s">
        <v>121</v>
      </c>
      <c r="BH39" s="35" t="s">
        <v>121</v>
      </c>
      <c r="BI39" s="35" t="s">
        <v>121</v>
      </c>
      <c r="BJ39" s="35" t="s">
        <v>121</v>
      </c>
      <c r="BK39" s="35" t="s">
        <v>121</v>
      </c>
      <c r="BL39" s="1" t="s">
        <v>121</v>
      </c>
      <c r="BM39" s="1" t="s">
        <v>121</v>
      </c>
      <c r="BN39" s="1" t="s">
        <v>121</v>
      </c>
      <c r="BO39" s="1" t="s">
        <v>121</v>
      </c>
      <c r="BP39" s="1" t="s">
        <v>121</v>
      </c>
      <c r="BQ39" s="1" t="s">
        <v>121</v>
      </c>
      <c r="BR39" s="1" t="s">
        <v>121</v>
      </c>
      <c r="BS39" s="1" t="s">
        <v>121</v>
      </c>
      <c r="BT39" s="1" t="s">
        <v>121</v>
      </c>
      <c r="BU39" s="1" t="s">
        <v>121</v>
      </c>
      <c r="BV39" s="1" t="s">
        <v>121</v>
      </c>
      <c r="BW39" s="1" t="s">
        <v>121</v>
      </c>
      <c r="BX39" s="1" t="s">
        <v>121</v>
      </c>
      <c r="BY39" s="1" t="s">
        <v>121</v>
      </c>
      <c r="BZ39" s="1" t="s">
        <v>121</v>
      </c>
      <c r="CA39" s="1" t="s">
        <v>121</v>
      </c>
      <c r="CB39" s="1" t="s">
        <v>121</v>
      </c>
      <c r="CC39" s="1" t="s">
        <v>121</v>
      </c>
      <c r="CD39" s="1" t="s">
        <v>121</v>
      </c>
      <c r="CE39" s="1" t="s">
        <v>121</v>
      </c>
      <c r="CF39" s="1" t="s">
        <v>121</v>
      </c>
      <c r="CG39" s="1" t="s">
        <v>121</v>
      </c>
      <c r="CH39" s="1" t="s">
        <v>121</v>
      </c>
      <c r="CI39" s="1" t="s">
        <v>121</v>
      </c>
      <c r="CJ39" s="1" t="s">
        <v>121</v>
      </c>
      <c r="CK39" s="1" t="s">
        <v>121</v>
      </c>
      <c r="CL39" s="1" t="s">
        <v>121</v>
      </c>
      <c r="CM39" s="1" t="s">
        <v>121</v>
      </c>
      <c r="CN39" s="1" t="s">
        <v>121</v>
      </c>
      <c r="CO39" s="1" t="s">
        <v>121</v>
      </c>
      <c r="CP39" s="1" t="s">
        <v>121</v>
      </c>
      <c r="CQ39" s="1" t="s">
        <v>121</v>
      </c>
      <c r="CR39" s="1" t="s">
        <v>121</v>
      </c>
      <c r="CS39" s="1" t="s">
        <v>121</v>
      </c>
      <c r="CT39" s="1" t="s">
        <v>121</v>
      </c>
      <c r="CU39" s="1" t="s">
        <v>121</v>
      </c>
      <c r="CV39" s="1" t="s">
        <v>121</v>
      </c>
      <c r="CW39" s="1" t="s">
        <v>121</v>
      </c>
      <c r="CX39" s="1" t="s">
        <v>121</v>
      </c>
      <c r="CY39" s="1" t="s">
        <v>121</v>
      </c>
      <c r="CZ39" s="1" t="s">
        <v>121</v>
      </c>
      <c r="DA39" s="1" t="s">
        <v>121</v>
      </c>
      <c r="DB39" s="1" t="s">
        <v>121</v>
      </c>
      <c r="DC39" s="1" t="s">
        <v>121</v>
      </c>
      <c r="DD39" s="1" t="s">
        <v>121</v>
      </c>
      <c r="DE39" s="1" t="s">
        <v>121</v>
      </c>
      <c r="DF39" s="1" t="s">
        <v>121</v>
      </c>
      <c r="DG39" s="1" t="s">
        <v>121</v>
      </c>
      <c r="DH39" s="1" t="s">
        <v>121</v>
      </c>
      <c r="DI39" s="1" t="s">
        <v>121</v>
      </c>
      <c r="DJ39" s="1" t="s">
        <v>121</v>
      </c>
      <c r="DK39" s="1" t="s">
        <v>121</v>
      </c>
      <c r="DL39" s="1" t="s">
        <v>121</v>
      </c>
      <c r="DM39" s="1" t="s">
        <v>121</v>
      </c>
      <c r="DN39" s="1" t="s">
        <v>121</v>
      </c>
      <c r="DO39" s="1" t="s">
        <v>121</v>
      </c>
      <c r="DP39" s="1" t="s">
        <v>121</v>
      </c>
      <c r="DQ39" s="1" t="s">
        <v>121</v>
      </c>
      <c r="DR39" s="1" t="s">
        <v>121</v>
      </c>
      <c r="DS39" s="1" t="s">
        <v>121</v>
      </c>
      <c r="DT39" s="1" t="s">
        <v>121</v>
      </c>
      <c r="DU39" s="1" t="s">
        <v>121</v>
      </c>
      <c r="DV39" s="1" t="s">
        <v>121</v>
      </c>
      <c r="DW39" s="1" t="s">
        <v>121</v>
      </c>
      <c r="DX39" s="1" t="s">
        <v>121</v>
      </c>
      <c r="DY39" s="1" t="s">
        <v>121</v>
      </c>
      <c r="DZ39" s="1" t="s">
        <v>121</v>
      </c>
      <c r="EA39" s="1" t="s">
        <v>121</v>
      </c>
      <c r="EB39" s="1" t="s">
        <v>121</v>
      </c>
      <c r="EC39" s="1" t="s">
        <v>121</v>
      </c>
      <c r="ED39" s="1" t="s">
        <v>121</v>
      </c>
      <c r="EE39" s="1" t="s">
        <v>121</v>
      </c>
      <c r="EF39" s="1" t="s">
        <v>121</v>
      </c>
      <c r="EG39" s="1" t="s">
        <v>121</v>
      </c>
      <c r="EH39" s="1" t="s">
        <v>121</v>
      </c>
      <c r="EI39" s="1" t="s">
        <v>121</v>
      </c>
      <c r="EJ39" s="1" t="s">
        <v>121</v>
      </c>
      <c r="EK39" s="1" t="s">
        <v>121</v>
      </c>
      <c r="EL39" s="1" t="s">
        <v>121</v>
      </c>
      <c r="EM39" s="1" t="s">
        <v>121</v>
      </c>
      <c r="EN39" s="1" t="s">
        <v>121</v>
      </c>
      <c r="EO39" s="1" t="s">
        <v>121</v>
      </c>
    </row>
    <row r="40" spans="1:145" s="5" customFormat="1" x14ac:dyDescent="0.25">
      <c r="A40" s="72">
        <v>40</v>
      </c>
      <c r="B40" s="141" t="s">
        <v>407</v>
      </c>
      <c r="C40" s="91">
        <v>6.3499999999999945E-3</v>
      </c>
      <c r="D40" s="86">
        <v>2.7200000000000002E-3</v>
      </c>
      <c r="E40" s="266">
        <v>-3.1569999999999987E-2</v>
      </c>
      <c r="F40" s="342">
        <v>0.17288000000000001</v>
      </c>
      <c r="G40" s="342">
        <v>0.16653000000000001</v>
      </c>
      <c r="H40" s="342">
        <v>0.19528999999999999</v>
      </c>
      <c r="I40" s="342">
        <v>0.20444999999999999</v>
      </c>
      <c r="J40" s="200">
        <v>0.17016000000000001</v>
      </c>
      <c r="K40" s="200">
        <v>0.17011999999999999</v>
      </c>
      <c r="L40" s="200">
        <v>0.18346999999999999</v>
      </c>
      <c r="M40" s="200">
        <v>0.1862</v>
      </c>
      <c r="N40" s="200">
        <v>0.15347</v>
      </c>
      <c r="O40" s="200">
        <v>0.16683000000000001</v>
      </c>
      <c r="P40" s="200">
        <v>0.17341999999999999</v>
      </c>
      <c r="Q40" s="200">
        <v>0.18129999999999999</v>
      </c>
      <c r="R40" s="410"/>
      <c r="S40" s="410"/>
      <c r="T40" s="410"/>
      <c r="U40" s="200">
        <v>0.1115</v>
      </c>
      <c r="V40" s="200">
        <v>0.10237</v>
      </c>
      <c r="W40" s="200">
        <v>9.8000000000000004E-2</v>
      </c>
      <c r="X40" s="200">
        <v>0.10204000000000001</v>
      </c>
      <c r="Y40" s="200">
        <v>0.10600999999999999</v>
      </c>
      <c r="Z40" s="200">
        <v>9.783E-2</v>
      </c>
      <c r="AA40" s="200">
        <v>0.10780000000000001</v>
      </c>
      <c r="AB40" s="200">
        <v>0.10403999999999999</v>
      </c>
      <c r="AC40" s="200">
        <v>0.11508</v>
      </c>
      <c r="AD40" s="200">
        <v>9.9709999999999993E-2</v>
      </c>
      <c r="AE40" s="200">
        <v>0.10373</v>
      </c>
      <c r="AF40" s="200">
        <v>0.10425</v>
      </c>
      <c r="AG40" s="200">
        <v>0.10100000000000001</v>
      </c>
      <c r="AH40" s="200">
        <v>9.2740000000000003E-2</v>
      </c>
      <c r="AI40" s="200">
        <v>0.10226</v>
      </c>
      <c r="AJ40" s="200">
        <v>0.10781</v>
      </c>
      <c r="AK40" s="200">
        <v>0.10050000000000001</v>
      </c>
      <c r="AL40" s="200">
        <v>0.10287</v>
      </c>
      <c r="AM40" s="200">
        <v>8.9499999999999996E-2</v>
      </c>
      <c r="AN40" s="200">
        <v>8.9899999999999994E-2</v>
      </c>
      <c r="AO40" s="200">
        <v>9.1999999999999998E-2</v>
      </c>
      <c r="AP40" s="200">
        <v>8.7800000000000003E-2</v>
      </c>
      <c r="AQ40" s="200">
        <v>8.7599999999999997E-2</v>
      </c>
      <c r="AR40" s="200">
        <v>8.8800000000000004E-2</v>
      </c>
      <c r="AS40" s="200">
        <v>8.7999999999999995E-2</v>
      </c>
      <c r="AT40" s="200">
        <v>8.4199999999999997E-2</v>
      </c>
      <c r="AU40" s="200">
        <v>9.4799999999999995E-2</v>
      </c>
      <c r="AV40" s="200">
        <v>9.5000000000000001E-2</v>
      </c>
      <c r="AW40" s="200">
        <v>0.08</v>
      </c>
      <c r="AX40" s="13">
        <v>9.0899999999999995E-2</v>
      </c>
      <c r="AY40" s="10">
        <v>9.2200000000000004E-2</v>
      </c>
      <c r="AZ40" s="10">
        <v>9.11E-2</v>
      </c>
      <c r="BA40" s="10">
        <v>8.3000000000000004E-2</v>
      </c>
      <c r="BB40" s="10" t="s">
        <v>121</v>
      </c>
      <c r="BC40" s="10" t="s">
        <v>121</v>
      </c>
      <c r="BD40" s="10" t="s">
        <v>121</v>
      </c>
      <c r="BE40" s="10" t="s">
        <v>121</v>
      </c>
      <c r="BF40" s="10" t="s">
        <v>121</v>
      </c>
      <c r="BG40" s="10" t="s">
        <v>121</v>
      </c>
      <c r="BH40" s="10" t="s">
        <v>121</v>
      </c>
      <c r="BI40" s="10" t="s">
        <v>121</v>
      </c>
      <c r="BJ40" s="10" t="s">
        <v>121</v>
      </c>
      <c r="BK40" s="10" t="s">
        <v>121</v>
      </c>
      <c r="BL40" s="10" t="s">
        <v>121</v>
      </c>
      <c r="BM40" s="5" t="s">
        <v>121</v>
      </c>
      <c r="BN40" s="5" t="s">
        <v>121</v>
      </c>
      <c r="BO40" s="5" t="s">
        <v>121</v>
      </c>
      <c r="BP40" s="5" t="s">
        <v>121</v>
      </c>
      <c r="BQ40" s="5" t="s">
        <v>121</v>
      </c>
      <c r="BR40" s="5" t="s">
        <v>121</v>
      </c>
      <c r="BS40" s="5" t="s">
        <v>121</v>
      </c>
      <c r="BT40" s="5" t="s">
        <v>121</v>
      </c>
      <c r="BU40" s="5" t="s">
        <v>121</v>
      </c>
      <c r="BV40" s="5" t="s">
        <v>121</v>
      </c>
      <c r="BW40" s="5" t="s">
        <v>121</v>
      </c>
      <c r="BX40" s="5" t="s">
        <v>121</v>
      </c>
      <c r="BY40" s="5" t="s">
        <v>121</v>
      </c>
      <c r="BZ40" s="5" t="s">
        <v>121</v>
      </c>
      <c r="CA40" s="5" t="s">
        <v>121</v>
      </c>
      <c r="CB40" s="5" t="s">
        <v>121</v>
      </c>
      <c r="CC40" s="5" t="s">
        <v>121</v>
      </c>
      <c r="CD40" s="5" t="s">
        <v>121</v>
      </c>
      <c r="CE40" s="5" t="s">
        <v>121</v>
      </c>
      <c r="CF40" s="5" t="s">
        <v>121</v>
      </c>
      <c r="CG40" s="5" t="s">
        <v>121</v>
      </c>
      <c r="CH40" s="5" t="s">
        <v>121</v>
      </c>
      <c r="CI40" s="5" t="s">
        <v>121</v>
      </c>
      <c r="CJ40" s="5" t="s">
        <v>121</v>
      </c>
      <c r="CK40" s="5" t="s">
        <v>121</v>
      </c>
      <c r="CL40" s="5" t="s">
        <v>121</v>
      </c>
      <c r="CM40" s="5" t="s">
        <v>121</v>
      </c>
      <c r="CN40" s="5" t="s">
        <v>121</v>
      </c>
      <c r="CO40" s="5" t="s">
        <v>121</v>
      </c>
      <c r="CP40" s="5" t="s">
        <v>121</v>
      </c>
      <c r="CQ40" s="5" t="s">
        <v>121</v>
      </c>
      <c r="CR40" s="5" t="s">
        <v>121</v>
      </c>
      <c r="CS40" s="5" t="s">
        <v>121</v>
      </c>
      <c r="CT40" s="5" t="s">
        <v>121</v>
      </c>
      <c r="CU40" s="5" t="s">
        <v>121</v>
      </c>
      <c r="CV40" s="5" t="s">
        <v>121</v>
      </c>
      <c r="CW40" s="5" t="s">
        <v>121</v>
      </c>
      <c r="CX40" s="5" t="s">
        <v>121</v>
      </c>
      <c r="CY40" s="5" t="s">
        <v>121</v>
      </c>
      <c r="CZ40" s="5" t="s">
        <v>121</v>
      </c>
      <c r="DA40" s="5" t="s">
        <v>121</v>
      </c>
      <c r="DB40" s="5" t="s">
        <v>121</v>
      </c>
      <c r="DC40" s="5" t="s">
        <v>121</v>
      </c>
      <c r="DD40" s="5" t="s">
        <v>121</v>
      </c>
      <c r="DE40" s="5" t="s">
        <v>121</v>
      </c>
      <c r="DF40" s="5" t="s">
        <v>121</v>
      </c>
      <c r="DG40" s="5" t="s">
        <v>121</v>
      </c>
      <c r="DH40" s="5" t="s">
        <v>121</v>
      </c>
      <c r="DI40" s="5" t="s">
        <v>121</v>
      </c>
      <c r="DJ40" s="5" t="s">
        <v>121</v>
      </c>
      <c r="DK40" s="5" t="s">
        <v>121</v>
      </c>
      <c r="DL40" s="5" t="s">
        <v>121</v>
      </c>
      <c r="DM40" s="5" t="s">
        <v>121</v>
      </c>
      <c r="DN40" s="5" t="s">
        <v>121</v>
      </c>
      <c r="DO40" s="5" t="s">
        <v>121</v>
      </c>
      <c r="DP40" s="5" t="s">
        <v>121</v>
      </c>
      <c r="DQ40" s="5" t="s">
        <v>121</v>
      </c>
      <c r="DR40" s="5" t="s">
        <v>121</v>
      </c>
      <c r="DS40" s="5" t="s">
        <v>121</v>
      </c>
      <c r="DT40" s="5" t="s">
        <v>121</v>
      </c>
      <c r="DU40" s="5" t="s">
        <v>121</v>
      </c>
      <c r="DV40" s="5" t="s">
        <v>121</v>
      </c>
      <c r="DW40" s="5" t="s">
        <v>121</v>
      </c>
      <c r="DX40" s="5" t="s">
        <v>121</v>
      </c>
      <c r="DY40" s="5" t="s">
        <v>121</v>
      </c>
      <c r="DZ40" s="5" t="s">
        <v>121</v>
      </c>
      <c r="EA40" s="5" t="s">
        <v>121</v>
      </c>
      <c r="EB40" s="5" t="s">
        <v>121</v>
      </c>
      <c r="EC40" s="5" t="s">
        <v>121</v>
      </c>
      <c r="ED40" s="5" t="s">
        <v>121</v>
      </c>
      <c r="EE40" s="5" t="s">
        <v>121</v>
      </c>
      <c r="EF40" s="5" t="s">
        <v>121</v>
      </c>
      <c r="EG40" s="5" t="s">
        <v>121</v>
      </c>
      <c r="EH40" s="5" t="s">
        <v>121</v>
      </c>
      <c r="EI40" s="5" t="s">
        <v>121</v>
      </c>
      <c r="EJ40" s="5" t="s">
        <v>121</v>
      </c>
      <c r="EK40" s="5" t="s">
        <v>121</v>
      </c>
      <c r="EL40" s="5" t="s">
        <v>121</v>
      </c>
      <c r="EM40" s="5" t="s">
        <v>121</v>
      </c>
      <c r="EN40" s="5" t="s">
        <v>121</v>
      </c>
      <c r="EO40" s="5" t="s">
        <v>121</v>
      </c>
    </row>
    <row r="41" spans="1:145" x14ac:dyDescent="0.25">
      <c r="A41" s="72">
        <v>41</v>
      </c>
      <c r="B41" s="141" t="s">
        <v>252</v>
      </c>
      <c r="C41" s="91">
        <v>6.3499999999999945E-3</v>
      </c>
      <c r="D41" s="86">
        <v>2.7200000000000002E-3</v>
      </c>
      <c r="E41" s="266">
        <v>-3.1569999999999987E-2</v>
      </c>
      <c r="F41" s="342">
        <v>0.17288000000000001</v>
      </c>
      <c r="G41" s="342">
        <v>0.16653000000000001</v>
      </c>
      <c r="H41" s="342">
        <v>0.19528999999999999</v>
      </c>
      <c r="I41" s="342">
        <v>0.20444999999999999</v>
      </c>
      <c r="J41" s="200">
        <v>0.17016000000000001</v>
      </c>
      <c r="K41" s="200">
        <v>0.17011999999999999</v>
      </c>
      <c r="L41" s="200">
        <v>0.18346999999999999</v>
      </c>
      <c r="M41" s="200">
        <v>0.1862</v>
      </c>
      <c r="N41" s="200">
        <v>0.15347</v>
      </c>
      <c r="O41" s="200">
        <v>0.16683000000000001</v>
      </c>
      <c r="P41" s="200">
        <v>0.17341999999999999</v>
      </c>
      <c r="Q41" s="200">
        <v>0.18129999999999999</v>
      </c>
      <c r="R41" s="410"/>
      <c r="S41" s="410"/>
      <c r="T41" s="410"/>
      <c r="U41" s="200">
        <v>0.1115</v>
      </c>
      <c r="V41" s="200">
        <v>0.10237</v>
      </c>
      <c r="W41" s="200">
        <v>9.8000000000000004E-2</v>
      </c>
      <c r="X41" s="200">
        <v>0.10204000000000001</v>
      </c>
      <c r="Y41" s="200">
        <v>0.10600999999999999</v>
      </c>
      <c r="Z41" s="200">
        <v>9.783E-2</v>
      </c>
      <c r="AA41" s="200">
        <v>0.10780000000000001</v>
      </c>
      <c r="AB41" s="200">
        <v>0.10403999999999999</v>
      </c>
      <c r="AC41" s="200">
        <v>0.11508</v>
      </c>
      <c r="AD41" s="200">
        <v>9.9709999999999993E-2</v>
      </c>
      <c r="AE41" s="200">
        <v>0.10373</v>
      </c>
      <c r="AF41" s="200">
        <v>0.10425</v>
      </c>
      <c r="AG41" s="200">
        <v>0.10100000000000001</v>
      </c>
      <c r="AH41" s="200">
        <v>9.2740000000000003E-2</v>
      </c>
      <c r="AI41" s="200">
        <v>0.10226</v>
      </c>
      <c r="AJ41" s="200">
        <v>0.10781</v>
      </c>
      <c r="AK41" s="200">
        <v>0.10050000000000001</v>
      </c>
      <c r="AL41" s="200">
        <v>0.10287</v>
      </c>
      <c r="AM41" s="200">
        <v>8.9499999999999996E-2</v>
      </c>
      <c r="AN41" s="200">
        <v>8.9899999999999994E-2</v>
      </c>
      <c r="AO41" s="200">
        <v>9.1999999999999998E-2</v>
      </c>
      <c r="AP41" s="200">
        <v>8.7800000000000003E-2</v>
      </c>
      <c r="AQ41" s="200">
        <v>8.7599999999999997E-2</v>
      </c>
      <c r="AR41" s="200">
        <v>8.8800000000000004E-2</v>
      </c>
      <c r="AS41" s="200">
        <v>8.7999999999999995E-2</v>
      </c>
      <c r="AT41" s="200">
        <v>8.4199999999999997E-2</v>
      </c>
      <c r="AU41" s="200">
        <v>9.4799999999999995E-2</v>
      </c>
      <c r="AV41" s="200">
        <v>9.5000000000000001E-2</v>
      </c>
      <c r="AW41" s="200">
        <v>0.08</v>
      </c>
      <c r="AX41" s="79">
        <v>9.0899999999999995E-2</v>
      </c>
      <c r="AY41" s="1">
        <v>9.2399999999999996E-2</v>
      </c>
      <c r="AZ41" s="1">
        <v>9.1300000000000006E-2</v>
      </c>
      <c r="BA41" s="1">
        <v>8.3000000000000004E-2</v>
      </c>
      <c r="BB41" s="1" t="s">
        <v>121</v>
      </c>
      <c r="BC41" s="1" t="s">
        <v>121</v>
      </c>
      <c r="BD41" s="1" t="s">
        <v>121</v>
      </c>
      <c r="BE41" s="1" t="s">
        <v>121</v>
      </c>
      <c r="BF41" s="1" t="s">
        <v>121</v>
      </c>
      <c r="BG41" s="1" t="s">
        <v>121</v>
      </c>
      <c r="BH41" s="1" t="s">
        <v>121</v>
      </c>
      <c r="BI41" s="1" t="s">
        <v>121</v>
      </c>
      <c r="BJ41" s="1" t="s">
        <v>121</v>
      </c>
      <c r="BK41" s="1" t="s">
        <v>121</v>
      </c>
      <c r="BL41" s="1" t="s">
        <v>121</v>
      </c>
      <c r="BM41" s="1" t="s">
        <v>121</v>
      </c>
      <c r="BN41" s="1" t="s">
        <v>121</v>
      </c>
      <c r="BO41" s="1" t="s">
        <v>121</v>
      </c>
      <c r="BP41" s="1" t="s">
        <v>121</v>
      </c>
      <c r="BQ41" s="1" t="s">
        <v>121</v>
      </c>
      <c r="BR41" s="1" t="s">
        <v>121</v>
      </c>
      <c r="BS41" s="1" t="s">
        <v>121</v>
      </c>
      <c r="BT41" s="1" t="s">
        <v>121</v>
      </c>
      <c r="BU41" s="1" t="s">
        <v>121</v>
      </c>
      <c r="BV41" s="1" t="s">
        <v>121</v>
      </c>
      <c r="BW41" s="1" t="s">
        <v>121</v>
      </c>
      <c r="BX41" s="1" t="s">
        <v>121</v>
      </c>
      <c r="BY41" s="1" t="s">
        <v>121</v>
      </c>
      <c r="BZ41" s="1" t="s">
        <v>121</v>
      </c>
      <c r="CA41" s="1" t="s">
        <v>121</v>
      </c>
      <c r="CB41" s="1" t="s">
        <v>121</v>
      </c>
      <c r="CC41" s="1" t="s">
        <v>121</v>
      </c>
      <c r="CD41" s="1" t="s">
        <v>121</v>
      </c>
      <c r="CE41" s="1" t="s">
        <v>121</v>
      </c>
      <c r="CF41" s="1" t="s">
        <v>121</v>
      </c>
      <c r="CG41" s="1" t="s">
        <v>121</v>
      </c>
      <c r="CH41" s="1" t="s">
        <v>121</v>
      </c>
      <c r="CI41" s="1" t="s">
        <v>121</v>
      </c>
      <c r="CJ41" s="1" t="s">
        <v>121</v>
      </c>
      <c r="CK41" s="1" t="s">
        <v>121</v>
      </c>
      <c r="CL41" s="1" t="s">
        <v>121</v>
      </c>
      <c r="CM41" s="1" t="s">
        <v>121</v>
      </c>
      <c r="CN41" s="1" t="s">
        <v>121</v>
      </c>
      <c r="CO41" s="1" t="s">
        <v>121</v>
      </c>
      <c r="CP41" s="1" t="s">
        <v>121</v>
      </c>
      <c r="CQ41" s="1" t="s">
        <v>121</v>
      </c>
      <c r="CR41" s="1" t="s">
        <v>121</v>
      </c>
      <c r="CS41" s="1" t="s">
        <v>121</v>
      </c>
      <c r="CT41" s="1" t="s">
        <v>121</v>
      </c>
      <c r="CU41" s="1" t="s">
        <v>121</v>
      </c>
      <c r="CV41" s="1" t="s">
        <v>121</v>
      </c>
      <c r="CW41" s="1" t="s">
        <v>121</v>
      </c>
      <c r="CX41" s="1" t="s">
        <v>121</v>
      </c>
      <c r="CY41" s="1" t="s">
        <v>121</v>
      </c>
      <c r="CZ41" s="1" t="s">
        <v>121</v>
      </c>
      <c r="DA41" s="1" t="s">
        <v>121</v>
      </c>
      <c r="DB41" s="1" t="s">
        <v>121</v>
      </c>
      <c r="DC41" s="1" t="s">
        <v>121</v>
      </c>
      <c r="DD41" s="1" t="s">
        <v>121</v>
      </c>
      <c r="DE41" s="1" t="s">
        <v>121</v>
      </c>
      <c r="DF41" s="1" t="s">
        <v>121</v>
      </c>
      <c r="DG41" s="1" t="s">
        <v>121</v>
      </c>
      <c r="DH41" s="1" t="s">
        <v>121</v>
      </c>
      <c r="DI41" s="1" t="s">
        <v>121</v>
      </c>
      <c r="DJ41" s="1" t="s">
        <v>121</v>
      </c>
      <c r="DK41" s="1" t="s">
        <v>121</v>
      </c>
      <c r="DL41" s="1" t="s">
        <v>121</v>
      </c>
      <c r="DM41" s="1" t="s">
        <v>121</v>
      </c>
      <c r="DN41" s="1" t="s">
        <v>121</v>
      </c>
      <c r="DO41" s="1" t="s">
        <v>121</v>
      </c>
      <c r="DP41" s="1" t="s">
        <v>121</v>
      </c>
      <c r="DQ41" s="1" t="s">
        <v>121</v>
      </c>
      <c r="DR41" s="1" t="s">
        <v>121</v>
      </c>
      <c r="DS41" s="1" t="s">
        <v>121</v>
      </c>
      <c r="DT41" s="1" t="s">
        <v>121</v>
      </c>
      <c r="DU41" s="1" t="s">
        <v>121</v>
      </c>
      <c r="DV41" s="1" t="s">
        <v>121</v>
      </c>
      <c r="DW41" s="1" t="s">
        <v>121</v>
      </c>
      <c r="DX41" s="1" t="s">
        <v>121</v>
      </c>
      <c r="DY41" s="1" t="s">
        <v>121</v>
      </c>
      <c r="DZ41" s="1" t="s">
        <v>121</v>
      </c>
      <c r="EA41" s="1" t="s">
        <v>121</v>
      </c>
      <c r="EB41" s="1" t="s">
        <v>121</v>
      </c>
      <c r="EC41" s="1" t="s">
        <v>121</v>
      </c>
      <c r="ED41" s="1" t="s">
        <v>121</v>
      </c>
      <c r="EE41" s="1" t="s">
        <v>121</v>
      </c>
      <c r="EF41" s="1" t="s">
        <v>121</v>
      </c>
      <c r="EG41" s="1" t="s">
        <v>121</v>
      </c>
      <c r="EH41" s="1" t="s">
        <v>121</v>
      </c>
      <c r="EI41" s="1" t="s">
        <v>121</v>
      </c>
      <c r="EJ41" s="1" t="s">
        <v>121</v>
      </c>
      <c r="EK41" s="1" t="s">
        <v>121</v>
      </c>
      <c r="EL41" s="1" t="s">
        <v>121</v>
      </c>
      <c r="EM41" s="1" t="s">
        <v>121</v>
      </c>
      <c r="EN41" s="1" t="s">
        <v>121</v>
      </c>
      <c r="EO41" s="1" t="s">
        <v>121</v>
      </c>
    </row>
    <row r="42" spans="1:145" x14ac:dyDescent="0.25">
      <c r="A42" s="72">
        <v>42</v>
      </c>
      <c r="B42" s="141" t="s">
        <v>253</v>
      </c>
      <c r="C42" s="91">
        <v>1.643E-2</v>
      </c>
      <c r="D42" s="86">
        <v>-1.0300000000000004E-2</v>
      </c>
      <c r="E42" s="266">
        <v>-3.8799999999999946E-3</v>
      </c>
      <c r="F42" s="342">
        <v>0.21456</v>
      </c>
      <c r="G42" s="342">
        <v>0.19813</v>
      </c>
      <c r="H42" s="342">
        <v>0.22236</v>
      </c>
      <c r="I42" s="342">
        <v>0.21844</v>
      </c>
      <c r="J42" s="200">
        <v>0.22486</v>
      </c>
      <c r="K42" s="200">
        <v>0.20901</v>
      </c>
      <c r="L42" s="200">
        <v>0.21228</v>
      </c>
      <c r="M42" s="200">
        <v>0.2031</v>
      </c>
      <c r="N42" s="200">
        <v>0.22208</v>
      </c>
      <c r="O42" s="200">
        <v>0.22583</v>
      </c>
      <c r="P42" s="200">
        <v>0.21770999999999999</v>
      </c>
      <c r="Q42" s="200">
        <v>0.20300000000000001</v>
      </c>
      <c r="R42" s="410"/>
      <c r="S42" s="410"/>
      <c r="T42" s="410"/>
      <c r="U42" s="200">
        <v>0.1346</v>
      </c>
      <c r="V42" s="200">
        <v>0.13153000000000001</v>
      </c>
      <c r="W42" s="200">
        <v>0.13150000000000001</v>
      </c>
      <c r="X42" s="200">
        <v>0.13195999999999999</v>
      </c>
      <c r="Y42" s="200">
        <v>0.13325999999999999</v>
      </c>
      <c r="Z42" s="200">
        <v>0.13095000000000001</v>
      </c>
      <c r="AA42" s="200">
        <v>0.14757999999999999</v>
      </c>
      <c r="AB42" s="200">
        <v>0.13546</v>
      </c>
      <c r="AC42" s="200">
        <v>0.14762</v>
      </c>
      <c r="AD42" s="200">
        <v>0.14612</v>
      </c>
      <c r="AE42" s="200">
        <v>0.14752999999999999</v>
      </c>
      <c r="AF42" s="200">
        <v>0.14532999999999999</v>
      </c>
      <c r="AG42" s="200">
        <v>0.13669999999999999</v>
      </c>
      <c r="AH42" s="200">
        <v>0.13444</v>
      </c>
      <c r="AI42" s="200">
        <v>0.1472</v>
      </c>
      <c r="AJ42" s="200">
        <v>0.15259</v>
      </c>
      <c r="AK42" s="200">
        <v>0.14199999999999999</v>
      </c>
      <c r="AL42" s="200">
        <v>0.14554</v>
      </c>
      <c r="AM42" s="200">
        <v>0.13900000000000001</v>
      </c>
      <c r="AN42" s="200">
        <v>0.1351</v>
      </c>
      <c r="AO42" s="200">
        <v>0.14199999999999999</v>
      </c>
      <c r="AP42" s="200">
        <v>0.1429</v>
      </c>
      <c r="AQ42" s="200">
        <v>0.1434</v>
      </c>
      <c r="AR42" s="200">
        <v>0.14779999999999999</v>
      </c>
      <c r="AS42" s="200">
        <v>0.15</v>
      </c>
      <c r="AT42" s="200">
        <v>0.14760000000000001</v>
      </c>
      <c r="AU42" s="200">
        <v>0.13150000000000001</v>
      </c>
      <c r="AV42" s="200">
        <v>0.13270000000000001</v>
      </c>
      <c r="AW42" s="200">
        <v>0.129</v>
      </c>
      <c r="AX42" s="79">
        <v>0.1326</v>
      </c>
      <c r="AY42" s="1">
        <v>0.13089999999999999</v>
      </c>
      <c r="AZ42" s="1">
        <v>0.1285</v>
      </c>
      <c r="BA42" s="1">
        <v>0.13100000000000001</v>
      </c>
      <c r="BB42" s="1" t="s">
        <v>121</v>
      </c>
      <c r="BC42" s="1" t="s">
        <v>121</v>
      </c>
      <c r="BD42" s="1" t="s">
        <v>121</v>
      </c>
      <c r="BE42" s="1" t="s">
        <v>121</v>
      </c>
      <c r="BF42" s="1" t="s">
        <v>121</v>
      </c>
      <c r="BG42" s="1" t="s">
        <v>121</v>
      </c>
      <c r="BH42" s="1" t="s">
        <v>121</v>
      </c>
      <c r="BI42" s="1" t="s">
        <v>121</v>
      </c>
      <c r="BJ42" s="1" t="s">
        <v>121</v>
      </c>
      <c r="BK42" s="1" t="s">
        <v>121</v>
      </c>
      <c r="BL42" s="1" t="s">
        <v>121</v>
      </c>
      <c r="BM42" s="1" t="s">
        <v>121</v>
      </c>
      <c r="BN42" s="1" t="s">
        <v>121</v>
      </c>
      <c r="BO42" s="1" t="s">
        <v>121</v>
      </c>
      <c r="BP42" s="1" t="s">
        <v>121</v>
      </c>
      <c r="BQ42" s="1" t="s">
        <v>121</v>
      </c>
      <c r="BR42" s="1" t="s">
        <v>121</v>
      </c>
      <c r="BS42" s="1" t="s">
        <v>121</v>
      </c>
      <c r="BT42" s="1" t="s">
        <v>121</v>
      </c>
      <c r="BU42" s="1" t="s">
        <v>121</v>
      </c>
      <c r="BV42" s="1" t="s">
        <v>121</v>
      </c>
      <c r="BW42" s="1" t="s">
        <v>121</v>
      </c>
      <c r="BX42" s="1" t="s">
        <v>121</v>
      </c>
      <c r="BY42" s="1" t="s">
        <v>121</v>
      </c>
      <c r="BZ42" s="1" t="s">
        <v>121</v>
      </c>
      <c r="CA42" s="1" t="s">
        <v>121</v>
      </c>
      <c r="CB42" s="1" t="s">
        <v>121</v>
      </c>
      <c r="CC42" s="1" t="s">
        <v>121</v>
      </c>
      <c r="CD42" s="1" t="s">
        <v>121</v>
      </c>
      <c r="CE42" s="1" t="s">
        <v>121</v>
      </c>
      <c r="CF42" s="1" t="s">
        <v>121</v>
      </c>
      <c r="CG42" s="1" t="s">
        <v>121</v>
      </c>
      <c r="CH42" s="1" t="s">
        <v>121</v>
      </c>
      <c r="CI42" s="1" t="s">
        <v>121</v>
      </c>
      <c r="CJ42" s="1" t="s">
        <v>121</v>
      </c>
      <c r="CK42" s="1" t="s">
        <v>121</v>
      </c>
      <c r="CL42" s="1" t="s">
        <v>121</v>
      </c>
      <c r="CM42" s="1" t="s">
        <v>121</v>
      </c>
      <c r="CN42" s="1" t="s">
        <v>121</v>
      </c>
      <c r="CO42" s="1" t="s">
        <v>121</v>
      </c>
      <c r="CP42" s="1" t="s">
        <v>121</v>
      </c>
      <c r="CQ42" s="1" t="s">
        <v>121</v>
      </c>
      <c r="CR42" s="1" t="s">
        <v>121</v>
      </c>
      <c r="CS42" s="1" t="s">
        <v>121</v>
      </c>
      <c r="CT42" s="1" t="s">
        <v>121</v>
      </c>
      <c r="CU42" s="1" t="s">
        <v>121</v>
      </c>
      <c r="CV42" s="1" t="s">
        <v>121</v>
      </c>
      <c r="CW42" s="1" t="s">
        <v>121</v>
      </c>
      <c r="CX42" s="1" t="s">
        <v>121</v>
      </c>
      <c r="CY42" s="1" t="s">
        <v>121</v>
      </c>
      <c r="CZ42" s="1" t="s">
        <v>121</v>
      </c>
      <c r="DA42" s="1" t="s">
        <v>121</v>
      </c>
      <c r="DB42" s="1" t="s">
        <v>121</v>
      </c>
      <c r="DC42" s="1" t="s">
        <v>121</v>
      </c>
      <c r="DD42" s="1" t="s">
        <v>121</v>
      </c>
      <c r="DE42" s="1" t="s">
        <v>121</v>
      </c>
      <c r="DF42" s="1" t="s">
        <v>121</v>
      </c>
      <c r="DG42" s="1" t="s">
        <v>121</v>
      </c>
      <c r="DH42" s="1" t="s">
        <v>121</v>
      </c>
      <c r="DI42" s="1" t="s">
        <v>121</v>
      </c>
      <c r="DJ42" s="1" t="s">
        <v>121</v>
      </c>
      <c r="DK42" s="1" t="s">
        <v>121</v>
      </c>
      <c r="DL42" s="1" t="s">
        <v>121</v>
      </c>
      <c r="DM42" s="1" t="s">
        <v>121</v>
      </c>
      <c r="DN42" s="1" t="s">
        <v>121</v>
      </c>
      <c r="DO42" s="1" t="s">
        <v>121</v>
      </c>
      <c r="DP42" s="1" t="s">
        <v>121</v>
      </c>
      <c r="DQ42" s="1" t="s">
        <v>121</v>
      </c>
      <c r="DR42" s="1" t="s">
        <v>121</v>
      </c>
      <c r="DS42" s="1" t="s">
        <v>121</v>
      </c>
      <c r="DT42" s="1" t="s">
        <v>121</v>
      </c>
      <c r="DU42" s="1" t="s">
        <v>121</v>
      </c>
      <c r="DV42" s="1" t="s">
        <v>121</v>
      </c>
      <c r="DW42" s="1" t="s">
        <v>121</v>
      </c>
      <c r="DX42" s="1" t="s">
        <v>121</v>
      </c>
      <c r="DY42" s="1" t="s">
        <v>121</v>
      </c>
      <c r="DZ42" s="1" t="s">
        <v>121</v>
      </c>
      <c r="EA42" s="1" t="s">
        <v>121</v>
      </c>
      <c r="EB42" s="1" t="s">
        <v>121</v>
      </c>
      <c r="EC42" s="1" t="s">
        <v>121</v>
      </c>
      <c r="ED42" s="1" t="s">
        <v>121</v>
      </c>
      <c r="EE42" s="1" t="s">
        <v>121</v>
      </c>
      <c r="EF42" s="1" t="s">
        <v>121</v>
      </c>
      <c r="EG42" s="1" t="s">
        <v>121</v>
      </c>
      <c r="EH42" s="1" t="s">
        <v>121</v>
      </c>
      <c r="EI42" s="1" t="s">
        <v>121</v>
      </c>
      <c r="EJ42" s="1" t="s">
        <v>121</v>
      </c>
      <c r="EK42" s="1" t="s">
        <v>121</v>
      </c>
      <c r="EL42" s="1" t="s">
        <v>121</v>
      </c>
      <c r="EM42" s="1" t="s">
        <v>121</v>
      </c>
      <c r="EN42" s="1" t="s">
        <v>121</v>
      </c>
      <c r="EO42" s="1" t="s">
        <v>121</v>
      </c>
    </row>
  </sheetData>
  <customSheetViews>
    <customSheetView guid="{0284F5E2-DB98-486F-B3F7-128FA2A0A465}" showGridLines="0" fitToPage="1">
      <pane ySplit="5" topLeftCell="A6" activePane="bottomLeft" state="frozen"/>
      <selection pane="bottomLeft" activeCell="F42" sqref="F42"/>
      <pageMargins left="0.23622047244094491" right="0.23622047244094491" top="0.74803149606299213" bottom="0.74803149606299213" header="0.31496062992125984" footer="0.31496062992125984"/>
      <pageSetup paperSize="9" scale="14" orientation="portrait" r:id="rId1"/>
    </customSheetView>
    <customSheetView guid="{E4AC4991-F371-4BAF-8335-AD017EF379C0}" showGridLines="0" fitToPage="1">
      <pane ySplit="5" topLeftCell="A30" activePane="bottomLeft" state="frozen"/>
      <selection pane="bottomLeft" activeCell="F42" sqref="F42"/>
      <pageMargins left="0.23622047244094491" right="0.23622047244094491" top="0.74803149606299213" bottom="0.74803149606299213" header="0.31496062992125984" footer="0.31496062992125984"/>
      <pageSetup paperSize="9" scale="14" orientation="portrait" r:id="rId2"/>
    </customSheetView>
  </customSheetViews>
  <mergeCells count="127">
    <mergeCell ref="C5:E5"/>
    <mergeCell ref="AM7:AM8"/>
    <mergeCell ref="AM37:AM38"/>
    <mergeCell ref="AL7:AL8"/>
    <mergeCell ref="AL37:AL38"/>
    <mergeCell ref="AK7:AK8"/>
    <mergeCell ref="AK37:AK38"/>
    <mergeCell ref="AJ7:AJ8"/>
    <mergeCell ref="AJ37:AJ38"/>
    <mergeCell ref="AI7:AI8"/>
    <mergeCell ref="AI37:AI38"/>
    <mergeCell ref="AH7:AH8"/>
    <mergeCell ref="AH37:AH38"/>
    <mergeCell ref="AG7:AG8"/>
    <mergeCell ref="AG37:AG38"/>
    <mergeCell ref="Z7:Z8"/>
    <mergeCell ref="R37:R38"/>
    <mergeCell ref="Q7:Q8"/>
    <mergeCell ref="U37:U38"/>
    <mergeCell ref="K7:K8"/>
    <mergeCell ref="K37:K38"/>
    <mergeCell ref="J7:J8"/>
    <mergeCell ref="J37:J38"/>
    <mergeCell ref="I7:I8"/>
    <mergeCell ref="AZ7:AZ8"/>
    <mergeCell ref="AZ37:AZ38"/>
    <mergeCell ref="BB37:BB38"/>
    <mergeCell ref="AA37:AA38"/>
    <mergeCell ref="O7:O8"/>
    <mergeCell ref="O37:O38"/>
    <mergeCell ref="U7:U8"/>
    <mergeCell ref="AQ37:AQ38"/>
    <mergeCell ref="AP7:AP8"/>
    <mergeCell ref="AA7:AA8"/>
    <mergeCell ref="AC7:AC8"/>
    <mergeCell ref="AC37:AC38"/>
    <mergeCell ref="AB7:AB8"/>
    <mergeCell ref="AB37:AB38"/>
    <mergeCell ref="Q37:Q38"/>
    <mergeCell ref="P7:P8"/>
    <mergeCell ref="P37:P38"/>
    <mergeCell ref="V37:V38"/>
    <mergeCell ref="AV37:AV38"/>
    <mergeCell ref="BB7:BB8"/>
    <mergeCell ref="W37:W38"/>
    <mergeCell ref="V7:V8"/>
    <mergeCell ref="BA37:BA38"/>
    <mergeCell ref="AS7:AS8"/>
    <mergeCell ref="BJ7:BJ8"/>
    <mergeCell ref="BL7:BL8"/>
    <mergeCell ref="BH7:BH8"/>
    <mergeCell ref="BF37:BF38"/>
    <mergeCell ref="BG37:BG38"/>
    <mergeCell ref="BK7:BK8"/>
    <mergeCell ref="BH37:BH38"/>
    <mergeCell ref="BI37:BI38"/>
    <mergeCell ref="BJ37:BJ38"/>
    <mergeCell ref="BK37:BK38"/>
    <mergeCell ref="BL37:BL38"/>
    <mergeCell ref="BG7:BG8"/>
    <mergeCell ref="BI7:BI8"/>
    <mergeCell ref="BF7:BF8"/>
    <mergeCell ref="BD37:BD38"/>
    <mergeCell ref="BE37:BE38"/>
    <mergeCell ref="BC7:BC8"/>
    <mergeCell ref="BD7:BD8"/>
    <mergeCell ref="BC37:BC38"/>
    <mergeCell ref="BE7:BE8"/>
    <mergeCell ref="AW7:AW8"/>
    <mergeCell ref="AW37:AW38"/>
    <mergeCell ref="AN7:AN8"/>
    <mergeCell ref="AN37:AN38"/>
    <mergeCell ref="AR7:AR8"/>
    <mergeCell ref="AU37:AU38"/>
    <mergeCell ref="AV7:AV8"/>
    <mergeCell ref="AS37:AS38"/>
    <mergeCell ref="AR37:AR38"/>
    <mergeCell ref="AQ7:AQ8"/>
    <mergeCell ref="BA7:BA8"/>
    <mergeCell ref="AY7:AY8"/>
    <mergeCell ref="AY37:AY38"/>
    <mergeCell ref="AX7:AX8"/>
    <mergeCell ref="AX37:AX38"/>
    <mergeCell ref="AT7:AT8"/>
    <mergeCell ref="AT37:AT38"/>
    <mergeCell ref="AO7:AO8"/>
    <mergeCell ref="B7:B8"/>
    <mergeCell ref="D37:D38"/>
    <mergeCell ref="D7:D8"/>
    <mergeCell ref="E37:E38"/>
    <mergeCell ref="B37:B38"/>
    <mergeCell ref="C37:C38"/>
    <mergeCell ref="E7:E8"/>
    <mergeCell ref="C7:C8"/>
    <mergeCell ref="T7:T8"/>
    <mergeCell ref="T37:T38"/>
    <mergeCell ref="S7:S8"/>
    <mergeCell ref="S37:S38"/>
    <mergeCell ref="R7:R8"/>
    <mergeCell ref="N7:N8"/>
    <mergeCell ref="N37:N38"/>
    <mergeCell ref="L7:L8"/>
    <mergeCell ref="L37:L38"/>
    <mergeCell ref="M7:M8"/>
    <mergeCell ref="M37:M38"/>
    <mergeCell ref="I37:I38"/>
    <mergeCell ref="H7:H8"/>
    <mergeCell ref="H37:H38"/>
    <mergeCell ref="G7:G8"/>
    <mergeCell ref="G37:G38"/>
    <mergeCell ref="F7:F8"/>
    <mergeCell ref="F37:F38"/>
    <mergeCell ref="AU7:AU8"/>
    <mergeCell ref="X37:X38"/>
    <mergeCell ref="X7:X8"/>
    <mergeCell ref="W7:W8"/>
    <mergeCell ref="AE7:AE8"/>
    <mergeCell ref="AF7:AF8"/>
    <mergeCell ref="AE37:AE38"/>
    <mergeCell ref="AF37:AF38"/>
    <mergeCell ref="Z37:Z38"/>
    <mergeCell ref="Y7:Y8"/>
    <mergeCell ref="Y37:Y38"/>
    <mergeCell ref="AO37:AO38"/>
    <mergeCell ref="AP37:AP38"/>
    <mergeCell ref="AD7:AD8"/>
    <mergeCell ref="AD37:AD38"/>
  </mergeCells>
  <phoneticPr fontId="14" type="noConversion"/>
  <hyperlinks>
    <hyperlink ref="C5" location="Contents!A1" display="Contents!A1"/>
    <hyperlink ref="F5" location="'Key Financials'!A1" display="Key financial and operational results"/>
    <hyperlink ref="G5" location="'Assets and Liabili-s structure'!A1" display="Assets and liabilities structure"/>
    <hyperlink ref="H5" location="'Loan Portfolio IFRS 9'!A1" display="Loan portfolio"/>
    <hyperlink ref="I5" location="'Customer Deposits'!A1" display="Customer deposits"/>
    <hyperlink ref="K5" location="'Income and Expenses structure'!A1" display="Income and Expenses structure"/>
  </hyperlinks>
  <pageMargins left="0.23622047244094491" right="0.23622047244094491" top="0.74803149606299213" bottom="0.74803149606299213" header="0.31496062992125984" footer="0.31496062992125984"/>
  <pageSetup paperSize="9" scale="13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autoPageBreaks="0" fitToPage="1"/>
  </sheetPr>
  <dimension ref="A1:FL349"/>
  <sheetViews>
    <sheetView showGridLines="0" zoomScale="90" zoomScaleNormal="90" workbookViewId="0">
      <pane xSplit="2" ySplit="8" topLeftCell="C9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defaultColWidth="9.140625" defaultRowHeight="15" x14ac:dyDescent="0.25"/>
  <cols>
    <col min="1" max="1" width="5.7109375" style="1" customWidth="1"/>
    <col min="2" max="2" width="58.85546875" style="1" bestFit="1" customWidth="1"/>
    <col min="3" max="4" width="8.7109375" style="1" customWidth="1"/>
    <col min="5" max="5" width="9.5703125" style="1" customWidth="1"/>
    <col min="6" max="6" width="17.7109375" style="1" bestFit="1" customWidth="1"/>
    <col min="7" max="7" width="19.42578125" style="1" bestFit="1" customWidth="1"/>
    <col min="8" max="8" width="17.7109375" style="1" customWidth="1"/>
    <col min="9" max="9" width="15.85546875" style="1" bestFit="1" customWidth="1"/>
    <col min="10" max="10" width="16.85546875" style="1" customWidth="1"/>
    <col min="11" max="20" width="16.7109375" style="1" customWidth="1"/>
    <col min="21" max="22" width="15.7109375" style="1" customWidth="1"/>
    <col min="23" max="62" width="16.7109375" style="1" customWidth="1"/>
    <col min="63" max="16384" width="9.140625" style="1"/>
  </cols>
  <sheetData>
    <row r="1" spans="1:154" ht="22.5" customHeight="1" x14ac:dyDescent="0.25">
      <c r="A1" s="307">
        <v>1</v>
      </c>
      <c r="B1" s="358">
        <v>2</v>
      </c>
      <c r="C1" s="359">
        <v>3</v>
      </c>
      <c r="D1" s="358">
        <v>4</v>
      </c>
      <c r="E1" s="359">
        <v>5</v>
      </c>
      <c r="F1" s="358">
        <v>6</v>
      </c>
      <c r="G1" s="359">
        <v>7</v>
      </c>
      <c r="H1" s="358">
        <v>8</v>
      </c>
      <c r="I1" s="359">
        <v>9</v>
      </c>
      <c r="J1" s="358">
        <v>10</v>
      </c>
      <c r="K1" s="359">
        <v>11</v>
      </c>
      <c r="L1" s="358">
        <v>12</v>
      </c>
      <c r="M1" s="359">
        <v>13</v>
      </c>
      <c r="N1" s="358">
        <v>14</v>
      </c>
      <c r="O1" s="359">
        <v>15</v>
      </c>
      <c r="P1" s="358">
        <v>16</v>
      </c>
      <c r="Q1" s="359">
        <v>17</v>
      </c>
      <c r="R1" s="358">
        <v>18</v>
      </c>
      <c r="S1" s="359">
        <v>19</v>
      </c>
      <c r="T1" s="358">
        <v>20</v>
      </c>
      <c r="U1" s="359">
        <v>21</v>
      </c>
      <c r="V1" s="358">
        <v>22</v>
      </c>
      <c r="W1" s="359">
        <v>23</v>
      </c>
      <c r="X1" s="358">
        <v>24</v>
      </c>
      <c r="Y1" s="359">
        <v>25</v>
      </c>
      <c r="Z1" s="358">
        <v>26</v>
      </c>
      <c r="AA1" s="359">
        <v>27</v>
      </c>
      <c r="AB1" s="358">
        <v>28</v>
      </c>
      <c r="AC1" s="359">
        <v>29</v>
      </c>
      <c r="AD1" s="358">
        <v>30</v>
      </c>
      <c r="AE1" s="359">
        <v>31</v>
      </c>
      <c r="AF1" s="358">
        <v>32</v>
      </c>
      <c r="AG1" s="359">
        <v>33</v>
      </c>
      <c r="AH1" s="358">
        <v>34</v>
      </c>
      <c r="AI1" s="359">
        <v>35</v>
      </c>
      <c r="AJ1" s="358">
        <v>36</v>
      </c>
      <c r="AK1" s="359">
        <v>37</v>
      </c>
      <c r="AL1" s="358">
        <v>38</v>
      </c>
      <c r="AM1" s="359">
        <v>39</v>
      </c>
      <c r="AN1" s="358">
        <v>40</v>
      </c>
      <c r="AO1" s="359">
        <v>41</v>
      </c>
      <c r="AP1" s="358">
        <v>42</v>
      </c>
      <c r="AQ1" s="359">
        <v>43</v>
      </c>
      <c r="AR1" s="358">
        <v>44</v>
      </c>
      <c r="AS1" s="359">
        <v>45</v>
      </c>
      <c r="AT1" s="358">
        <v>46</v>
      </c>
      <c r="AU1" s="359">
        <v>47</v>
      </c>
      <c r="AV1" s="358">
        <v>48</v>
      </c>
      <c r="AW1" s="359">
        <v>49</v>
      </c>
      <c r="AX1" s="358">
        <v>50</v>
      </c>
      <c r="AY1" s="359">
        <v>51</v>
      </c>
      <c r="AZ1" s="358">
        <v>52</v>
      </c>
      <c r="BA1" s="359">
        <v>53</v>
      </c>
      <c r="BB1" s="358">
        <v>54</v>
      </c>
      <c r="BC1" s="359">
        <v>55</v>
      </c>
      <c r="BD1" s="358">
        <v>56</v>
      </c>
      <c r="BE1" s="359">
        <v>57</v>
      </c>
      <c r="BF1" s="358">
        <v>58</v>
      </c>
      <c r="BG1" s="359">
        <v>59</v>
      </c>
      <c r="BH1" s="358">
        <v>60</v>
      </c>
      <c r="BI1" s="359">
        <v>61</v>
      </c>
      <c r="BJ1" s="358">
        <v>62</v>
      </c>
      <c r="BK1" s="359">
        <v>63</v>
      </c>
      <c r="BL1" s="359">
        <v>64</v>
      </c>
      <c r="BM1" s="359">
        <v>65</v>
      </c>
      <c r="BN1" s="358">
        <v>66</v>
      </c>
      <c r="BO1" s="359">
        <v>67</v>
      </c>
      <c r="BP1" s="358">
        <v>68</v>
      </c>
      <c r="BQ1" s="359">
        <v>69</v>
      </c>
      <c r="BR1" s="358">
        <v>70</v>
      </c>
      <c r="BS1" s="359">
        <v>71</v>
      </c>
      <c r="BT1" s="358">
        <v>72</v>
      </c>
      <c r="BU1" s="359">
        <v>73</v>
      </c>
      <c r="BV1" s="358">
        <v>74</v>
      </c>
      <c r="BW1" s="359">
        <v>75</v>
      </c>
      <c r="BX1" s="358">
        <v>76</v>
      </c>
      <c r="BY1" s="359">
        <v>77</v>
      </c>
      <c r="BZ1" s="358">
        <v>78</v>
      </c>
      <c r="CA1" s="359">
        <v>79</v>
      </c>
      <c r="CB1" s="358">
        <v>80</v>
      </c>
      <c r="CC1" s="359">
        <v>81</v>
      </c>
      <c r="CD1" s="358">
        <v>82</v>
      </c>
      <c r="CE1" s="359">
        <v>83</v>
      </c>
      <c r="CF1" s="358">
        <v>84</v>
      </c>
      <c r="CG1" s="359">
        <v>85</v>
      </c>
      <c r="CH1" s="358">
        <v>86</v>
      </c>
      <c r="CI1" s="359">
        <v>87</v>
      </c>
      <c r="CJ1" s="358">
        <v>88</v>
      </c>
      <c r="CK1" s="359">
        <v>89</v>
      </c>
      <c r="CL1" s="358">
        <v>90</v>
      </c>
      <c r="CM1" s="359">
        <v>91</v>
      </c>
      <c r="CN1" s="358">
        <v>92</v>
      </c>
      <c r="CO1" s="359">
        <v>93</v>
      </c>
      <c r="CP1" s="358">
        <v>94</v>
      </c>
      <c r="CQ1" s="359">
        <v>95</v>
      </c>
      <c r="CR1" s="358">
        <v>96</v>
      </c>
      <c r="CS1" s="359">
        <v>97</v>
      </c>
      <c r="CT1" s="358">
        <v>98</v>
      </c>
      <c r="CU1" s="359">
        <v>99</v>
      </c>
      <c r="CV1" s="358">
        <v>100</v>
      </c>
      <c r="CW1" s="359">
        <v>101</v>
      </c>
      <c r="CX1" s="358">
        <v>102</v>
      </c>
      <c r="CY1" s="359">
        <v>103</v>
      </c>
      <c r="CZ1" s="358">
        <v>104</v>
      </c>
      <c r="DA1" s="359">
        <v>105</v>
      </c>
      <c r="DB1" s="358">
        <v>106</v>
      </c>
      <c r="DC1" s="359">
        <v>107</v>
      </c>
      <c r="DD1" s="358">
        <v>108</v>
      </c>
      <c r="DE1" s="359">
        <v>109</v>
      </c>
      <c r="DF1" s="358">
        <v>110</v>
      </c>
      <c r="DG1" s="359">
        <v>111</v>
      </c>
      <c r="DH1" s="358">
        <v>112</v>
      </c>
      <c r="DI1" s="359">
        <v>113</v>
      </c>
      <c r="DJ1" s="358">
        <v>114</v>
      </c>
      <c r="DK1" s="359">
        <v>115</v>
      </c>
      <c r="DL1" s="358">
        <v>116</v>
      </c>
      <c r="DM1" s="359">
        <v>117</v>
      </c>
      <c r="DN1" s="358">
        <v>118</v>
      </c>
      <c r="DO1" s="359">
        <v>119</v>
      </c>
      <c r="DP1" s="358">
        <v>120</v>
      </c>
      <c r="DQ1" s="359">
        <v>121</v>
      </c>
      <c r="DR1" s="358">
        <v>122</v>
      </c>
      <c r="DS1" s="359">
        <v>123</v>
      </c>
      <c r="DT1" s="358">
        <v>124</v>
      </c>
      <c r="DU1" s="359">
        <v>125</v>
      </c>
      <c r="DV1" s="358">
        <v>126</v>
      </c>
      <c r="DW1" s="359">
        <v>127</v>
      </c>
      <c r="DX1" s="358">
        <v>128</v>
      </c>
      <c r="DY1" s="359">
        <v>129</v>
      </c>
      <c r="DZ1" s="358">
        <v>130</v>
      </c>
      <c r="EA1" s="359">
        <v>131</v>
      </c>
      <c r="EB1" s="358">
        <v>132</v>
      </c>
      <c r="EC1" s="359">
        <v>133</v>
      </c>
      <c r="ED1" s="358">
        <v>134</v>
      </c>
      <c r="EE1" s="359">
        <v>135</v>
      </c>
      <c r="EF1" s="358">
        <v>136</v>
      </c>
      <c r="EG1" s="359">
        <v>137</v>
      </c>
      <c r="EH1" s="358">
        <v>138</v>
      </c>
      <c r="EI1" s="359">
        <v>139</v>
      </c>
      <c r="EJ1" s="358">
        <v>140</v>
      </c>
      <c r="EK1" s="359">
        <v>141</v>
      </c>
      <c r="EL1" s="358">
        <v>142</v>
      </c>
      <c r="EM1" s="359">
        <v>143</v>
      </c>
      <c r="EN1" s="358">
        <v>144</v>
      </c>
      <c r="EO1" s="359">
        <v>145</v>
      </c>
      <c r="EP1" s="358">
        <v>146</v>
      </c>
      <c r="EQ1" s="359">
        <v>147</v>
      </c>
      <c r="ER1" s="358">
        <v>148</v>
      </c>
      <c r="ES1" s="359">
        <v>149</v>
      </c>
      <c r="ET1" s="358">
        <v>150</v>
      </c>
      <c r="EU1" s="359">
        <v>151</v>
      </c>
      <c r="EV1" s="358">
        <v>152</v>
      </c>
      <c r="EW1" s="359">
        <v>153</v>
      </c>
      <c r="EX1" s="359">
        <v>154</v>
      </c>
    </row>
    <row r="2" spans="1:154" x14ac:dyDescent="0.25">
      <c r="A2" s="72">
        <v>2</v>
      </c>
    </row>
    <row r="3" spans="1:154" x14ac:dyDescent="0.25">
      <c r="A3" s="72">
        <v>3</v>
      </c>
    </row>
    <row r="4" spans="1:154" x14ac:dyDescent="0.25">
      <c r="A4" s="72">
        <v>4</v>
      </c>
      <c r="C4" s="6"/>
      <c r="D4" s="6"/>
      <c r="G4" s="25"/>
      <c r="H4" s="25"/>
      <c r="I4" s="25"/>
      <c r="J4" s="25"/>
      <c r="K4" s="25"/>
      <c r="L4" s="25"/>
      <c r="M4" s="25"/>
      <c r="N4" s="25"/>
      <c r="O4" s="25"/>
    </row>
    <row r="5" spans="1:154" ht="51" customHeight="1" thickBot="1" x14ac:dyDescent="0.3">
      <c r="A5" s="72">
        <v>5</v>
      </c>
      <c r="B5" s="121" t="s">
        <v>63</v>
      </c>
      <c r="C5" s="454" t="s">
        <v>3</v>
      </c>
      <c r="D5" s="454"/>
      <c r="E5" s="454"/>
      <c r="F5" s="7" t="s">
        <v>0</v>
      </c>
      <c r="G5" s="47" t="s">
        <v>53</v>
      </c>
      <c r="H5" s="47" t="s">
        <v>56</v>
      </c>
      <c r="I5" s="119" t="s">
        <v>1</v>
      </c>
      <c r="J5" s="119" t="s">
        <v>2</v>
      </c>
      <c r="K5" s="62" t="s">
        <v>63</v>
      </c>
    </row>
    <row r="6" spans="1:154" ht="15.75" thickTop="1" x14ac:dyDescent="0.25">
      <c r="A6" s="72">
        <v>6</v>
      </c>
      <c r="B6" s="6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</row>
    <row r="7" spans="1:154" ht="15.75" customHeight="1" x14ac:dyDescent="0.25">
      <c r="A7" s="72">
        <v>7</v>
      </c>
      <c r="B7" s="426" t="s">
        <v>408</v>
      </c>
      <c r="C7" s="436" t="s">
        <v>121</v>
      </c>
      <c r="D7" s="215" t="s">
        <v>121</v>
      </c>
      <c r="E7" s="434" t="s">
        <v>265</v>
      </c>
      <c r="F7" s="416" t="s">
        <v>129</v>
      </c>
      <c r="G7" s="416" t="s">
        <v>130</v>
      </c>
      <c r="H7" s="416" t="s">
        <v>131</v>
      </c>
      <c r="I7" s="416" t="s">
        <v>132</v>
      </c>
      <c r="J7" s="416" t="s">
        <v>133</v>
      </c>
      <c r="K7" s="416" t="s">
        <v>134</v>
      </c>
      <c r="L7" s="416" t="s">
        <v>135</v>
      </c>
      <c r="M7" s="416" t="s">
        <v>136</v>
      </c>
      <c r="N7" s="416" t="s">
        <v>137</v>
      </c>
      <c r="O7" s="416" t="s">
        <v>138</v>
      </c>
      <c r="P7" s="416" t="s">
        <v>139</v>
      </c>
      <c r="Q7" s="416" t="s">
        <v>140</v>
      </c>
      <c r="R7" s="416" t="s">
        <v>141</v>
      </c>
      <c r="S7" s="416" t="s">
        <v>142</v>
      </c>
      <c r="T7" s="416" t="s">
        <v>143</v>
      </c>
      <c r="U7" s="416" t="s">
        <v>144</v>
      </c>
      <c r="V7" s="416" t="s">
        <v>145</v>
      </c>
      <c r="W7" s="416" t="s">
        <v>146</v>
      </c>
      <c r="X7" s="416" t="s">
        <v>147</v>
      </c>
      <c r="Y7" s="416" t="s">
        <v>148</v>
      </c>
      <c r="Z7" s="416" t="s">
        <v>149</v>
      </c>
      <c r="AA7" s="416" t="s">
        <v>150</v>
      </c>
      <c r="AB7" s="416" t="s">
        <v>151</v>
      </c>
      <c r="AC7" s="416" t="s">
        <v>152</v>
      </c>
      <c r="AD7" s="416" t="s">
        <v>153</v>
      </c>
      <c r="AE7" s="416" t="s">
        <v>154</v>
      </c>
      <c r="AF7" s="416" t="s">
        <v>155</v>
      </c>
      <c r="AG7" s="416" t="s">
        <v>156</v>
      </c>
      <c r="AH7" s="416" t="s">
        <v>157</v>
      </c>
      <c r="AI7" s="416" t="s">
        <v>158</v>
      </c>
      <c r="AJ7" s="416" t="s">
        <v>159</v>
      </c>
      <c r="AK7" s="416" t="s">
        <v>160</v>
      </c>
      <c r="AL7" s="416" t="s">
        <v>161</v>
      </c>
      <c r="AM7" s="416" t="s">
        <v>162</v>
      </c>
      <c r="AN7" s="416" t="s">
        <v>163</v>
      </c>
      <c r="AO7" s="416" t="s">
        <v>164</v>
      </c>
      <c r="AP7" s="416" t="s">
        <v>165</v>
      </c>
      <c r="AQ7" s="416" t="s">
        <v>166</v>
      </c>
      <c r="AR7" s="416" t="s">
        <v>167</v>
      </c>
      <c r="AS7" s="416" t="s">
        <v>168</v>
      </c>
      <c r="AT7" s="416" t="s">
        <v>169</v>
      </c>
      <c r="AU7" s="416" t="s">
        <v>170</v>
      </c>
      <c r="AV7" s="416" t="s">
        <v>171</v>
      </c>
      <c r="AW7" s="416" t="s">
        <v>172</v>
      </c>
      <c r="AX7" s="416" t="s">
        <v>173</v>
      </c>
      <c r="AY7" s="416" t="s">
        <v>174</v>
      </c>
      <c r="AZ7" s="416" t="s">
        <v>175</v>
      </c>
      <c r="BA7" s="416" t="s">
        <v>176</v>
      </c>
      <c r="BB7" s="416" t="s">
        <v>177</v>
      </c>
      <c r="BC7" s="416" t="s">
        <v>178</v>
      </c>
      <c r="BD7" s="416" t="s">
        <v>179</v>
      </c>
      <c r="BE7" s="416" t="s">
        <v>180</v>
      </c>
      <c r="BF7" s="416" t="s">
        <v>181</v>
      </c>
      <c r="BG7" s="416" t="s">
        <v>182</v>
      </c>
      <c r="BH7" s="416" t="s">
        <v>183</v>
      </c>
      <c r="BI7" s="416" t="s">
        <v>184</v>
      </c>
      <c r="BJ7" s="416" t="s">
        <v>185</v>
      </c>
      <c r="BK7" s="416" t="s">
        <v>186</v>
      </c>
      <c r="BL7" s="416" t="s">
        <v>187</v>
      </c>
      <c r="BM7" s="1" t="s">
        <v>188</v>
      </c>
      <c r="BN7" s="1" t="s">
        <v>189</v>
      </c>
      <c r="BO7" s="1" t="s">
        <v>190</v>
      </c>
      <c r="BP7" s="1" t="s">
        <v>191</v>
      </c>
      <c r="BQ7" s="1" t="s">
        <v>121</v>
      </c>
      <c r="BR7" s="1" t="s">
        <v>121</v>
      </c>
      <c r="BS7" s="1" t="s">
        <v>121</v>
      </c>
      <c r="BT7" s="1" t="s">
        <v>121</v>
      </c>
      <c r="BU7" s="1" t="s">
        <v>121</v>
      </c>
      <c r="BV7" s="1" t="s">
        <v>121</v>
      </c>
      <c r="BW7" s="1" t="s">
        <v>121</v>
      </c>
      <c r="BX7" s="1" t="s">
        <v>121</v>
      </c>
      <c r="BY7" s="1" t="s">
        <v>121</v>
      </c>
      <c r="BZ7" s="1" t="s">
        <v>121</v>
      </c>
      <c r="CA7" s="1" t="s">
        <v>121</v>
      </c>
      <c r="CB7" s="1" t="s">
        <v>121</v>
      </c>
      <c r="CC7" s="1" t="s">
        <v>121</v>
      </c>
      <c r="CD7" s="1" t="s">
        <v>121</v>
      </c>
      <c r="CE7" s="1" t="s">
        <v>121</v>
      </c>
      <c r="CF7" s="1" t="s">
        <v>121</v>
      </c>
      <c r="CG7" s="1" t="s">
        <v>121</v>
      </c>
      <c r="CH7" s="1" t="s">
        <v>121</v>
      </c>
      <c r="CI7" s="1" t="s">
        <v>121</v>
      </c>
      <c r="CJ7" s="1" t="s">
        <v>121</v>
      </c>
      <c r="CK7" s="1" t="s">
        <v>121</v>
      </c>
      <c r="CL7" s="1" t="s">
        <v>121</v>
      </c>
      <c r="CM7" s="1" t="s">
        <v>121</v>
      </c>
      <c r="CN7" s="1" t="s">
        <v>121</v>
      </c>
      <c r="CO7" s="1" t="s">
        <v>121</v>
      </c>
      <c r="CP7" s="1" t="s">
        <v>121</v>
      </c>
      <c r="CQ7" s="1" t="s">
        <v>121</v>
      </c>
      <c r="CR7" s="1" t="s">
        <v>121</v>
      </c>
      <c r="CS7" s="1" t="s">
        <v>121</v>
      </c>
      <c r="CT7" s="1" t="s">
        <v>121</v>
      </c>
      <c r="CU7" s="1" t="s">
        <v>121</v>
      </c>
      <c r="CV7" s="1" t="s">
        <v>121</v>
      </c>
      <c r="CW7" s="1" t="s">
        <v>121</v>
      </c>
      <c r="CX7" s="1" t="s">
        <v>121</v>
      </c>
      <c r="CY7" s="1" t="s">
        <v>121</v>
      </c>
      <c r="CZ7" s="1" t="s">
        <v>121</v>
      </c>
      <c r="DA7" s="1" t="s">
        <v>121</v>
      </c>
      <c r="DB7" s="1" t="s">
        <v>121</v>
      </c>
      <c r="DC7" s="1" t="s">
        <v>121</v>
      </c>
      <c r="DD7" s="1" t="s">
        <v>121</v>
      </c>
      <c r="DE7" s="1" t="s">
        <v>121</v>
      </c>
      <c r="DF7" s="1" t="s">
        <v>121</v>
      </c>
      <c r="DG7" s="1" t="s">
        <v>121</v>
      </c>
      <c r="DH7" s="1" t="s">
        <v>121</v>
      </c>
      <c r="DI7" s="1" t="s">
        <v>121</v>
      </c>
      <c r="DJ7" s="1" t="s">
        <v>121</v>
      </c>
      <c r="DK7" s="1" t="s">
        <v>121</v>
      </c>
      <c r="DL7" s="1" t="s">
        <v>121</v>
      </c>
      <c r="DM7" s="1" t="s">
        <v>121</v>
      </c>
      <c r="DN7" s="1" t="s">
        <v>121</v>
      </c>
      <c r="DO7" s="1" t="s">
        <v>121</v>
      </c>
      <c r="DP7" s="1" t="s">
        <v>121</v>
      </c>
      <c r="DQ7" s="1" t="s">
        <v>121</v>
      </c>
      <c r="DR7" s="1" t="s">
        <v>121</v>
      </c>
      <c r="DS7" s="1" t="s">
        <v>121</v>
      </c>
      <c r="DT7" s="1" t="s">
        <v>121</v>
      </c>
      <c r="DU7" s="1" t="s">
        <v>121</v>
      </c>
      <c r="DV7" s="1" t="s">
        <v>121</v>
      </c>
      <c r="DW7" s="1" t="s">
        <v>121</v>
      </c>
      <c r="DX7" s="1" t="s">
        <v>121</v>
      </c>
      <c r="DY7" s="1" t="s">
        <v>121</v>
      </c>
      <c r="DZ7" s="1" t="s">
        <v>121</v>
      </c>
      <c r="EA7" s="1" t="s">
        <v>121</v>
      </c>
      <c r="EB7" s="1" t="s">
        <v>121</v>
      </c>
      <c r="EC7" s="1" t="s">
        <v>121</v>
      </c>
      <c r="ED7" s="1" t="s">
        <v>121</v>
      </c>
      <c r="EE7" s="1" t="s">
        <v>121</v>
      </c>
      <c r="EF7" s="1" t="s">
        <v>121</v>
      </c>
      <c r="EG7" s="1" t="s">
        <v>121</v>
      </c>
      <c r="EH7" s="1" t="s">
        <v>121</v>
      </c>
      <c r="EI7" s="1" t="s">
        <v>121</v>
      </c>
      <c r="EJ7" s="1" t="s">
        <v>121</v>
      </c>
      <c r="EK7" s="1" t="s">
        <v>121</v>
      </c>
      <c r="EL7" s="1" t="s">
        <v>121</v>
      </c>
      <c r="EM7" s="1" t="s">
        <v>121</v>
      </c>
      <c r="EN7" s="1" t="s">
        <v>121</v>
      </c>
      <c r="EO7" s="1" t="s">
        <v>121</v>
      </c>
      <c r="EP7" s="1" t="s">
        <v>121</v>
      </c>
      <c r="EQ7" s="1" t="s">
        <v>121</v>
      </c>
      <c r="ER7" s="1" t="s">
        <v>121</v>
      </c>
      <c r="ES7" s="1" t="s">
        <v>121</v>
      </c>
      <c r="ET7" s="1" t="s">
        <v>121</v>
      </c>
      <c r="EU7" s="1" t="s">
        <v>121</v>
      </c>
      <c r="EV7" s="1" t="s">
        <v>121</v>
      </c>
      <c r="EW7" s="1" t="s">
        <v>121</v>
      </c>
      <c r="EX7" s="1" t="s">
        <v>121</v>
      </c>
    </row>
    <row r="8" spans="1:154" x14ac:dyDescent="0.25">
      <c r="A8" s="72">
        <v>8</v>
      </c>
      <c r="B8" s="427"/>
      <c r="C8" s="437"/>
      <c r="D8" s="258"/>
      <c r="E8" s="444"/>
      <c r="F8" s="417"/>
      <c r="G8" s="417"/>
      <c r="H8" s="418"/>
      <c r="I8" s="417"/>
      <c r="J8" s="417"/>
      <c r="K8" s="417"/>
      <c r="L8" s="418"/>
      <c r="M8" s="417"/>
      <c r="N8" s="417"/>
      <c r="O8" s="417"/>
      <c r="P8" s="418"/>
      <c r="Q8" s="418"/>
      <c r="R8" s="417"/>
      <c r="S8" s="417"/>
      <c r="T8" s="418"/>
      <c r="U8" s="418"/>
      <c r="V8" s="418"/>
      <c r="W8" s="417"/>
      <c r="X8" s="417"/>
      <c r="Y8" s="418"/>
      <c r="Z8" s="418"/>
      <c r="AA8" s="417"/>
      <c r="AB8" s="417"/>
      <c r="AC8" s="417"/>
      <c r="AD8" s="417"/>
      <c r="AE8" s="417"/>
      <c r="AF8" s="418"/>
      <c r="AG8" s="417"/>
      <c r="AH8" s="417"/>
      <c r="AI8" s="417"/>
      <c r="AJ8" s="418"/>
      <c r="AK8" s="417"/>
      <c r="AL8" s="417"/>
      <c r="AM8" s="417"/>
      <c r="AN8" s="418"/>
      <c r="AO8" s="418"/>
      <c r="AP8" s="417"/>
      <c r="AQ8" s="417"/>
      <c r="AR8" s="417"/>
      <c r="AS8" s="417"/>
      <c r="AT8" s="417"/>
      <c r="AU8" s="417"/>
      <c r="AV8" s="417"/>
      <c r="AW8" s="417"/>
      <c r="AX8" s="417"/>
      <c r="AY8" s="417"/>
      <c r="AZ8" s="417"/>
      <c r="BA8" s="417"/>
      <c r="BB8" s="417"/>
      <c r="BC8" s="417"/>
      <c r="BD8" s="417"/>
      <c r="BE8" s="417"/>
      <c r="BF8" s="417"/>
      <c r="BG8" s="417"/>
      <c r="BH8" s="417"/>
      <c r="BI8" s="417"/>
      <c r="BJ8" s="417"/>
      <c r="BK8" s="417"/>
      <c r="BL8" s="417"/>
    </row>
    <row r="9" spans="1:154" ht="9.75" customHeight="1" x14ac:dyDescent="0.25">
      <c r="A9" s="72">
        <v>9</v>
      </c>
      <c r="B9" s="8" t="s">
        <v>4</v>
      </c>
      <c r="C9" s="87" t="s">
        <v>121</v>
      </c>
      <c r="D9" s="56" t="s">
        <v>121</v>
      </c>
      <c r="E9" s="88" t="s">
        <v>121</v>
      </c>
      <c r="F9" s="56" t="s">
        <v>121</v>
      </c>
      <c r="G9" s="56" t="s">
        <v>121</v>
      </c>
      <c r="H9" s="56" t="s">
        <v>121</v>
      </c>
      <c r="I9" s="56" t="s">
        <v>121</v>
      </c>
      <c r="J9" s="56" t="s">
        <v>121</v>
      </c>
      <c r="K9" s="56" t="s">
        <v>121</v>
      </c>
      <c r="L9" s="56" t="s">
        <v>121</v>
      </c>
      <c r="M9" s="56" t="s">
        <v>121</v>
      </c>
      <c r="N9" s="56" t="s">
        <v>121</v>
      </c>
      <c r="O9" s="56" t="s">
        <v>121</v>
      </c>
      <c r="P9" s="56" t="s">
        <v>121</v>
      </c>
      <c r="Q9" s="56" t="s">
        <v>121</v>
      </c>
      <c r="R9" s="56" t="s">
        <v>121</v>
      </c>
      <c r="S9" s="56" t="s">
        <v>121</v>
      </c>
      <c r="T9" s="56" t="s">
        <v>121</v>
      </c>
      <c r="U9" s="56" t="s">
        <v>121</v>
      </c>
      <c r="V9" s="56" t="s">
        <v>121</v>
      </c>
      <c r="W9" s="56" t="s">
        <v>121</v>
      </c>
      <c r="X9" s="56" t="s">
        <v>121</v>
      </c>
      <c r="Y9" s="56" t="s">
        <v>121</v>
      </c>
      <c r="Z9" s="56" t="s">
        <v>121</v>
      </c>
      <c r="AA9" s="56" t="s">
        <v>121</v>
      </c>
      <c r="AB9" s="56" t="s">
        <v>121</v>
      </c>
      <c r="AC9" s="56" t="s">
        <v>121</v>
      </c>
      <c r="AD9" s="56" t="s">
        <v>121</v>
      </c>
      <c r="AE9" s="56" t="s">
        <v>121</v>
      </c>
      <c r="AF9" s="56" t="s">
        <v>121</v>
      </c>
      <c r="AG9" s="56" t="s">
        <v>121</v>
      </c>
      <c r="AH9" s="56" t="s">
        <v>121</v>
      </c>
      <c r="AI9" s="56" t="s">
        <v>121</v>
      </c>
      <c r="AJ9" s="56" t="s">
        <v>121</v>
      </c>
      <c r="AK9" s="56" t="s">
        <v>121</v>
      </c>
      <c r="AL9" s="56" t="s">
        <v>121</v>
      </c>
      <c r="AM9" s="56" t="s">
        <v>121</v>
      </c>
      <c r="AN9" s="56" t="s">
        <v>121</v>
      </c>
      <c r="AO9" s="56" t="s">
        <v>121</v>
      </c>
      <c r="AP9" s="56" t="s">
        <v>121</v>
      </c>
      <c r="AQ9" s="56" t="s">
        <v>121</v>
      </c>
      <c r="AR9" s="56" t="s">
        <v>121</v>
      </c>
      <c r="AS9" s="56" t="s">
        <v>121</v>
      </c>
      <c r="AT9" s="56" t="s">
        <v>121</v>
      </c>
      <c r="AU9" s="56" t="s">
        <v>121</v>
      </c>
      <c r="AV9" s="56" t="s">
        <v>121</v>
      </c>
      <c r="AW9" s="56" t="s">
        <v>121</v>
      </c>
      <c r="AX9" s="56" t="s">
        <v>121</v>
      </c>
      <c r="AY9" s="56" t="s">
        <v>121</v>
      </c>
      <c r="AZ9" s="8" t="s">
        <v>121</v>
      </c>
      <c r="BA9" s="1" t="s">
        <v>121</v>
      </c>
      <c r="BB9" s="1" t="s">
        <v>121</v>
      </c>
      <c r="BC9" s="1" t="s">
        <v>121</v>
      </c>
      <c r="BD9" s="1" t="s">
        <v>121</v>
      </c>
      <c r="BE9" s="1" t="s">
        <v>121</v>
      </c>
      <c r="BF9" s="1" t="s">
        <v>121</v>
      </c>
      <c r="BG9" s="1" t="s">
        <v>121</v>
      </c>
      <c r="BH9" s="1" t="s">
        <v>121</v>
      </c>
      <c r="BI9" s="1" t="s">
        <v>121</v>
      </c>
      <c r="BJ9" s="1" t="s">
        <v>121</v>
      </c>
      <c r="BK9" s="1" t="s">
        <v>121</v>
      </c>
      <c r="BL9" s="1" t="s">
        <v>121</v>
      </c>
      <c r="BM9" s="1" t="s">
        <v>121</v>
      </c>
      <c r="BN9" s="1" t="s">
        <v>121</v>
      </c>
      <c r="BO9" s="1" t="s">
        <v>121</v>
      </c>
      <c r="BP9" s="1" t="s">
        <v>121</v>
      </c>
      <c r="BQ9" s="1" t="s">
        <v>121</v>
      </c>
      <c r="BR9" s="1" t="s">
        <v>121</v>
      </c>
      <c r="BS9" s="1" t="s">
        <v>121</v>
      </c>
      <c r="BT9" s="1" t="s">
        <v>121</v>
      </c>
      <c r="BU9" s="1" t="s">
        <v>121</v>
      </c>
      <c r="BV9" s="1" t="s">
        <v>121</v>
      </c>
      <c r="BW9" s="1" t="s">
        <v>121</v>
      </c>
      <c r="BX9" s="1" t="s">
        <v>121</v>
      </c>
      <c r="BY9" s="1" t="s">
        <v>121</v>
      </c>
      <c r="BZ9" s="1" t="s">
        <v>121</v>
      </c>
      <c r="CA9" s="1" t="s">
        <v>121</v>
      </c>
      <c r="CB9" s="1" t="s">
        <v>121</v>
      </c>
      <c r="CC9" s="1" t="s">
        <v>121</v>
      </c>
      <c r="CD9" s="1" t="s">
        <v>121</v>
      </c>
      <c r="CE9" s="1" t="s">
        <v>121</v>
      </c>
      <c r="CF9" s="1" t="s">
        <v>121</v>
      </c>
      <c r="CG9" s="1" t="s">
        <v>121</v>
      </c>
      <c r="CH9" s="1" t="s">
        <v>121</v>
      </c>
      <c r="CI9" s="1" t="s">
        <v>121</v>
      </c>
      <c r="CJ9" s="1" t="s">
        <v>121</v>
      </c>
      <c r="CK9" s="1" t="s">
        <v>121</v>
      </c>
      <c r="CL9" s="1" t="s">
        <v>121</v>
      </c>
      <c r="CM9" s="1" t="s">
        <v>121</v>
      </c>
      <c r="CN9" s="1" t="s">
        <v>121</v>
      </c>
      <c r="CO9" s="1" t="s">
        <v>121</v>
      </c>
      <c r="CP9" s="1" t="s">
        <v>121</v>
      </c>
      <c r="CQ9" s="1" t="s">
        <v>121</v>
      </c>
      <c r="CR9" s="1" t="s">
        <v>121</v>
      </c>
      <c r="CS9" s="1" t="s">
        <v>121</v>
      </c>
      <c r="CT9" s="1" t="s">
        <v>121</v>
      </c>
      <c r="CU9" s="1" t="s">
        <v>121</v>
      </c>
      <c r="CV9" s="1" t="s">
        <v>121</v>
      </c>
      <c r="CW9" s="1" t="s">
        <v>121</v>
      </c>
      <c r="CX9" s="1" t="s">
        <v>121</v>
      </c>
      <c r="CY9" s="1" t="s">
        <v>121</v>
      </c>
      <c r="CZ9" s="1" t="s">
        <v>121</v>
      </c>
      <c r="DA9" s="1" t="s">
        <v>121</v>
      </c>
      <c r="DB9" s="1" t="s">
        <v>121</v>
      </c>
      <c r="DC9" s="1" t="s">
        <v>121</v>
      </c>
      <c r="DD9" s="1" t="s">
        <v>121</v>
      </c>
      <c r="DE9" s="1" t="s">
        <v>121</v>
      </c>
      <c r="DF9" s="1" t="s">
        <v>121</v>
      </c>
      <c r="DG9" s="1" t="s">
        <v>121</v>
      </c>
      <c r="DH9" s="1" t="s">
        <v>121</v>
      </c>
      <c r="DI9" s="1" t="s">
        <v>121</v>
      </c>
      <c r="DJ9" s="1" t="s">
        <v>121</v>
      </c>
      <c r="DK9" s="1" t="s">
        <v>121</v>
      </c>
      <c r="DL9" s="1" t="s">
        <v>121</v>
      </c>
      <c r="DM9" s="1" t="s">
        <v>121</v>
      </c>
      <c r="DN9" s="1" t="s">
        <v>121</v>
      </c>
      <c r="DO9" s="1" t="s">
        <v>121</v>
      </c>
      <c r="DP9" s="1" t="s">
        <v>121</v>
      </c>
      <c r="DQ9" s="1" t="s">
        <v>121</v>
      </c>
      <c r="DR9" s="1" t="s">
        <v>121</v>
      </c>
      <c r="DS9" s="1" t="s">
        <v>121</v>
      </c>
      <c r="DT9" s="1" t="s">
        <v>121</v>
      </c>
      <c r="DU9" s="1" t="s">
        <v>121</v>
      </c>
      <c r="DV9" s="1" t="s">
        <v>121</v>
      </c>
      <c r="DW9" s="1" t="s">
        <v>121</v>
      </c>
      <c r="DX9" s="1" t="s">
        <v>121</v>
      </c>
      <c r="DY9" s="1" t="s">
        <v>121</v>
      </c>
      <c r="DZ9" s="1" t="s">
        <v>121</v>
      </c>
      <c r="EA9" s="1" t="s">
        <v>121</v>
      </c>
      <c r="EB9" s="1" t="s">
        <v>121</v>
      </c>
      <c r="EC9" s="1" t="s">
        <v>121</v>
      </c>
      <c r="ED9" s="1" t="s">
        <v>121</v>
      </c>
      <c r="EE9" s="1" t="s">
        <v>121</v>
      </c>
      <c r="EF9" s="1" t="s">
        <v>121</v>
      </c>
      <c r="EG9" s="1" t="s">
        <v>121</v>
      </c>
      <c r="EH9" s="1" t="s">
        <v>121</v>
      </c>
      <c r="EI9" s="1" t="s">
        <v>121</v>
      </c>
      <c r="EJ9" s="1" t="s">
        <v>121</v>
      </c>
      <c r="EK9" s="1" t="s">
        <v>121</v>
      </c>
      <c r="EL9" s="1" t="s">
        <v>121</v>
      </c>
      <c r="EM9" s="1" t="s">
        <v>121</v>
      </c>
      <c r="EN9" s="1" t="s">
        <v>121</v>
      </c>
      <c r="EO9" s="1" t="s">
        <v>121</v>
      </c>
      <c r="EP9" s="1" t="s">
        <v>121</v>
      </c>
      <c r="EQ9" s="1" t="s">
        <v>121</v>
      </c>
      <c r="ER9" s="1" t="s">
        <v>121</v>
      </c>
      <c r="ES9" s="1" t="s">
        <v>121</v>
      </c>
      <c r="ET9" s="1" t="s">
        <v>121</v>
      </c>
      <c r="EU9" s="1" t="s">
        <v>121</v>
      </c>
      <c r="EV9" s="1" t="s">
        <v>121</v>
      </c>
      <c r="EW9" s="1" t="s">
        <v>121</v>
      </c>
      <c r="EX9" s="1" t="s">
        <v>121</v>
      </c>
    </row>
    <row r="10" spans="1:154" ht="15" customHeight="1" x14ac:dyDescent="0.25">
      <c r="A10" s="72">
        <v>10</v>
      </c>
      <c r="B10" s="30" t="s">
        <v>409</v>
      </c>
      <c r="C10" s="91" t="s">
        <v>121</v>
      </c>
      <c r="D10" s="86" t="s">
        <v>121</v>
      </c>
      <c r="E10" s="92">
        <v>0.4446339849175498</v>
      </c>
      <c r="F10" s="22">
        <v>154976</v>
      </c>
      <c r="G10" s="22">
        <v>100422</v>
      </c>
      <c r="H10" s="22">
        <v>49474</v>
      </c>
      <c r="I10" s="22">
        <v>154188</v>
      </c>
      <c r="J10" s="22">
        <v>107277</v>
      </c>
      <c r="K10" s="22">
        <v>68848</v>
      </c>
      <c r="L10" s="22">
        <v>33965</v>
      </c>
      <c r="M10" s="22">
        <v>84659</v>
      </c>
      <c r="N10" s="22">
        <v>54520</v>
      </c>
      <c r="O10" s="22">
        <v>34134</v>
      </c>
      <c r="P10" s="22">
        <v>16768</v>
      </c>
      <c r="Q10" s="405"/>
      <c r="R10" s="405"/>
      <c r="S10" s="405"/>
      <c r="T10" s="405"/>
      <c r="U10" s="22">
        <v>45796</v>
      </c>
      <c r="V10" s="22">
        <v>32526</v>
      </c>
      <c r="W10" s="22">
        <v>21465</v>
      </c>
      <c r="X10" s="22">
        <v>10080</v>
      </c>
      <c r="Y10" s="22">
        <v>43430</v>
      </c>
      <c r="Z10" s="22">
        <v>32351.346000000001</v>
      </c>
      <c r="AA10" s="22">
        <v>21976.86</v>
      </c>
      <c r="AB10" s="22">
        <v>11265.894</v>
      </c>
      <c r="AC10" s="22">
        <v>48493.554000000004</v>
      </c>
      <c r="AD10" s="22">
        <v>36488.233</v>
      </c>
      <c r="AE10" s="22">
        <v>24420.762999999999</v>
      </c>
      <c r="AF10" s="22">
        <v>12846.710000000001</v>
      </c>
      <c r="AG10" s="22">
        <v>46038.572</v>
      </c>
      <c r="AH10" s="22">
        <v>33707.930999999997</v>
      </c>
      <c r="AI10" s="22">
        <v>22295.562999999998</v>
      </c>
      <c r="AJ10" s="22">
        <v>10962.853999999999</v>
      </c>
      <c r="AK10" s="22">
        <v>47169.917999999998</v>
      </c>
      <c r="AL10" s="22">
        <v>35325.815000000002</v>
      </c>
      <c r="AM10" s="22">
        <v>23790.751</v>
      </c>
      <c r="AN10" s="22">
        <v>12116.299000000001</v>
      </c>
      <c r="AO10" s="22">
        <v>51851.81</v>
      </c>
      <c r="AP10" s="22">
        <v>39007.531999999999</v>
      </c>
      <c r="AQ10" s="22">
        <v>26001.119999999999</v>
      </c>
      <c r="AR10" s="22">
        <v>12896.995000000001</v>
      </c>
      <c r="AS10" s="22">
        <v>50793.474999999999</v>
      </c>
      <c r="AT10" s="22">
        <v>37637.544999999998</v>
      </c>
      <c r="AU10" s="22">
        <v>24888.205000000002</v>
      </c>
      <c r="AV10" s="22">
        <v>12278.331</v>
      </c>
      <c r="AW10" s="22">
        <v>38760.300000000003</v>
      </c>
      <c r="AX10" s="11">
        <v>27625.877</v>
      </c>
      <c r="AY10" s="11">
        <v>18007.181</v>
      </c>
      <c r="AZ10" s="22">
        <v>8721.7070000000003</v>
      </c>
      <c r="BA10" s="11">
        <v>30831.525000000001</v>
      </c>
      <c r="BB10" s="11">
        <v>22480.62</v>
      </c>
      <c r="BC10" s="11">
        <v>14542.768</v>
      </c>
      <c r="BD10" s="11">
        <v>7005.1409999999996</v>
      </c>
      <c r="BE10" s="11">
        <v>27361.167000000001</v>
      </c>
      <c r="BF10" s="11">
        <v>20205.708999999999</v>
      </c>
      <c r="BG10" s="11">
        <v>13419.939999999999</v>
      </c>
      <c r="BH10" s="11">
        <v>6422.6959999999999</v>
      </c>
      <c r="BI10" s="11">
        <v>25777.105</v>
      </c>
      <c r="BJ10" s="11">
        <v>19199.566999999999</v>
      </c>
      <c r="BK10" s="11">
        <v>12612.403</v>
      </c>
      <c r="BL10" s="11">
        <v>6121.1850000000004</v>
      </c>
      <c r="BM10" s="1">
        <v>24259.767</v>
      </c>
      <c r="BN10" s="1">
        <v>18355.764999999999</v>
      </c>
      <c r="BO10" s="1">
        <v>12609.635</v>
      </c>
      <c r="BP10" s="1">
        <v>6497.2579999999998</v>
      </c>
      <c r="BQ10" s="1" t="s">
        <v>121</v>
      </c>
      <c r="BR10" s="1" t="s">
        <v>121</v>
      </c>
      <c r="BS10" s="1" t="s">
        <v>121</v>
      </c>
      <c r="BT10" s="1" t="s">
        <v>121</v>
      </c>
      <c r="BU10" s="1" t="s">
        <v>121</v>
      </c>
      <c r="BV10" s="1" t="s">
        <v>121</v>
      </c>
      <c r="BW10" s="1" t="s">
        <v>121</v>
      </c>
      <c r="BX10" s="1" t="s">
        <v>121</v>
      </c>
      <c r="BY10" s="1" t="s">
        <v>121</v>
      </c>
      <c r="BZ10" s="1" t="s">
        <v>121</v>
      </c>
      <c r="CA10" s="1" t="s">
        <v>121</v>
      </c>
      <c r="CB10" s="1" t="s">
        <v>121</v>
      </c>
      <c r="CC10" s="1" t="s">
        <v>121</v>
      </c>
      <c r="CD10" s="1" t="s">
        <v>121</v>
      </c>
      <c r="CE10" s="1" t="s">
        <v>121</v>
      </c>
      <c r="CF10" s="1" t="s">
        <v>121</v>
      </c>
      <c r="CG10" s="1" t="s">
        <v>121</v>
      </c>
      <c r="CH10" s="1" t="s">
        <v>121</v>
      </c>
      <c r="CI10" s="1" t="s">
        <v>121</v>
      </c>
      <c r="CJ10" s="1" t="s">
        <v>121</v>
      </c>
      <c r="CK10" s="1" t="s">
        <v>121</v>
      </c>
      <c r="CL10" s="1" t="s">
        <v>121</v>
      </c>
      <c r="CM10" s="1" t="s">
        <v>121</v>
      </c>
      <c r="CN10" s="1" t="s">
        <v>121</v>
      </c>
      <c r="CO10" s="1" t="s">
        <v>121</v>
      </c>
      <c r="CP10" s="1" t="s">
        <v>121</v>
      </c>
      <c r="CQ10" s="1" t="s">
        <v>121</v>
      </c>
      <c r="CR10" s="1" t="s">
        <v>121</v>
      </c>
      <c r="CS10" s="1" t="s">
        <v>121</v>
      </c>
      <c r="CT10" s="1" t="s">
        <v>121</v>
      </c>
      <c r="CU10" s="1" t="s">
        <v>121</v>
      </c>
      <c r="CV10" s="1" t="s">
        <v>121</v>
      </c>
      <c r="CW10" s="1" t="s">
        <v>121</v>
      </c>
      <c r="CX10" s="1" t="s">
        <v>121</v>
      </c>
      <c r="CY10" s="1" t="s">
        <v>121</v>
      </c>
      <c r="CZ10" s="1" t="s">
        <v>121</v>
      </c>
      <c r="DA10" s="1" t="s">
        <v>121</v>
      </c>
      <c r="DB10" s="1" t="s">
        <v>121</v>
      </c>
      <c r="DC10" s="1" t="s">
        <v>121</v>
      </c>
      <c r="DD10" s="1" t="s">
        <v>121</v>
      </c>
      <c r="DE10" s="1" t="s">
        <v>121</v>
      </c>
      <c r="DF10" s="1" t="s">
        <v>121</v>
      </c>
      <c r="DG10" s="1" t="s">
        <v>121</v>
      </c>
      <c r="DH10" s="1" t="s">
        <v>121</v>
      </c>
      <c r="DI10" s="1" t="s">
        <v>121</v>
      </c>
      <c r="DJ10" s="1" t="s">
        <v>121</v>
      </c>
      <c r="DK10" s="1" t="s">
        <v>121</v>
      </c>
      <c r="DL10" s="1" t="s">
        <v>121</v>
      </c>
      <c r="DM10" s="1" t="s">
        <v>121</v>
      </c>
      <c r="DN10" s="1" t="s">
        <v>121</v>
      </c>
      <c r="DO10" s="1" t="s">
        <v>121</v>
      </c>
      <c r="DP10" s="1" t="s">
        <v>121</v>
      </c>
      <c r="DQ10" s="1" t="s">
        <v>121</v>
      </c>
      <c r="DR10" s="1" t="s">
        <v>121</v>
      </c>
      <c r="DS10" s="1" t="s">
        <v>121</v>
      </c>
      <c r="DT10" s="1" t="s">
        <v>121</v>
      </c>
      <c r="DU10" s="1" t="s">
        <v>121</v>
      </c>
      <c r="DV10" s="1" t="s">
        <v>121</v>
      </c>
      <c r="DW10" s="1" t="s">
        <v>121</v>
      </c>
      <c r="DX10" s="1" t="s">
        <v>121</v>
      </c>
      <c r="DY10" s="1" t="s">
        <v>121</v>
      </c>
      <c r="DZ10" s="1" t="s">
        <v>121</v>
      </c>
      <c r="EA10" s="1" t="s">
        <v>121</v>
      </c>
      <c r="EB10" s="1" t="s">
        <v>121</v>
      </c>
      <c r="EC10" s="1" t="s">
        <v>121</v>
      </c>
      <c r="ED10" s="1" t="s">
        <v>121</v>
      </c>
      <c r="EE10" s="1" t="s">
        <v>121</v>
      </c>
      <c r="EF10" s="1" t="s">
        <v>121</v>
      </c>
      <c r="EG10" s="1" t="s">
        <v>121</v>
      </c>
      <c r="EH10" s="1" t="s">
        <v>121</v>
      </c>
      <c r="EI10" s="1" t="s">
        <v>121</v>
      </c>
      <c r="EJ10" s="1" t="s">
        <v>121</v>
      </c>
      <c r="EK10" s="1" t="s">
        <v>121</v>
      </c>
      <c r="EL10" s="1" t="s">
        <v>121</v>
      </c>
      <c r="EM10" s="1" t="s">
        <v>121</v>
      </c>
      <c r="EN10" s="1" t="s">
        <v>121</v>
      </c>
      <c r="EO10" s="1" t="s">
        <v>121</v>
      </c>
      <c r="EP10" s="1" t="s">
        <v>121</v>
      </c>
      <c r="EQ10" s="1" t="s">
        <v>121</v>
      </c>
      <c r="ER10" s="1" t="s">
        <v>121</v>
      </c>
      <c r="ES10" s="1" t="s">
        <v>121</v>
      </c>
      <c r="ET10" s="1" t="s">
        <v>121</v>
      </c>
      <c r="EU10" s="1" t="s">
        <v>121</v>
      </c>
      <c r="EV10" s="1" t="s">
        <v>121</v>
      </c>
      <c r="EW10" s="1" t="s">
        <v>121</v>
      </c>
      <c r="EX10" s="1" t="s">
        <v>121</v>
      </c>
    </row>
    <row r="11" spans="1:154" s="25" customFormat="1" ht="15" customHeight="1" x14ac:dyDescent="0.25">
      <c r="A11" s="72">
        <v>11</v>
      </c>
      <c r="B11" s="30" t="s">
        <v>410</v>
      </c>
      <c r="C11" s="91" t="s">
        <v>121</v>
      </c>
      <c r="D11" s="86" t="s">
        <v>121</v>
      </c>
      <c r="E11" s="92">
        <v>0.72911988809953243</v>
      </c>
      <c r="F11" s="22">
        <v>-93950</v>
      </c>
      <c r="G11" s="22">
        <v>-59718</v>
      </c>
      <c r="H11" s="22">
        <v>-28915</v>
      </c>
      <c r="I11" s="22">
        <v>-81312</v>
      </c>
      <c r="J11" s="22">
        <v>-54334</v>
      </c>
      <c r="K11" s="22">
        <v>-33821</v>
      </c>
      <c r="L11" s="22">
        <v>-16186</v>
      </c>
      <c r="M11" s="22">
        <v>-31713</v>
      </c>
      <c r="N11" s="22">
        <v>-18197</v>
      </c>
      <c r="O11" s="22">
        <v>-10990</v>
      </c>
      <c r="P11" s="22">
        <v>-5030</v>
      </c>
      <c r="Q11" s="405"/>
      <c r="R11" s="405"/>
      <c r="S11" s="405"/>
      <c r="T11" s="405"/>
      <c r="U11" s="22">
        <v>-15364</v>
      </c>
      <c r="V11" s="22">
        <v>-10474</v>
      </c>
      <c r="W11" s="22">
        <v>-6889</v>
      </c>
      <c r="X11" s="22">
        <v>-3276</v>
      </c>
      <c r="Y11" s="22">
        <v>-16664</v>
      </c>
      <c r="Z11" s="22">
        <v>-13106.054</v>
      </c>
      <c r="AA11" s="22">
        <v>-9093.7219999999998</v>
      </c>
      <c r="AB11" s="22">
        <v>-4577.8540000000003</v>
      </c>
      <c r="AC11" s="22">
        <v>-23444.594000000001</v>
      </c>
      <c r="AD11" s="22">
        <v>-18250.566999999999</v>
      </c>
      <c r="AE11" s="22">
        <v>-12481.619000000001</v>
      </c>
      <c r="AF11" s="22">
        <v>-6668.5190000000002</v>
      </c>
      <c r="AG11" s="22">
        <v>-22892.995999999999</v>
      </c>
      <c r="AH11" s="22">
        <v>-16960.544000000002</v>
      </c>
      <c r="AI11" s="22">
        <v>-11386.648999999999</v>
      </c>
      <c r="AJ11" s="22">
        <v>-5614.9849999999997</v>
      </c>
      <c r="AK11" s="22">
        <v>-26621.953000000001</v>
      </c>
      <c r="AL11" s="22">
        <v>-20720.521000000001</v>
      </c>
      <c r="AM11" s="22">
        <v>-14560.727000000001</v>
      </c>
      <c r="AN11" s="22">
        <v>-7447.4279999999999</v>
      </c>
      <c r="AO11" s="22">
        <v>-29706.920999999998</v>
      </c>
      <c r="AP11" s="22">
        <v>-22928.959999999999</v>
      </c>
      <c r="AQ11" s="22">
        <v>-15620.28</v>
      </c>
      <c r="AR11" s="22">
        <v>-7829.1279999999997</v>
      </c>
      <c r="AS11" s="22">
        <v>-33315.993000000002</v>
      </c>
      <c r="AT11" s="22">
        <v>-25314.981</v>
      </c>
      <c r="AU11" s="22">
        <v>-16648.286</v>
      </c>
      <c r="AV11" s="22">
        <v>-8156.21</v>
      </c>
      <c r="AW11" s="22">
        <v>-20249.403999999999</v>
      </c>
      <c r="AX11" s="22">
        <v>-14651.588</v>
      </c>
      <c r="AY11" s="22">
        <v>-9503.6820000000007</v>
      </c>
      <c r="AZ11" s="22">
        <v>-4631.9470000000001</v>
      </c>
      <c r="BA11" s="22">
        <v>-17459.531999999999</v>
      </c>
      <c r="BB11" s="22">
        <v>-12926.576999999999</v>
      </c>
      <c r="BC11" s="22">
        <v>-8393.6939999999995</v>
      </c>
      <c r="BD11" s="22">
        <v>-4017.7829999999999</v>
      </c>
      <c r="BE11" s="22">
        <v>-15379.021000000002</v>
      </c>
      <c r="BF11" s="22">
        <v>-11324.976999999999</v>
      </c>
      <c r="BG11" s="22">
        <v>-7458.4400000000005</v>
      </c>
      <c r="BH11" s="22">
        <v>-3499.3809999999999</v>
      </c>
      <c r="BI11" s="22">
        <v>-12157.178</v>
      </c>
      <c r="BJ11" s="22">
        <v>-8863.7020000000011</v>
      </c>
      <c r="BK11" s="22">
        <v>-5824.5920000000006</v>
      </c>
      <c r="BL11" s="22">
        <v>-2853.4140000000002</v>
      </c>
      <c r="BM11" s="25">
        <v>-12235.339000000002</v>
      </c>
      <c r="BN11" s="25">
        <v>-9308.9310000000005</v>
      </c>
      <c r="BO11" s="25">
        <v>-6531.4</v>
      </c>
      <c r="BP11" s="25">
        <v>-3412.2429999999999</v>
      </c>
      <c r="BQ11" s="25" t="s">
        <v>121</v>
      </c>
      <c r="BR11" s="25" t="s">
        <v>121</v>
      </c>
      <c r="BS11" s="25" t="s">
        <v>121</v>
      </c>
      <c r="BT11" s="25" t="s">
        <v>121</v>
      </c>
      <c r="BU11" s="25" t="s">
        <v>121</v>
      </c>
      <c r="BV11" s="25" t="s">
        <v>121</v>
      </c>
      <c r="BW11" s="25" t="s">
        <v>121</v>
      </c>
      <c r="BX11" s="25" t="s">
        <v>121</v>
      </c>
      <c r="BY11" s="25" t="s">
        <v>121</v>
      </c>
      <c r="BZ11" s="25" t="s">
        <v>121</v>
      </c>
      <c r="CA11" s="25" t="s">
        <v>121</v>
      </c>
      <c r="CB11" s="25" t="s">
        <v>121</v>
      </c>
      <c r="CC11" s="25" t="s">
        <v>121</v>
      </c>
      <c r="CD11" s="25" t="s">
        <v>121</v>
      </c>
      <c r="CE11" s="25" t="s">
        <v>121</v>
      </c>
      <c r="CF11" s="25" t="s">
        <v>121</v>
      </c>
      <c r="CG11" s="25" t="s">
        <v>121</v>
      </c>
      <c r="CH11" s="25" t="s">
        <v>121</v>
      </c>
      <c r="CI11" s="25" t="s">
        <v>121</v>
      </c>
      <c r="CJ11" s="25" t="s">
        <v>121</v>
      </c>
      <c r="CK11" s="25" t="s">
        <v>121</v>
      </c>
      <c r="CL11" s="25" t="s">
        <v>121</v>
      </c>
      <c r="CM11" s="25" t="s">
        <v>121</v>
      </c>
      <c r="CN11" s="25" t="s">
        <v>121</v>
      </c>
      <c r="CO11" s="25" t="s">
        <v>121</v>
      </c>
      <c r="CP11" s="25" t="s">
        <v>121</v>
      </c>
      <c r="CQ11" s="25" t="s">
        <v>121</v>
      </c>
      <c r="CR11" s="25" t="s">
        <v>121</v>
      </c>
      <c r="CS11" s="25" t="s">
        <v>121</v>
      </c>
      <c r="CT11" s="25" t="s">
        <v>121</v>
      </c>
      <c r="CU11" s="25" t="s">
        <v>121</v>
      </c>
      <c r="CV11" s="25" t="s">
        <v>121</v>
      </c>
      <c r="CW11" s="25" t="s">
        <v>121</v>
      </c>
      <c r="CX11" s="25" t="s">
        <v>121</v>
      </c>
      <c r="CY11" s="25" t="s">
        <v>121</v>
      </c>
      <c r="CZ11" s="25" t="s">
        <v>121</v>
      </c>
      <c r="DA11" s="25" t="s">
        <v>121</v>
      </c>
      <c r="DB11" s="25" t="s">
        <v>121</v>
      </c>
      <c r="DC11" s="25" t="s">
        <v>121</v>
      </c>
      <c r="DD11" s="25" t="s">
        <v>121</v>
      </c>
      <c r="DE11" s="25" t="s">
        <v>121</v>
      </c>
      <c r="DF11" s="25" t="s">
        <v>121</v>
      </c>
      <c r="DG11" s="25" t="s">
        <v>121</v>
      </c>
      <c r="DH11" s="25" t="s">
        <v>121</v>
      </c>
      <c r="DI11" s="25" t="s">
        <v>121</v>
      </c>
      <c r="DJ11" s="25" t="s">
        <v>121</v>
      </c>
      <c r="DK11" s="25" t="s">
        <v>121</v>
      </c>
      <c r="DL11" s="25" t="s">
        <v>121</v>
      </c>
      <c r="DM11" s="25" t="s">
        <v>121</v>
      </c>
      <c r="DN11" s="25" t="s">
        <v>121</v>
      </c>
      <c r="DO11" s="25" t="s">
        <v>121</v>
      </c>
      <c r="DP11" s="25" t="s">
        <v>121</v>
      </c>
      <c r="DQ11" s="25" t="s">
        <v>121</v>
      </c>
      <c r="DR11" s="25" t="s">
        <v>121</v>
      </c>
      <c r="DS11" s="25" t="s">
        <v>121</v>
      </c>
      <c r="DT11" s="25" t="s">
        <v>121</v>
      </c>
      <c r="DU11" s="25" t="s">
        <v>121</v>
      </c>
      <c r="DV11" s="25" t="s">
        <v>121</v>
      </c>
      <c r="DW11" s="25" t="s">
        <v>121</v>
      </c>
      <c r="DX11" s="25" t="s">
        <v>121</v>
      </c>
      <c r="DY11" s="25" t="s">
        <v>121</v>
      </c>
      <c r="DZ11" s="25" t="s">
        <v>121</v>
      </c>
      <c r="EA11" s="25" t="s">
        <v>121</v>
      </c>
      <c r="EB11" s="25" t="s">
        <v>121</v>
      </c>
      <c r="EC11" s="25" t="s">
        <v>121</v>
      </c>
      <c r="ED11" s="25" t="s">
        <v>121</v>
      </c>
      <c r="EE11" s="25" t="s">
        <v>121</v>
      </c>
      <c r="EF11" s="25" t="s">
        <v>121</v>
      </c>
      <c r="EG11" s="25" t="s">
        <v>121</v>
      </c>
      <c r="EH11" s="25" t="s">
        <v>121</v>
      </c>
      <c r="EI11" s="25" t="s">
        <v>121</v>
      </c>
      <c r="EJ11" s="25" t="s">
        <v>121</v>
      </c>
      <c r="EK11" s="25" t="s">
        <v>121</v>
      </c>
      <c r="EL11" s="25" t="s">
        <v>121</v>
      </c>
      <c r="EM11" s="25" t="s">
        <v>121</v>
      </c>
      <c r="EN11" s="25" t="s">
        <v>121</v>
      </c>
      <c r="EO11" s="25" t="s">
        <v>121</v>
      </c>
      <c r="EP11" s="25" t="s">
        <v>121</v>
      </c>
      <c r="EQ11" s="25" t="s">
        <v>121</v>
      </c>
      <c r="ER11" s="25" t="s">
        <v>121</v>
      </c>
      <c r="ES11" s="25" t="s">
        <v>121</v>
      </c>
      <c r="ET11" s="25" t="s">
        <v>121</v>
      </c>
      <c r="EU11" s="25" t="s">
        <v>121</v>
      </c>
      <c r="EV11" s="25" t="s">
        <v>121</v>
      </c>
      <c r="EW11" s="25" t="s">
        <v>121</v>
      </c>
      <c r="EX11" s="25" t="s">
        <v>121</v>
      </c>
    </row>
    <row r="12" spans="1:154" s="25" customFormat="1" ht="15" customHeight="1" x14ac:dyDescent="0.25">
      <c r="A12" s="72">
        <v>12</v>
      </c>
      <c r="B12" s="236" t="s">
        <v>411</v>
      </c>
      <c r="C12" s="91" t="s">
        <v>121</v>
      </c>
      <c r="D12" s="86" t="s">
        <v>121</v>
      </c>
      <c r="E12" s="92">
        <v>0.12752452394691294</v>
      </c>
      <c r="F12" s="22">
        <v>-1954</v>
      </c>
      <c r="G12" s="22">
        <v>-1274</v>
      </c>
      <c r="H12" s="22">
        <v>-631</v>
      </c>
      <c r="I12" s="22">
        <v>-2319</v>
      </c>
      <c r="J12" s="22">
        <v>-1733</v>
      </c>
      <c r="K12" s="22">
        <v>-1161</v>
      </c>
      <c r="L12" s="22">
        <v>-577</v>
      </c>
      <c r="M12" s="22">
        <v>-2114</v>
      </c>
      <c r="N12" s="22">
        <v>-1568</v>
      </c>
      <c r="O12" s="22">
        <v>-1049</v>
      </c>
      <c r="P12" s="22">
        <v>-529</v>
      </c>
      <c r="Q12" s="405"/>
      <c r="R12" s="405"/>
      <c r="S12" s="405"/>
      <c r="T12" s="405"/>
      <c r="U12" s="22">
        <v>-1521</v>
      </c>
      <c r="V12" s="22">
        <v>-1095</v>
      </c>
      <c r="W12" s="22">
        <v>-676</v>
      </c>
      <c r="X12" s="22">
        <v>-338</v>
      </c>
      <c r="Y12" s="22">
        <v>-1242</v>
      </c>
      <c r="Z12" s="22">
        <v>-911.70500000000004</v>
      </c>
      <c r="AA12" s="22">
        <v>-589.97500000000002</v>
      </c>
      <c r="AB12" s="22">
        <v>-452.435</v>
      </c>
      <c r="AC12" s="22">
        <v>-1767.491</v>
      </c>
      <c r="AD12" s="22">
        <v>-1323.5319999999999</v>
      </c>
      <c r="AE12" s="22">
        <v>-881.38300000000004</v>
      </c>
      <c r="AF12" s="22">
        <v>-441.8</v>
      </c>
      <c r="AG12" s="22">
        <v>-1250.3109999999999</v>
      </c>
      <c r="AH12" s="22">
        <v>-917.92399999999998</v>
      </c>
      <c r="AI12" s="22">
        <v>-598.9</v>
      </c>
      <c r="AJ12" s="22">
        <v>-294.02699999999999</v>
      </c>
      <c r="AK12" s="22">
        <v>-890.44399999999996</v>
      </c>
      <c r="AL12" s="22">
        <v>-663.74199999999996</v>
      </c>
      <c r="AM12" s="22">
        <v>-436.77199999999999</v>
      </c>
      <c r="AN12" s="22">
        <v>-215.27199999999999</v>
      </c>
      <c r="AO12" s="22">
        <v>-787.30700000000002</v>
      </c>
      <c r="AP12" s="22">
        <v>-571.60199999999998</v>
      </c>
      <c r="AQ12" s="22">
        <v>-354.22399999999999</v>
      </c>
      <c r="AR12" s="22">
        <v>-178.214</v>
      </c>
      <c r="AS12" s="22">
        <v>-607.73299999999995</v>
      </c>
      <c r="AT12" s="22">
        <v>-444.56100000000004</v>
      </c>
      <c r="AU12" s="22">
        <v>-286.928</v>
      </c>
      <c r="AV12" s="22">
        <v>-144.42699999999999</v>
      </c>
      <c r="AW12" s="22">
        <v>-511.19600000000003</v>
      </c>
      <c r="AX12" s="22">
        <v>-371.48</v>
      </c>
      <c r="AY12" s="22">
        <v>-243.864</v>
      </c>
      <c r="AZ12" s="22">
        <v>-121.867</v>
      </c>
      <c r="BA12" s="22">
        <v>-428.971</v>
      </c>
      <c r="BB12" s="22">
        <v>-315.642</v>
      </c>
      <c r="BC12" s="22">
        <v>-203.73699999999999</v>
      </c>
      <c r="BD12" s="22">
        <v>-96.717999999999989</v>
      </c>
      <c r="BE12" s="22">
        <v>-358.04599999999994</v>
      </c>
      <c r="BF12" s="22">
        <v>-270.5</v>
      </c>
      <c r="BG12" s="22">
        <v>-172.71199999999999</v>
      </c>
      <c r="BH12" s="22">
        <v>-83.703000000000003</v>
      </c>
      <c r="BI12" s="22">
        <v>-297.363</v>
      </c>
      <c r="BJ12" s="22">
        <v>-218.03100000000001</v>
      </c>
      <c r="BK12" s="22">
        <v>-141.93199999999999</v>
      </c>
      <c r="BL12" s="22" t="s">
        <v>121</v>
      </c>
      <c r="BM12" s="25">
        <v>-255.06800000000001</v>
      </c>
      <c r="BN12" s="25">
        <v>-187.86799999999999</v>
      </c>
      <c r="BO12" s="25">
        <v>-257.86</v>
      </c>
      <c r="BP12" s="25">
        <v>-60.643999999999998</v>
      </c>
      <c r="BQ12" s="25" t="s">
        <v>121</v>
      </c>
      <c r="BR12" s="25" t="s">
        <v>121</v>
      </c>
      <c r="BS12" s="25" t="s">
        <v>121</v>
      </c>
      <c r="BT12" s="25" t="s">
        <v>121</v>
      </c>
      <c r="BU12" s="25" t="s">
        <v>121</v>
      </c>
      <c r="BV12" s="25" t="s">
        <v>121</v>
      </c>
      <c r="BW12" s="25" t="s">
        <v>121</v>
      </c>
      <c r="BX12" s="25" t="s">
        <v>121</v>
      </c>
      <c r="BY12" s="25" t="s">
        <v>121</v>
      </c>
      <c r="BZ12" s="25" t="s">
        <v>121</v>
      </c>
      <c r="CA12" s="25" t="s">
        <v>121</v>
      </c>
      <c r="CB12" s="25" t="s">
        <v>121</v>
      </c>
      <c r="CC12" s="25" t="s">
        <v>121</v>
      </c>
      <c r="CD12" s="25" t="s">
        <v>121</v>
      </c>
      <c r="CE12" s="25" t="s">
        <v>121</v>
      </c>
      <c r="CF12" s="25" t="s">
        <v>121</v>
      </c>
      <c r="CG12" s="25" t="s">
        <v>121</v>
      </c>
      <c r="CH12" s="25" t="s">
        <v>121</v>
      </c>
      <c r="CI12" s="25" t="s">
        <v>121</v>
      </c>
      <c r="CJ12" s="25" t="s">
        <v>121</v>
      </c>
      <c r="CK12" s="25" t="s">
        <v>121</v>
      </c>
      <c r="CL12" s="25" t="s">
        <v>121</v>
      </c>
      <c r="CM12" s="25" t="s">
        <v>121</v>
      </c>
      <c r="CN12" s="25" t="s">
        <v>121</v>
      </c>
      <c r="CO12" s="25" t="s">
        <v>121</v>
      </c>
      <c r="CP12" s="25" t="s">
        <v>121</v>
      </c>
      <c r="CQ12" s="25" t="s">
        <v>121</v>
      </c>
      <c r="CR12" s="25" t="s">
        <v>121</v>
      </c>
      <c r="CS12" s="25" t="s">
        <v>121</v>
      </c>
      <c r="CT12" s="25" t="s">
        <v>121</v>
      </c>
      <c r="CU12" s="25" t="s">
        <v>121</v>
      </c>
      <c r="CV12" s="25" t="s">
        <v>121</v>
      </c>
      <c r="CW12" s="25" t="s">
        <v>121</v>
      </c>
      <c r="CX12" s="25" t="s">
        <v>121</v>
      </c>
      <c r="CY12" s="25" t="s">
        <v>121</v>
      </c>
      <c r="CZ12" s="25" t="s">
        <v>121</v>
      </c>
      <c r="DA12" s="25" t="s">
        <v>121</v>
      </c>
      <c r="DB12" s="25" t="s">
        <v>121</v>
      </c>
      <c r="DC12" s="25" t="s">
        <v>121</v>
      </c>
      <c r="DD12" s="25" t="s">
        <v>121</v>
      </c>
      <c r="DE12" s="25" t="s">
        <v>121</v>
      </c>
      <c r="DF12" s="25" t="s">
        <v>121</v>
      </c>
      <c r="DG12" s="25" t="s">
        <v>121</v>
      </c>
      <c r="DH12" s="25" t="s">
        <v>121</v>
      </c>
      <c r="DI12" s="25" t="s">
        <v>121</v>
      </c>
      <c r="DJ12" s="25" t="s">
        <v>121</v>
      </c>
      <c r="DK12" s="25" t="s">
        <v>121</v>
      </c>
      <c r="DL12" s="25" t="s">
        <v>121</v>
      </c>
      <c r="DM12" s="25" t="s">
        <v>121</v>
      </c>
      <c r="DN12" s="25" t="s">
        <v>121</v>
      </c>
      <c r="DO12" s="25" t="s">
        <v>121</v>
      </c>
      <c r="DP12" s="25" t="s">
        <v>121</v>
      </c>
      <c r="DQ12" s="25" t="s">
        <v>121</v>
      </c>
      <c r="DR12" s="25" t="s">
        <v>121</v>
      </c>
      <c r="DS12" s="25" t="s">
        <v>121</v>
      </c>
      <c r="DT12" s="25" t="s">
        <v>121</v>
      </c>
      <c r="DU12" s="25" t="s">
        <v>121</v>
      </c>
      <c r="DV12" s="25" t="s">
        <v>121</v>
      </c>
      <c r="DW12" s="25" t="s">
        <v>121</v>
      </c>
      <c r="DX12" s="25" t="s">
        <v>121</v>
      </c>
      <c r="DY12" s="25" t="s">
        <v>121</v>
      </c>
      <c r="DZ12" s="25" t="s">
        <v>121</v>
      </c>
      <c r="EA12" s="25" t="s">
        <v>121</v>
      </c>
      <c r="EB12" s="25" t="s">
        <v>121</v>
      </c>
      <c r="EC12" s="25" t="s">
        <v>121</v>
      </c>
      <c r="ED12" s="25" t="s">
        <v>121</v>
      </c>
      <c r="EE12" s="25" t="s">
        <v>121</v>
      </c>
      <c r="EF12" s="25" t="s">
        <v>121</v>
      </c>
      <c r="EG12" s="25" t="s">
        <v>121</v>
      </c>
      <c r="EH12" s="25" t="s">
        <v>121</v>
      </c>
      <c r="EI12" s="25" t="s">
        <v>121</v>
      </c>
      <c r="EJ12" s="25" t="s">
        <v>121</v>
      </c>
      <c r="EK12" s="25" t="s">
        <v>121</v>
      </c>
      <c r="EL12" s="25" t="s">
        <v>121</v>
      </c>
      <c r="EM12" s="25" t="s">
        <v>121</v>
      </c>
      <c r="EN12" s="25" t="s">
        <v>121</v>
      </c>
      <c r="EO12" s="25" t="s">
        <v>121</v>
      </c>
      <c r="EP12" s="25" t="s">
        <v>121</v>
      </c>
      <c r="EQ12" s="25" t="s">
        <v>121</v>
      </c>
      <c r="ER12" s="25" t="s">
        <v>121</v>
      </c>
      <c r="ES12" s="25" t="s">
        <v>121</v>
      </c>
      <c r="ET12" s="25" t="s">
        <v>121</v>
      </c>
      <c r="EU12" s="25" t="s">
        <v>121</v>
      </c>
      <c r="EV12" s="25" t="s">
        <v>121</v>
      </c>
      <c r="EW12" s="25" t="s">
        <v>121</v>
      </c>
      <c r="EX12" s="25" t="s">
        <v>121</v>
      </c>
    </row>
    <row r="13" spans="1:154" s="19" customFormat="1" ht="15" customHeight="1" x14ac:dyDescent="0.25">
      <c r="A13" s="72">
        <v>13</v>
      </c>
      <c r="B13" s="29" t="s">
        <v>412</v>
      </c>
      <c r="C13" s="91" t="s">
        <v>121</v>
      </c>
      <c r="D13" s="86" t="s">
        <v>121</v>
      </c>
      <c r="E13" s="94">
        <v>0.15352470220660019</v>
      </c>
      <c r="F13" s="65">
        <v>59072</v>
      </c>
      <c r="G13" s="65">
        <v>39430</v>
      </c>
      <c r="H13" s="65">
        <v>19928</v>
      </c>
      <c r="I13" s="65">
        <v>70557</v>
      </c>
      <c r="J13" s="65">
        <v>51210</v>
      </c>
      <c r="K13" s="65">
        <v>33866</v>
      </c>
      <c r="L13" s="65">
        <v>17202</v>
      </c>
      <c r="M13" s="65">
        <v>50832</v>
      </c>
      <c r="N13" s="65">
        <v>34755</v>
      </c>
      <c r="O13" s="65">
        <v>22095</v>
      </c>
      <c r="P13" s="65">
        <v>11209</v>
      </c>
      <c r="Q13" s="405"/>
      <c r="R13" s="405"/>
      <c r="S13" s="405"/>
      <c r="T13" s="405"/>
      <c r="U13" s="65">
        <v>28911</v>
      </c>
      <c r="V13" s="65">
        <v>20957</v>
      </c>
      <c r="W13" s="65">
        <v>13900</v>
      </c>
      <c r="X13" s="65">
        <v>6466</v>
      </c>
      <c r="Y13" s="65">
        <v>25524</v>
      </c>
      <c r="Z13" s="65">
        <v>18333.587</v>
      </c>
      <c r="AA13" s="65">
        <v>12293.163</v>
      </c>
      <c r="AB13" s="65">
        <v>6235.6049999999996</v>
      </c>
      <c r="AC13" s="65">
        <v>23281.469000000005</v>
      </c>
      <c r="AD13" s="65">
        <v>16914.134000000002</v>
      </c>
      <c r="AE13" s="65">
        <v>11057.760999999999</v>
      </c>
      <c r="AF13" s="65">
        <v>5736.3910000000005</v>
      </c>
      <c r="AG13" s="65">
        <v>21895.264999999999</v>
      </c>
      <c r="AH13" s="65">
        <v>15829.462999999996</v>
      </c>
      <c r="AI13" s="65">
        <v>10310.013999999999</v>
      </c>
      <c r="AJ13" s="65">
        <v>5053.8419999999996</v>
      </c>
      <c r="AK13" s="65">
        <v>19657.520999999997</v>
      </c>
      <c r="AL13" s="65">
        <v>13941.552000000001</v>
      </c>
      <c r="AM13" s="65">
        <v>8793.2519999999986</v>
      </c>
      <c r="AN13" s="65">
        <v>4453.5990000000011</v>
      </c>
      <c r="AO13" s="65">
        <v>21357.581999999999</v>
      </c>
      <c r="AP13" s="65">
        <v>15506.97</v>
      </c>
      <c r="AQ13" s="65">
        <v>10026.615999999998</v>
      </c>
      <c r="AR13" s="65">
        <v>4889.6530000000012</v>
      </c>
      <c r="AS13" s="65">
        <v>16869.748999999996</v>
      </c>
      <c r="AT13" s="65">
        <v>11878.002999999999</v>
      </c>
      <c r="AU13" s="65">
        <v>7952.9910000000018</v>
      </c>
      <c r="AV13" s="65">
        <v>3977.694</v>
      </c>
      <c r="AW13" s="65">
        <v>17999.700000000004</v>
      </c>
      <c r="AX13" s="65">
        <v>12602.809000000001</v>
      </c>
      <c r="AY13" s="65">
        <v>8259.6350000000002</v>
      </c>
      <c r="AZ13" s="65">
        <v>3967.893</v>
      </c>
      <c r="BA13" s="65">
        <v>12943.022000000003</v>
      </c>
      <c r="BB13" s="65">
        <v>9238.4009999999998</v>
      </c>
      <c r="BC13" s="65">
        <v>5945.3370000000004</v>
      </c>
      <c r="BD13" s="65">
        <v>2890.64</v>
      </c>
      <c r="BE13" s="65">
        <v>11624.099999999999</v>
      </c>
      <c r="BF13" s="65">
        <v>8610.232</v>
      </c>
      <c r="BG13" s="65">
        <v>5788.7879999999986</v>
      </c>
      <c r="BH13" s="65">
        <v>2839.6120000000001</v>
      </c>
      <c r="BI13" s="65">
        <v>13322.564</v>
      </c>
      <c r="BJ13" s="65">
        <v>10117.833999999997</v>
      </c>
      <c r="BK13" s="65">
        <v>6645.8789999999999</v>
      </c>
      <c r="BL13" s="65">
        <v>3267.7710000000002</v>
      </c>
      <c r="BM13" s="19">
        <v>11769.359999999999</v>
      </c>
      <c r="BN13" s="19">
        <v>8858.9659999999985</v>
      </c>
      <c r="BO13" s="19">
        <v>5820.3750000000009</v>
      </c>
      <c r="BP13" s="19">
        <v>3024.3710000000001</v>
      </c>
      <c r="BQ13" s="19" t="s">
        <v>121</v>
      </c>
      <c r="BR13" s="19" t="s">
        <v>121</v>
      </c>
      <c r="BS13" s="19" t="s">
        <v>121</v>
      </c>
      <c r="BT13" s="19" t="s">
        <v>121</v>
      </c>
      <c r="BU13" s="19" t="s">
        <v>121</v>
      </c>
      <c r="BV13" s="19" t="s">
        <v>121</v>
      </c>
      <c r="BW13" s="19" t="s">
        <v>121</v>
      </c>
      <c r="BX13" s="19" t="s">
        <v>121</v>
      </c>
      <c r="BY13" s="19" t="s">
        <v>121</v>
      </c>
      <c r="BZ13" s="19" t="s">
        <v>121</v>
      </c>
      <c r="CA13" s="19" t="s">
        <v>121</v>
      </c>
      <c r="CB13" s="19" t="s">
        <v>121</v>
      </c>
      <c r="CC13" s="19" t="s">
        <v>121</v>
      </c>
      <c r="CD13" s="19" t="s">
        <v>121</v>
      </c>
      <c r="CE13" s="19" t="s">
        <v>121</v>
      </c>
      <c r="CF13" s="19" t="s">
        <v>121</v>
      </c>
      <c r="CG13" s="19" t="s">
        <v>121</v>
      </c>
      <c r="CH13" s="19" t="s">
        <v>121</v>
      </c>
      <c r="CI13" s="19" t="s">
        <v>121</v>
      </c>
      <c r="CJ13" s="19" t="s">
        <v>121</v>
      </c>
      <c r="CK13" s="19" t="s">
        <v>121</v>
      </c>
      <c r="CL13" s="19" t="s">
        <v>121</v>
      </c>
      <c r="CM13" s="19" t="s">
        <v>121</v>
      </c>
      <c r="CN13" s="19" t="s">
        <v>121</v>
      </c>
      <c r="CO13" s="19" t="s">
        <v>121</v>
      </c>
      <c r="CP13" s="19" t="s">
        <v>121</v>
      </c>
      <c r="CQ13" s="19" t="s">
        <v>121</v>
      </c>
      <c r="CR13" s="19" t="s">
        <v>121</v>
      </c>
      <c r="CS13" s="19" t="s">
        <v>121</v>
      </c>
      <c r="CT13" s="19" t="s">
        <v>121</v>
      </c>
      <c r="CU13" s="19" t="s">
        <v>121</v>
      </c>
      <c r="CV13" s="19" t="s">
        <v>121</v>
      </c>
      <c r="CW13" s="19" t="s">
        <v>121</v>
      </c>
      <c r="CX13" s="19" t="s">
        <v>121</v>
      </c>
      <c r="CY13" s="19" t="s">
        <v>121</v>
      </c>
      <c r="CZ13" s="19" t="s">
        <v>121</v>
      </c>
      <c r="DA13" s="19" t="s">
        <v>121</v>
      </c>
      <c r="DB13" s="19" t="s">
        <v>121</v>
      </c>
      <c r="DC13" s="19" t="s">
        <v>121</v>
      </c>
      <c r="DD13" s="19" t="s">
        <v>121</v>
      </c>
      <c r="DE13" s="19" t="s">
        <v>121</v>
      </c>
      <c r="DF13" s="19" t="s">
        <v>121</v>
      </c>
      <c r="DG13" s="19" t="s">
        <v>121</v>
      </c>
      <c r="DH13" s="19" t="s">
        <v>121</v>
      </c>
      <c r="DI13" s="19" t="s">
        <v>121</v>
      </c>
      <c r="DJ13" s="19" t="s">
        <v>121</v>
      </c>
      <c r="DK13" s="19" t="s">
        <v>121</v>
      </c>
      <c r="DL13" s="19" t="s">
        <v>121</v>
      </c>
      <c r="DM13" s="19" t="s">
        <v>121</v>
      </c>
      <c r="DN13" s="19" t="s">
        <v>121</v>
      </c>
      <c r="DO13" s="19" t="s">
        <v>121</v>
      </c>
      <c r="DP13" s="19" t="s">
        <v>121</v>
      </c>
      <c r="DQ13" s="19" t="s">
        <v>121</v>
      </c>
      <c r="DR13" s="19" t="s">
        <v>121</v>
      </c>
      <c r="DS13" s="19" t="s">
        <v>121</v>
      </c>
      <c r="DT13" s="19" t="s">
        <v>121</v>
      </c>
      <c r="DU13" s="19" t="s">
        <v>121</v>
      </c>
      <c r="DV13" s="19" t="s">
        <v>121</v>
      </c>
      <c r="DW13" s="19" t="s">
        <v>121</v>
      </c>
      <c r="DX13" s="19" t="s">
        <v>121</v>
      </c>
      <c r="DY13" s="19" t="s">
        <v>121</v>
      </c>
      <c r="DZ13" s="19" t="s">
        <v>121</v>
      </c>
      <c r="EA13" s="19" t="s">
        <v>121</v>
      </c>
      <c r="EB13" s="19" t="s">
        <v>121</v>
      </c>
      <c r="EC13" s="19" t="s">
        <v>121</v>
      </c>
      <c r="ED13" s="19" t="s">
        <v>121</v>
      </c>
      <c r="EE13" s="19" t="s">
        <v>121</v>
      </c>
      <c r="EF13" s="19" t="s">
        <v>121</v>
      </c>
      <c r="EG13" s="19" t="s">
        <v>121</v>
      </c>
      <c r="EH13" s="19" t="s">
        <v>121</v>
      </c>
      <c r="EI13" s="19" t="s">
        <v>121</v>
      </c>
      <c r="EJ13" s="19" t="s">
        <v>121</v>
      </c>
      <c r="EK13" s="19" t="s">
        <v>121</v>
      </c>
      <c r="EL13" s="19" t="s">
        <v>121</v>
      </c>
      <c r="EM13" s="19" t="s">
        <v>121</v>
      </c>
      <c r="EN13" s="19" t="s">
        <v>121</v>
      </c>
      <c r="EO13" s="19" t="s">
        <v>121</v>
      </c>
      <c r="EP13" s="19" t="s">
        <v>121</v>
      </c>
      <c r="EQ13" s="19" t="s">
        <v>121</v>
      </c>
      <c r="ER13" s="19" t="s">
        <v>121</v>
      </c>
      <c r="ES13" s="19" t="s">
        <v>121</v>
      </c>
      <c r="ET13" s="19" t="s">
        <v>121</v>
      </c>
      <c r="EU13" s="19" t="s">
        <v>121</v>
      </c>
      <c r="EV13" s="19" t="s">
        <v>121</v>
      </c>
      <c r="EW13" s="19" t="s">
        <v>121</v>
      </c>
      <c r="EX13" s="19" t="s">
        <v>121</v>
      </c>
    </row>
    <row r="14" spans="1:154" s="25" customFormat="1" ht="26.1" customHeight="1" x14ac:dyDescent="0.25">
      <c r="A14" s="72">
        <v>14</v>
      </c>
      <c r="B14" s="30" t="s">
        <v>413</v>
      </c>
      <c r="C14" s="91" t="s">
        <v>121</v>
      </c>
      <c r="D14" s="86" t="s">
        <v>121</v>
      </c>
      <c r="E14" s="92">
        <v>1.6824657534246574</v>
      </c>
      <c r="F14" s="22">
        <v>-9791</v>
      </c>
      <c r="G14" s="22">
        <v>-5593</v>
      </c>
      <c r="H14" s="22">
        <v>78</v>
      </c>
      <c r="I14" s="22">
        <v>-5284</v>
      </c>
      <c r="J14" s="22">
        <v>-3650</v>
      </c>
      <c r="K14" s="22">
        <v>-3057</v>
      </c>
      <c r="L14" s="22">
        <v>-189</v>
      </c>
      <c r="M14" s="22">
        <v>4324</v>
      </c>
      <c r="N14" s="22">
        <v>4564</v>
      </c>
      <c r="O14" s="22">
        <v>4397</v>
      </c>
      <c r="P14" s="22">
        <v>3691</v>
      </c>
      <c r="Q14" s="405"/>
      <c r="R14" s="405"/>
      <c r="S14" s="405"/>
      <c r="T14" s="405"/>
      <c r="U14" s="22">
        <v>-5158</v>
      </c>
      <c r="V14" s="22">
        <v>-5173</v>
      </c>
      <c r="W14" s="22">
        <v>-4099</v>
      </c>
      <c r="X14" s="22">
        <v>-2112</v>
      </c>
      <c r="Y14" s="22">
        <v>-8851</v>
      </c>
      <c r="Z14" s="22">
        <v>-7078.348</v>
      </c>
      <c r="AA14" s="255">
        <v>-5067.9579999999996</v>
      </c>
      <c r="AB14" s="22">
        <v>-2599.7550000000001</v>
      </c>
      <c r="AC14" s="22">
        <v>-7655.2790000000005</v>
      </c>
      <c r="AD14" s="22">
        <v>-5587.6009999999997</v>
      </c>
      <c r="AE14" s="255">
        <v>-3815.3820000000001</v>
      </c>
      <c r="AF14" s="22">
        <v>-2219.3290000000002</v>
      </c>
      <c r="AG14" s="22">
        <v>-7713.6049999999996</v>
      </c>
      <c r="AH14" s="22">
        <v>-5903.701</v>
      </c>
      <c r="AI14" s="22">
        <v>-3669.549</v>
      </c>
      <c r="AJ14" s="22">
        <v>-1758.6980000000001</v>
      </c>
      <c r="AK14" s="22">
        <v>-9574.8340000000007</v>
      </c>
      <c r="AL14" s="22">
        <v>-7216.5439999999999</v>
      </c>
      <c r="AM14" s="22">
        <v>-5203.1329999999998</v>
      </c>
      <c r="AN14" s="22">
        <v>-2654.989</v>
      </c>
      <c r="AO14" s="22">
        <v>-12490.106</v>
      </c>
      <c r="AP14" s="22">
        <v>-9391.8819999999996</v>
      </c>
      <c r="AQ14" s="22">
        <v>-6131.32</v>
      </c>
      <c r="AR14" s="22">
        <v>-2942.0909999999999</v>
      </c>
      <c r="AS14" s="22">
        <v>-12293.143</v>
      </c>
      <c r="AT14" s="22">
        <v>-8880.3510000000006</v>
      </c>
      <c r="AU14" s="22">
        <v>-5593.9179999999997</v>
      </c>
      <c r="AV14" s="22">
        <v>-2554.7150000000001</v>
      </c>
      <c r="AW14" s="22">
        <v>-7285.9089999999987</v>
      </c>
      <c r="AX14" s="22">
        <v>-4374.7370000000001</v>
      </c>
      <c r="AY14" s="22">
        <v>-2773.2069999999999</v>
      </c>
      <c r="AZ14" s="22">
        <v>-1215.3109999999999</v>
      </c>
      <c r="BA14" s="63">
        <v>-4495.0690000000004</v>
      </c>
      <c r="BB14" s="22">
        <v>-3336.0820000000003</v>
      </c>
      <c r="BC14" s="22">
        <v>-2235.4639999999999</v>
      </c>
      <c r="BD14" s="22">
        <v>-1089.8030000000001</v>
      </c>
      <c r="BE14" s="22">
        <v>-6389.9370000000008</v>
      </c>
      <c r="BF14" s="22">
        <v>-4919.4229999999998</v>
      </c>
      <c r="BG14" s="22">
        <v>-3307.2570000000001</v>
      </c>
      <c r="BH14" s="22">
        <v>-1767.7650000000001</v>
      </c>
      <c r="BI14" s="22">
        <v>-3502.8990000000003</v>
      </c>
      <c r="BJ14" s="22">
        <v>-1683.76</v>
      </c>
      <c r="BK14" s="22">
        <v>-962.95499999999993</v>
      </c>
      <c r="BL14" s="22">
        <v>-741.97199999999998</v>
      </c>
      <c r="BM14" s="25">
        <v>-4485.2110000000002</v>
      </c>
      <c r="BN14" s="25">
        <v>-4962.5630000000001</v>
      </c>
      <c r="BO14" s="25">
        <v>-3964.7039999999997</v>
      </c>
      <c r="BP14" s="25">
        <v>-2779.527</v>
      </c>
      <c r="BQ14" s="25" t="s">
        <v>121</v>
      </c>
      <c r="BR14" s="25" t="s">
        <v>121</v>
      </c>
      <c r="BS14" s="25" t="s">
        <v>121</v>
      </c>
      <c r="BT14" s="25" t="s">
        <v>121</v>
      </c>
      <c r="BU14" s="25" t="s">
        <v>121</v>
      </c>
      <c r="BV14" s="25" t="s">
        <v>121</v>
      </c>
      <c r="BW14" s="25" t="s">
        <v>121</v>
      </c>
      <c r="BX14" s="25" t="s">
        <v>121</v>
      </c>
      <c r="BY14" s="25" t="s">
        <v>121</v>
      </c>
      <c r="BZ14" s="25" t="s">
        <v>121</v>
      </c>
      <c r="CA14" s="25" t="s">
        <v>121</v>
      </c>
      <c r="CB14" s="25" t="s">
        <v>121</v>
      </c>
      <c r="CC14" s="25" t="s">
        <v>121</v>
      </c>
      <c r="CD14" s="25" t="s">
        <v>121</v>
      </c>
      <c r="CE14" s="25" t="s">
        <v>121</v>
      </c>
      <c r="CF14" s="25" t="s">
        <v>121</v>
      </c>
      <c r="CG14" s="25" t="s">
        <v>121</v>
      </c>
      <c r="CH14" s="25" t="s">
        <v>121</v>
      </c>
      <c r="CI14" s="25" t="s">
        <v>121</v>
      </c>
      <c r="CJ14" s="25" t="s">
        <v>121</v>
      </c>
      <c r="CK14" s="25" t="s">
        <v>121</v>
      </c>
      <c r="CL14" s="25" t="s">
        <v>121</v>
      </c>
      <c r="CM14" s="25" t="s">
        <v>121</v>
      </c>
      <c r="CN14" s="25" t="s">
        <v>121</v>
      </c>
      <c r="CO14" s="25" t="s">
        <v>121</v>
      </c>
      <c r="CP14" s="25" t="s">
        <v>121</v>
      </c>
      <c r="CQ14" s="25" t="s">
        <v>121</v>
      </c>
      <c r="CR14" s="25" t="s">
        <v>121</v>
      </c>
      <c r="CS14" s="25" t="s">
        <v>121</v>
      </c>
      <c r="CT14" s="25" t="s">
        <v>121</v>
      </c>
      <c r="CU14" s="25" t="s">
        <v>121</v>
      </c>
      <c r="CV14" s="25" t="s">
        <v>121</v>
      </c>
      <c r="CW14" s="25" t="s">
        <v>121</v>
      </c>
      <c r="CX14" s="25" t="s">
        <v>121</v>
      </c>
      <c r="CY14" s="25" t="s">
        <v>121</v>
      </c>
      <c r="CZ14" s="25" t="s">
        <v>121</v>
      </c>
      <c r="DA14" s="25" t="s">
        <v>121</v>
      </c>
      <c r="DB14" s="25" t="s">
        <v>121</v>
      </c>
      <c r="DC14" s="25" t="s">
        <v>121</v>
      </c>
      <c r="DD14" s="25" t="s">
        <v>121</v>
      </c>
      <c r="DE14" s="25" t="s">
        <v>121</v>
      </c>
      <c r="DF14" s="25" t="s">
        <v>121</v>
      </c>
      <c r="DG14" s="25" t="s">
        <v>121</v>
      </c>
      <c r="DH14" s="25" t="s">
        <v>121</v>
      </c>
      <c r="DI14" s="25" t="s">
        <v>121</v>
      </c>
      <c r="DJ14" s="25" t="s">
        <v>121</v>
      </c>
      <c r="DK14" s="25" t="s">
        <v>121</v>
      </c>
      <c r="DL14" s="25" t="s">
        <v>121</v>
      </c>
      <c r="DM14" s="25" t="s">
        <v>121</v>
      </c>
      <c r="DN14" s="25" t="s">
        <v>121</v>
      </c>
      <c r="DO14" s="25" t="s">
        <v>121</v>
      </c>
      <c r="DP14" s="25" t="s">
        <v>121</v>
      </c>
      <c r="DQ14" s="25" t="s">
        <v>121</v>
      </c>
      <c r="DR14" s="25" t="s">
        <v>121</v>
      </c>
      <c r="DS14" s="25" t="s">
        <v>121</v>
      </c>
      <c r="DT14" s="25" t="s">
        <v>121</v>
      </c>
      <c r="DU14" s="25" t="s">
        <v>121</v>
      </c>
      <c r="DV14" s="25" t="s">
        <v>121</v>
      </c>
      <c r="DW14" s="25" t="s">
        <v>121</v>
      </c>
      <c r="DX14" s="25" t="s">
        <v>121</v>
      </c>
      <c r="DY14" s="25" t="s">
        <v>121</v>
      </c>
      <c r="DZ14" s="25" t="s">
        <v>121</v>
      </c>
      <c r="EA14" s="25" t="s">
        <v>121</v>
      </c>
      <c r="EB14" s="25" t="s">
        <v>121</v>
      </c>
      <c r="EC14" s="25" t="s">
        <v>121</v>
      </c>
      <c r="ED14" s="25" t="s">
        <v>121</v>
      </c>
      <c r="EE14" s="25" t="s">
        <v>121</v>
      </c>
      <c r="EF14" s="25" t="s">
        <v>121</v>
      </c>
      <c r="EG14" s="25" t="s">
        <v>121</v>
      </c>
      <c r="EH14" s="25" t="s">
        <v>121</v>
      </c>
      <c r="EI14" s="25" t="s">
        <v>121</v>
      </c>
      <c r="EJ14" s="25" t="s">
        <v>121</v>
      </c>
      <c r="EK14" s="25" t="s">
        <v>121</v>
      </c>
      <c r="EL14" s="25" t="s">
        <v>121</v>
      </c>
      <c r="EM14" s="25" t="s">
        <v>121</v>
      </c>
      <c r="EN14" s="25" t="s">
        <v>121</v>
      </c>
      <c r="EO14" s="25" t="s">
        <v>121</v>
      </c>
      <c r="EP14" s="25" t="s">
        <v>121</v>
      </c>
      <c r="EQ14" s="25" t="s">
        <v>121</v>
      </c>
      <c r="ER14" s="25" t="s">
        <v>121</v>
      </c>
      <c r="ES14" s="25" t="s">
        <v>121</v>
      </c>
      <c r="ET14" s="25" t="s">
        <v>121</v>
      </c>
      <c r="EU14" s="25" t="s">
        <v>121</v>
      </c>
      <c r="EV14" s="25" t="s">
        <v>121</v>
      </c>
      <c r="EW14" s="25" t="s">
        <v>121</v>
      </c>
      <c r="EX14" s="25" t="s">
        <v>121</v>
      </c>
    </row>
    <row r="15" spans="1:154" s="25" customFormat="1" ht="26.1" customHeight="1" x14ac:dyDescent="0.25">
      <c r="A15" s="72">
        <v>15</v>
      </c>
      <c r="B15" s="360" t="s">
        <v>414</v>
      </c>
      <c r="C15" s="91" t="s">
        <v>121</v>
      </c>
      <c r="D15" s="86" t="s">
        <v>121</v>
      </c>
      <c r="E15" s="92">
        <v>1.3915059799853551</v>
      </c>
      <c r="F15" s="22">
        <v>-9798</v>
      </c>
      <c r="G15" s="22">
        <v>-5603</v>
      </c>
      <c r="H15" s="22">
        <v>72</v>
      </c>
      <c r="I15" s="22">
        <v>-5695</v>
      </c>
      <c r="J15" s="22">
        <v>-4097</v>
      </c>
      <c r="K15" s="22">
        <v>-3080</v>
      </c>
      <c r="L15" s="22">
        <v>-192</v>
      </c>
      <c r="M15" s="22">
        <v>4337</v>
      </c>
      <c r="N15" s="22">
        <v>4613</v>
      </c>
      <c r="O15" s="22">
        <v>4441.0929999999998</v>
      </c>
      <c r="P15" s="22">
        <v>3834</v>
      </c>
      <c r="Q15" s="405"/>
      <c r="R15" s="405"/>
      <c r="S15" s="405"/>
      <c r="T15" s="405"/>
      <c r="U15" s="22">
        <v>-4760</v>
      </c>
      <c r="V15" s="22">
        <v>-5195</v>
      </c>
      <c r="W15" s="22">
        <v>-4114</v>
      </c>
      <c r="X15" s="22">
        <v>-2118</v>
      </c>
      <c r="Y15" s="22">
        <v>-8842</v>
      </c>
      <c r="Z15" s="22">
        <v>-7053.058</v>
      </c>
      <c r="AA15" s="255">
        <v>-5046.2529999999997</v>
      </c>
      <c r="AB15" s="22">
        <v>-2577.288</v>
      </c>
      <c r="AC15" s="22">
        <v>-7704.5230000000001</v>
      </c>
      <c r="AD15" s="22">
        <v>-5635.5140000000001</v>
      </c>
      <c r="AE15" s="255">
        <v>-3862.4029999999998</v>
      </c>
      <c r="AF15" s="22">
        <v>-2268.7809999999999</v>
      </c>
      <c r="AG15" s="22">
        <v>-7737.92</v>
      </c>
      <c r="AH15" s="22">
        <v>-5903.701</v>
      </c>
      <c r="AI15" s="22">
        <v>-3669.549</v>
      </c>
      <c r="AJ15" s="22">
        <v>-1758.6980000000001</v>
      </c>
      <c r="AK15" s="22">
        <v>-9574.8340000000007</v>
      </c>
      <c r="AL15" s="22">
        <v>-7216.5439999999999</v>
      </c>
      <c r="AM15" s="22">
        <v>-5203.1329999999998</v>
      </c>
      <c r="AN15" s="22">
        <v>-2654.989</v>
      </c>
      <c r="AO15" s="22">
        <v>-12490.106</v>
      </c>
      <c r="AP15" s="22">
        <v>-9391.8819999999996</v>
      </c>
      <c r="AQ15" s="22">
        <v>-6131.32</v>
      </c>
      <c r="AR15" s="22">
        <v>-2942.0909999999999</v>
      </c>
      <c r="AS15" s="22">
        <v>-12293.143</v>
      </c>
      <c r="AT15" s="22">
        <v>-8880.3510000000006</v>
      </c>
      <c r="AU15" s="22">
        <v>-5593.9179999999997</v>
      </c>
      <c r="AV15" s="22">
        <v>-2554.7150000000001</v>
      </c>
      <c r="AW15" s="22">
        <v>-7285.9089999999987</v>
      </c>
      <c r="AX15" s="22">
        <v>-4374.7370000000001</v>
      </c>
      <c r="AY15" s="22">
        <v>-2773.2069999999999</v>
      </c>
      <c r="AZ15" s="22">
        <v>-1215.3109999999999</v>
      </c>
      <c r="BA15" s="63">
        <v>-4495.0690000000004</v>
      </c>
      <c r="BB15" s="22">
        <v>-3336.0820000000003</v>
      </c>
      <c r="BC15" s="22">
        <v>-2235.4639999999999</v>
      </c>
      <c r="BD15" s="22">
        <v>-1089.8030000000001</v>
      </c>
      <c r="BE15" s="22">
        <v>-6389.9370000000008</v>
      </c>
      <c r="BF15" s="22">
        <v>-4919.4229999999998</v>
      </c>
      <c r="BG15" s="22">
        <v>-3307.2570000000001</v>
      </c>
      <c r="BH15" s="22">
        <v>-1767.7650000000001</v>
      </c>
      <c r="BI15" s="22">
        <v>-3502.8990000000003</v>
      </c>
      <c r="BJ15" s="22">
        <v>-1683.76</v>
      </c>
      <c r="BK15" s="22">
        <v>-962.95499999999993</v>
      </c>
      <c r="BL15" s="22">
        <v>-741.97199999999998</v>
      </c>
      <c r="BM15" s="25">
        <v>-4485.2110000000002</v>
      </c>
      <c r="BN15" s="25">
        <v>-4962.5630000000001</v>
      </c>
      <c r="BO15" s="25">
        <v>-3964.7039999999997</v>
      </c>
      <c r="BP15" s="25">
        <v>-2779.527</v>
      </c>
      <c r="BQ15" s="25" t="s">
        <v>121</v>
      </c>
      <c r="BR15" s="25" t="s">
        <v>121</v>
      </c>
      <c r="BS15" s="25" t="s">
        <v>121</v>
      </c>
      <c r="BT15" s="25" t="s">
        <v>121</v>
      </c>
      <c r="BU15" s="25" t="s">
        <v>121</v>
      </c>
      <c r="BV15" s="25" t="s">
        <v>121</v>
      </c>
      <c r="BW15" s="25" t="s">
        <v>121</v>
      </c>
      <c r="BX15" s="25" t="s">
        <v>121</v>
      </c>
      <c r="BY15" s="25" t="s">
        <v>121</v>
      </c>
      <c r="BZ15" s="25" t="s">
        <v>121</v>
      </c>
      <c r="CA15" s="25" t="s">
        <v>121</v>
      </c>
      <c r="CB15" s="25" t="s">
        <v>121</v>
      </c>
      <c r="CC15" s="25" t="s">
        <v>121</v>
      </c>
      <c r="CD15" s="25" t="s">
        <v>121</v>
      </c>
      <c r="CE15" s="25" t="s">
        <v>121</v>
      </c>
      <c r="CF15" s="25" t="s">
        <v>121</v>
      </c>
      <c r="CG15" s="25" t="s">
        <v>121</v>
      </c>
      <c r="CH15" s="25" t="s">
        <v>121</v>
      </c>
      <c r="CI15" s="25" t="s">
        <v>121</v>
      </c>
      <c r="CJ15" s="25" t="s">
        <v>121</v>
      </c>
      <c r="CK15" s="25" t="s">
        <v>121</v>
      </c>
      <c r="CL15" s="25" t="s">
        <v>121</v>
      </c>
      <c r="CM15" s="25" t="s">
        <v>121</v>
      </c>
      <c r="CN15" s="25" t="s">
        <v>121</v>
      </c>
      <c r="CO15" s="25" t="s">
        <v>121</v>
      </c>
      <c r="CP15" s="25" t="s">
        <v>121</v>
      </c>
      <c r="CQ15" s="25" t="s">
        <v>121</v>
      </c>
      <c r="CR15" s="25" t="s">
        <v>121</v>
      </c>
      <c r="CS15" s="25" t="s">
        <v>121</v>
      </c>
      <c r="CT15" s="25" t="s">
        <v>121</v>
      </c>
      <c r="CU15" s="25" t="s">
        <v>121</v>
      </c>
      <c r="CV15" s="25" t="s">
        <v>121</v>
      </c>
      <c r="CW15" s="25" t="s">
        <v>121</v>
      </c>
      <c r="CX15" s="25" t="s">
        <v>121</v>
      </c>
      <c r="CY15" s="25" t="s">
        <v>121</v>
      </c>
      <c r="CZ15" s="25" t="s">
        <v>121</v>
      </c>
      <c r="DA15" s="25" t="s">
        <v>121</v>
      </c>
      <c r="DB15" s="25" t="s">
        <v>121</v>
      </c>
      <c r="DC15" s="25" t="s">
        <v>121</v>
      </c>
      <c r="DD15" s="25" t="s">
        <v>121</v>
      </c>
      <c r="DE15" s="25" t="s">
        <v>121</v>
      </c>
      <c r="DF15" s="25" t="s">
        <v>121</v>
      </c>
      <c r="DG15" s="25" t="s">
        <v>121</v>
      </c>
      <c r="DH15" s="25" t="s">
        <v>121</v>
      </c>
      <c r="DI15" s="25" t="s">
        <v>121</v>
      </c>
      <c r="DJ15" s="25" t="s">
        <v>121</v>
      </c>
      <c r="DK15" s="25" t="s">
        <v>121</v>
      </c>
      <c r="DL15" s="25" t="s">
        <v>121</v>
      </c>
      <c r="DM15" s="25" t="s">
        <v>121</v>
      </c>
      <c r="DN15" s="25" t="s">
        <v>121</v>
      </c>
      <c r="DO15" s="25" t="s">
        <v>121</v>
      </c>
      <c r="DP15" s="25" t="s">
        <v>121</v>
      </c>
      <c r="DQ15" s="25" t="s">
        <v>121</v>
      </c>
      <c r="DR15" s="25" t="s">
        <v>121</v>
      </c>
      <c r="DS15" s="25" t="s">
        <v>121</v>
      </c>
      <c r="DT15" s="25" t="s">
        <v>121</v>
      </c>
      <c r="DU15" s="25" t="s">
        <v>121</v>
      </c>
      <c r="DV15" s="25" t="s">
        <v>121</v>
      </c>
      <c r="DW15" s="25" t="s">
        <v>121</v>
      </c>
      <c r="DX15" s="25" t="s">
        <v>121</v>
      </c>
      <c r="DY15" s="25" t="s">
        <v>121</v>
      </c>
      <c r="DZ15" s="25" t="s">
        <v>121</v>
      </c>
      <c r="EA15" s="25" t="s">
        <v>121</v>
      </c>
      <c r="EB15" s="25" t="s">
        <v>121</v>
      </c>
      <c r="EC15" s="25" t="s">
        <v>121</v>
      </c>
      <c r="ED15" s="25" t="s">
        <v>121</v>
      </c>
      <c r="EE15" s="25" t="s">
        <v>121</v>
      </c>
      <c r="EF15" s="25" t="s">
        <v>121</v>
      </c>
      <c r="EG15" s="25" t="s">
        <v>121</v>
      </c>
      <c r="EH15" s="25" t="s">
        <v>121</v>
      </c>
      <c r="EI15" s="25" t="s">
        <v>121</v>
      </c>
      <c r="EJ15" s="25" t="s">
        <v>121</v>
      </c>
      <c r="EK15" s="25" t="s">
        <v>121</v>
      </c>
      <c r="EL15" s="25" t="s">
        <v>121</v>
      </c>
      <c r="EM15" s="25" t="s">
        <v>121</v>
      </c>
      <c r="EN15" s="25" t="s">
        <v>121</v>
      </c>
      <c r="EO15" s="25" t="s">
        <v>121</v>
      </c>
      <c r="EP15" s="25" t="s">
        <v>121</v>
      </c>
      <c r="EQ15" s="25" t="s">
        <v>121</v>
      </c>
      <c r="ER15" s="25" t="s">
        <v>121</v>
      </c>
      <c r="ES15" s="25" t="s">
        <v>121</v>
      </c>
      <c r="ET15" s="25" t="s">
        <v>121</v>
      </c>
      <c r="EU15" s="25" t="s">
        <v>121</v>
      </c>
      <c r="EV15" s="25" t="s">
        <v>121</v>
      </c>
      <c r="EW15" s="25" t="s">
        <v>121</v>
      </c>
      <c r="EX15" s="25" t="s">
        <v>121</v>
      </c>
    </row>
    <row r="16" spans="1:154" s="19" customFormat="1" ht="15" customHeight="1" x14ac:dyDescent="0.25">
      <c r="A16" s="72">
        <v>16</v>
      </c>
      <c r="B16" s="29" t="s">
        <v>415</v>
      </c>
      <c r="C16" s="91" t="s">
        <v>121</v>
      </c>
      <c r="D16" s="86" t="s">
        <v>121</v>
      </c>
      <c r="E16" s="94">
        <v>3.6185870479394477E-2</v>
      </c>
      <c r="F16" s="65">
        <v>49281</v>
      </c>
      <c r="G16" s="65">
        <v>33837</v>
      </c>
      <c r="H16" s="65">
        <v>20006</v>
      </c>
      <c r="I16" s="65">
        <v>65273</v>
      </c>
      <c r="J16" s="65">
        <v>47560</v>
      </c>
      <c r="K16" s="65">
        <v>30809</v>
      </c>
      <c r="L16" s="65">
        <v>17013</v>
      </c>
      <c r="M16" s="65">
        <v>55156</v>
      </c>
      <c r="N16" s="65">
        <v>39319</v>
      </c>
      <c r="O16" s="65">
        <v>26492</v>
      </c>
      <c r="P16" s="65">
        <v>14900</v>
      </c>
      <c r="Q16" s="405"/>
      <c r="R16" s="405"/>
      <c r="S16" s="405"/>
      <c r="T16" s="405"/>
      <c r="U16" s="65">
        <v>23753</v>
      </c>
      <c r="V16" s="65">
        <v>15784</v>
      </c>
      <c r="W16" s="65">
        <v>9801</v>
      </c>
      <c r="X16" s="65">
        <v>4354</v>
      </c>
      <c r="Y16" s="65">
        <v>16673</v>
      </c>
      <c r="Z16" s="65">
        <v>11255.239</v>
      </c>
      <c r="AA16" s="256">
        <v>7225.2050000000008</v>
      </c>
      <c r="AB16" s="65">
        <v>3635.8499999999995</v>
      </c>
      <c r="AC16" s="65">
        <v>15626.190000000004</v>
      </c>
      <c r="AD16" s="65">
        <v>11326.533000000003</v>
      </c>
      <c r="AE16" s="65">
        <v>7242.378999999999</v>
      </c>
      <c r="AF16" s="65">
        <v>3517.0620000000004</v>
      </c>
      <c r="AG16" s="65">
        <v>14181.66</v>
      </c>
      <c r="AH16" s="65">
        <v>9925.7619999999952</v>
      </c>
      <c r="AI16" s="65">
        <v>6640.4649999999992</v>
      </c>
      <c r="AJ16" s="65">
        <v>3295.1439999999993</v>
      </c>
      <c r="AK16" s="65">
        <v>10082.686999999996</v>
      </c>
      <c r="AL16" s="65">
        <v>6725.0080000000016</v>
      </c>
      <c r="AM16" s="65">
        <v>3590.1189999999988</v>
      </c>
      <c r="AN16" s="65">
        <v>1798.610000000001</v>
      </c>
      <c r="AO16" s="65">
        <v>8867.4759999999987</v>
      </c>
      <c r="AP16" s="65">
        <v>6115.0879999999997</v>
      </c>
      <c r="AQ16" s="65">
        <v>3895.2959999999985</v>
      </c>
      <c r="AR16" s="65">
        <v>1947.5620000000013</v>
      </c>
      <c r="AS16" s="65">
        <v>4576.6059999999961</v>
      </c>
      <c r="AT16" s="65">
        <v>2997.6519999999982</v>
      </c>
      <c r="AU16" s="65">
        <v>2359.0730000000021</v>
      </c>
      <c r="AV16" s="65">
        <v>1422.9789999999998</v>
      </c>
      <c r="AW16" s="65">
        <v>10713.791000000005</v>
      </c>
      <c r="AX16" s="20">
        <v>8228.0720000000001</v>
      </c>
      <c r="AY16" s="20">
        <v>5486.4279999999999</v>
      </c>
      <c r="AZ16" s="65">
        <v>2752.5820000000003</v>
      </c>
      <c r="BA16" s="20">
        <v>8447.9530000000013</v>
      </c>
      <c r="BB16" s="20">
        <v>5902.3189999999995</v>
      </c>
      <c r="BC16" s="20">
        <v>3709.8730000000005</v>
      </c>
      <c r="BD16" s="20">
        <v>1800.8369999999998</v>
      </c>
      <c r="BE16" s="20">
        <v>5234.1629999999977</v>
      </c>
      <c r="BF16" s="20">
        <v>3690.8090000000002</v>
      </c>
      <c r="BG16" s="20">
        <v>2481.5309999999986</v>
      </c>
      <c r="BH16" s="20">
        <v>1071.847</v>
      </c>
      <c r="BI16" s="20">
        <v>9819.6650000000009</v>
      </c>
      <c r="BJ16" s="20">
        <v>8434.0739999999969</v>
      </c>
      <c r="BK16" s="20">
        <v>5682.924</v>
      </c>
      <c r="BL16" s="20">
        <v>2525.799</v>
      </c>
      <c r="BM16" s="19">
        <v>7284.1489999999985</v>
      </c>
      <c r="BN16" s="19">
        <v>3896.4029999999984</v>
      </c>
      <c r="BO16" s="19">
        <v>1855.6710000000012</v>
      </c>
      <c r="BP16" s="19">
        <v>244.84400000000005</v>
      </c>
      <c r="BQ16" s="19" t="s">
        <v>121</v>
      </c>
      <c r="BR16" s="19" t="s">
        <v>121</v>
      </c>
      <c r="BS16" s="19" t="s">
        <v>121</v>
      </c>
      <c r="BT16" s="19" t="s">
        <v>121</v>
      </c>
      <c r="BU16" s="19" t="s">
        <v>121</v>
      </c>
      <c r="BV16" s="19" t="s">
        <v>121</v>
      </c>
      <c r="BW16" s="19" t="s">
        <v>121</v>
      </c>
      <c r="BX16" s="19" t="s">
        <v>121</v>
      </c>
      <c r="BY16" s="19" t="s">
        <v>121</v>
      </c>
      <c r="BZ16" s="19" t="s">
        <v>121</v>
      </c>
      <c r="CA16" s="19" t="s">
        <v>121</v>
      </c>
      <c r="CB16" s="19" t="s">
        <v>121</v>
      </c>
      <c r="CC16" s="19" t="s">
        <v>121</v>
      </c>
      <c r="CD16" s="19" t="s">
        <v>121</v>
      </c>
      <c r="CE16" s="19" t="s">
        <v>121</v>
      </c>
      <c r="CF16" s="19" t="s">
        <v>121</v>
      </c>
      <c r="CG16" s="19" t="s">
        <v>121</v>
      </c>
      <c r="CH16" s="19" t="s">
        <v>121</v>
      </c>
      <c r="CI16" s="19" t="s">
        <v>121</v>
      </c>
      <c r="CJ16" s="19" t="s">
        <v>121</v>
      </c>
      <c r="CK16" s="19" t="s">
        <v>121</v>
      </c>
      <c r="CL16" s="19" t="s">
        <v>121</v>
      </c>
      <c r="CM16" s="19" t="s">
        <v>121</v>
      </c>
      <c r="CN16" s="19" t="s">
        <v>121</v>
      </c>
      <c r="CO16" s="19" t="s">
        <v>121</v>
      </c>
      <c r="CP16" s="19" t="s">
        <v>121</v>
      </c>
      <c r="CQ16" s="19" t="s">
        <v>121</v>
      </c>
      <c r="CR16" s="19" t="s">
        <v>121</v>
      </c>
      <c r="CS16" s="19" t="s">
        <v>121</v>
      </c>
      <c r="CT16" s="19" t="s">
        <v>121</v>
      </c>
      <c r="CU16" s="19" t="s">
        <v>121</v>
      </c>
      <c r="CV16" s="19" t="s">
        <v>121</v>
      </c>
      <c r="CW16" s="19" t="s">
        <v>121</v>
      </c>
      <c r="CX16" s="19" t="s">
        <v>121</v>
      </c>
      <c r="CY16" s="19" t="s">
        <v>121</v>
      </c>
      <c r="CZ16" s="19" t="s">
        <v>121</v>
      </c>
      <c r="DA16" s="19" t="s">
        <v>121</v>
      </c>
      <c r="DB16" s="19" t="s">
        <v>121</v>
      </c>
      <c r="DC16" s="19" t="s">
        <v>121</v>
      </c>
      <c r="DD16" s="19" t="s">
        <v>121</v>
      </c>
      <c r="DE16" s="19" t="s">
        <v>121</v>
      </c>
      <c r="DF16" s="19" t="s">
        <v>121</v>
      </c>
      <c r="DG16" s="19" t="s">
        <v>121</v>
      </c>
      <c r="DH16" s="19" t="s">
        <v>121</v>
      </c>
      <c r="DI16" s="19" t="s">
        <v>121</v>
      </c>
      <c r="DJ16" s="19" t="s">
        <v>121</v>
      </c>
      <c r="DK16" s="19" t="s">
        <v>121</v>
      </c>
      <c r="DL16" s="19" t="s">
        <v>121</v>
      </c>
      <c r="DM16" s="19" t="s">
        <v>121</v>
      </c>
      <c r="DN16" s="19" t="s">
        <v>121</v>
      </c>
      <c r="DO16" s="19" t="s">
        <v>121</v>
      </c>
      <c r="DP16" s="19" t="s">
        <v>121</v>
      </c>
      <c r="DQ16" s="19" t="s">
        <v>121</v>
      </c>
      <c r="DR16" s="19" t="s">
        <v>121</v>
      </c>
      <c r="DS16" s="19" t="s">
        <v>121</v>
      </c>
      <c r="DT16" s="19" t="s">
        <v>121</v>
      </c>
      <c r="DU16" s="19" t="s">
        <v>121</v>
      </c>
      <c r="DV16" s="19" t="s">
        <v>121</v>
      </c>
      <c r="DW16" s="19" t="s">
        <v>121</v>
      </c>
      <c r="DX16" s="19" t="s">
        <v>121</v>
      </c>
      <c r="DY16" s="19" t="s">
        <v>121</v>
      </c>
      <c r="DZ16" s="19" t="s">
        <v>121</v>
      </c>
      <c r="EA16" s="19" t="s">
        <v>121</v>
      </c>
      <c r="EB16" s="19" t="s">
        <v>121</v>
      </c>
      <c r="EC16" s="19" t="s">
        <v>121</v>
      </c>
      <c r="ED16" s="19" t="s">
        <v>121</v>
      </c>
      <c r="EE16" s="19" t="s">
        <v>121</v>
      </c>
      <c r="EF16" s="19" t="s">
        <v>121</v>
      </c>
      <c r="EG16" s="19" t="s">
        <v>121</v>
      </c>
      <c r="EH16" s="19" t="s">
        <v>121</v>
      </c>
      <c r="EI16" s="19" t="s">
        <v>121</v>
      </c>
      <c r="EJ16" s="19" t="s">
        <v>121</v>
      </c>
      <c r="EK16" s="19" t="s">
        <v>121</v>
      </c>
      <c r="EL16" s="19" t="s">
        <v>121</v>
      </c>
      <c r="EM16" s="19" t="s">
        <v>121</v>
      </c>
      <c r="EN16" s="19" t="s">
        <v>121</v>
      </c>
      <c r="EO16" s="19" t="s">
        <v>121</v>
      </c>
      <c r="EP16" s="19" t="s">
        <v>121</v>
      </c>
      <c r="EQ16" s="19" t="s">
        <v>121</v>
      </c>
      <c r="ER16" s="19" t="s">
        <v>121</v>
      </c>
      <c r="ES16" s="19" t="s">
        <v>121</v>
      </c>
      <c r="ET16" s="19" t="s">
        <v>121</v>
      </c>
      <c r="EU16" s="19" t="s">
        <v>121</v>
      </c>
      <c r="EV16" s="19" t="s">
        <v>121</v>
      </c>
      <c r="EW16" s="19" t="s">
        <v>121</v>
      </c>
      <c r="EX16" s="19" t="s">
        <v>121</v>
      </c>
    </row>
    <row r="17" spans="1:168" s="363" customFormat="1" x14ac:dyDescent="0.25">
      <c r="A17" s="362">
        <v>17</v>
      </c>
      <c r="B17" s="371" t="s">
        <v>93</v>
      </c>
      <c r="C17" s="372"/>
      <c r="D17" s="373"/>
      <c r="E17" s="374"/>
      <c r="F17" s="22">
        <v>251</v>
      </c>
      <c r="G17" s="22">
        <v>685</v>
      </c>
      <c r="H17" s="22">
        <v>-126</v>
      </c>
      <c r="I17" s="22">
        <v>-2126</v>
      </c>
      <c r="J17" s="22">
        <v>-1312</v>
      </c>
      <c r="K17" s="22">
        <v>-449</v>
      </c>
      <c r="L17" s="22">
        <v>-169</v>
      </c>
      <c r="M17" s="22">
        <v>-127</v>
      </c>
      <c r="N17" s="22">
        <v>894</v>
      </c>
      <c r="O17" s="22">
        <v>1581</v>
      </c>
      <c r="P17" s="22">
        <v>1376</v>
      </c>
      <c r="Q17" s="405"/>
      <c r="R17" s="405"/>
      <c r="S17" s="405"/>
      <c r="T17" s="405"/>
      <c r="U17" s="22">
        <v>-424</v>
      </c>
      <c r="V17" s="22">
        <v>-348</v>
      </c>
      <c r="W17" s="22">
        <v>-246</v>
      </c>
      <c r="X17" s="22">
        <v>-216</v>
      </c>
      <c r="Y17" s="22">
        <v>-285</v>
      </c>
      <c r="Z17" s="22">
        <v>-202.28</v>
      </c>
      <c r="AA17" s="22">
        <v>-122.99400000000001</v>
      </c>
      <c r="AB17" s="22">
        <v>-66.569000000000003</v>
      </c>
      <c r="AC17" s="22">
        <v>-806.72699999999998</v>
      </c>
      <c r="AD17" s="22">
        <v>-801.33200000000011</v>
      </c>
      <c r="AE17" s="22">
        <v>-598.68700000000001</v>
      </c>
      <c r="AF17" s="22">
        <v>-191.52500000000001</v>
      </c>
      <c r="AG17" s="22">
        <v>-1940.1029999999998</v>
      </c>
      <c r="AH17" s="22">
        <v>-1430.8220000000001</v>
      </c>
      <c r="AI17" s="22">
        <v>-234.19500000000005</v>
      </c>
      <c r="AJ17" s="22">
        <v>3.5819999999999936</v>
      </c>
      <c r="AK17" s="22">
        <v>960.23299999999995</v>
      </c>
      <c r="AL17" s="22">
        <v>919.85700000000008</v>
      </c>
      <c r="AM17" s="22">
        <v>148.39900000000003</v>
      </c>
      <c r="AN17" s="22">
        <v>39.350999999999985</v>
      </c>
      <c r="AO17" s="22">
        <v>1560.664</v>
      </c>
      <c r="AP17" s="22">
        <v>915.85500000000002</v>
      </c>
      <c r="AQ17" s="22">
        <v>949.04899999999998</v>
      </c>
      <c r="AR17" s="22">
        <v>677.59999999999991</v>
      </c>
      <c r="AS17" s="22">
        <v>1314.0520000000001</v>
      </c>
      <c r="AT17" s="22">
        <v>334.315</v>
      </c>
      <c r="AU17" s="22">
        <v>97.436000000000007</v>
      </c>
      <c r="AV17" s="22">
        <v>-282.96499999999997</v>
      </c>
      <c r="AW17" s="22">
        <v>-4078.61</v>
      </c>
      <c r="AX17" s="22">
        <v>-1645.3100000000002</v>
      </c>
      <c r="AY17" s="22">
        <v>-918.82300000000009</v>
      </c>
      <c r="AZ17" s="22">
        <v>-1038.702</v>
      </c>
      <c r="BA17" s="22">
        <v>2369.308</v>
      </c>
      <c r="BB17" s="22">
        <v>477.39599999999996</v>
      </c>
      <c r="BC17" s="22">
        <v>-93.260999999999996</v>
      </c>
      <c r="BD17" s="22">
        <v>121.86799999999999</v>
      </c>
      <c r="BE17" s="22">
        <v>174.983</v>
      </c>
      <c r="BF17" s="22">
        <v>108.70500000000004</v>
      </c>
      <c r="BG17" s="22">
        <v>-200.53199999999998</v>
      </c>
      <c r="BH17" s="22">
        <v>77.927999999999997</v>
      </c>
      <c r="BI17" s="22">
        <v>84.43100000000004</v>
      </c>
      <c r="BJ17" s="22">
        <v>-56.992999999999938</v>
      </c>
      <c r="BK17" s="22">
        <v>1043.1220000000001</v>
      </c>
      <c r="BL17" s="22">
        <v>141.86000000000001</v>
      </c>
      <c r="BM17" s="25">
        <v>302.71099999999996</v>
      </c>
      <c r="BN17" s="25">
        <v>386.23599999999993</v>
      </c>
      <c r="BO17" s="25">
        <v>375.48799999999994</v>
      </c>
      <c r="BP17" s="25">
        <v>685.30499999999995</v>
      </c>
      <c r="BQ17" s="25" t="s">
        <v>121</v>
      </c>
      <c r="BR17" s="25" t="s">
        <v>121</v>
      </c>
      <c r="BS17" s="25" t="s">
        <v>121</v>
      </c>
      <c r="BT17" s="25" t="s">
        <v>121</v>
      </c>
      <c r="BU17" s="25" t="s">
        <v>121</v>
      </c>
      <c r="BV17" s="25" t="s">
        <v>121</v>
      </c>
      <c r="BW17" s="25" t="s">
        <v>121</v>
      </c>
      <c r="BX17" s="25" t="s">
        <v>121</v>
      </c>
      <c r="BY17" s="25" t="s">
        <v>121</v>
      </c>
      <c r="BZ17" s="25" t="s">
        <v>121</v>
      </c>
      <c r="CA17" s="25" t="s">
        <v>121</v>
      </c>
      <c r="CB17" s="25" t="s">
        <v>121</v>
      </c>
      <c r="CC17" s="25" t="s">
        <v>121</v>
      </c>
      <c r="CD17" s="25" t="s">
        <v>121</v>
      </c>
      <c r="CE17" s="25" t="s">
        <v>121</v>
      </c>
      <c r="CF17" s="25" t="s">
        <v>121</v>
      </c>
      <c r="CG17" s="25" t="s">
        <v>121</v>
      </c>
      <c r="CH17" s="25" t="s">
        <v>121</v>
      </c>
      <c r="CI17" s="25" t="s">
        <v>121</v>
      </c>
      <c r="CJ17" s="25" t="s">
        <v>121</v>
      </c>
      <c r="CK17" s="25" t="s">
        <v>121</v>
      </c>
      <c r="CL17" s="25" t="s">
        <v>121</v>
      </c>
      <c r="CM17" s="25" t="s">
        <v>121</v>
      </c>
      <c r="CN17" s="25" t="s">
        <v>121</v>
      </c>
      <c r="CO17" s="25" t="s">
        <v>121</v>
      </c>
      <c r="CP17" s="25" t="s">
        <v>121</v>
      </c>
      <c r="CQ17" s="25" t="s">
        <v>121</v>
      </c>
      <c r="CR17" s="25" t="s">
        <v>121</v>
      </c>
      <c r="CS17" s="25" t="s">
        <v>121</v>
      </c>
      <c r="CT17" s="25" t="s">
        <v>121</v>
      </c>
      <c r="CU17" s="25" t="s">
        <v>121</v>
      </c>
      <c r="CV17" s="25" t="s">
        <v>121</v>
      </c>
      <c r="CW17" s="25" t="s">
        <v>121</v>
      </c>
      <c r="CX17" s="25" t="s">
        <v>121</v>
      </c>
      <c r="CY17" s="25" t="s">
        <v>121</v>
      </c>
      <c r="CZ17" s="25" t="s">
        <v>121</v>
      </c>
      <c r="DA17" s="25" t="s">
        <v>121</v>
      </c>
      <c r="DB17" s="25" t="s">
        <v>121</v>
      </c>
      <c r="DC17" s="25" t="s">
        <v>121</v>
      </c>
      <c r="DD17" s="25" t="s">
        <v>121</v>
      </c>
      <c r="DE17" s="25" t="s">
        <v>121</v>
      </c>
      <c r="DF17" s="25" t="s">
        <v>121</v>
      </c>
      <c r="DG17" s="25" t="s">
        <v>121</v>
      </c>
      <c r="DH17" s="25" t="s">
        <v>121</v>
      </c>
      <c r="DI17" s="25" t="s">
        <v>121</v>
      </c>
      <c r="DJ17" s="25" t="s">
        <v>121</v>
      </c>
      <c r="DK17" s="25" t="s">
        <v>121</v>
      </c>
      <c r="DL17" s="25" t="s">
        <v>121</v>
      </c>
      <c r="DM17" s="25" t="s">
        <v>121</v>
      </c>
      <c r="DN17" s="25" t="s">
        <v>121</v>
      </c>
      <c r="DO17" s="25" t="s">
        <v>121</v>
      </c>
      <c r="DP17" s="25" t="s">
        <v>121</v>
      </c>
      <c r="DQ17" s="25" t="s">
        <v>121</v>
      </c>
      <c r="DR17" s="25" t="s">
        <v>121</v>
      </c>
      <c r="DS17" s="25" t="s">
        <v>121</v>
      </c>
      <c r="DT17" s="25" t="s">
        <v>121</v>
      </c>
      <c r="DU17" s="25" t="s">
        <v>121</v>
      </c>
      <c r="DV17" s="25" t="s">
        <v>121</v>
      </c>
      <c r="DW17" s="25" t="s">
        <v>121</v>
      </c>
      <c r="DX17" s="25" t="s">
        <v>121</v>
      </c>
      <c r="DY17" s="25" t="s">
        <v>121</v>
      </c>
      <c r="DZ17" s="25" t="s">
        <v>121</v>
      </c>
      <c r="EA17" s="25" t="s">
        <v>121</v>
      </c>
      <c r="EB17" s="25" t="s">
        <v>121</v>
      </c>
      <c r="EC17" s="25" t="s">
        <v>121</v>
      </c>
      <c r="ED17" s="25" t="s">
        <v>121</v>
      </c>
      <c r="EE17" s="25" t="s">
        <v>121</v>
      </c>
      <c r="EF17" s="25" t="s">
        <v>121</v>
      </c>
      <c r="EG17" s="25" t="s">
        <v>121</v>
      </c>
      <c r="EH17" s="25" t="s">
        <v>121</v>
      </c>
      <c r="EI17" s="25" t="s">
        <v>121</v>
      </c>
      <c r="EJ17" s="25" t="s">
        <v>121</v>
      </c>
      <c r="EK17" s="25" t="s">
        <v>121</v>
      </c>
      <c r="EL17" s="25" t="s">
        <v>121</v>
      </c>
      <c r="EM17" s="25" t="s">
        <v>121</v>
      </c>
      <c r="EN17" s="25" t="s">
        <v>121</v>
      </c>
      <c r="EO17" s="25" t="s">
        <v>121</v>
      </c>
      <c r="EP17" s="25" t="s">
        <v>121</v>
      </c>
      <c r="EQ17" s="25" t="s">
        <v>121</v>
      </c>
      <c r="ER17" s="25" t="s">
        <v>121</v>
      </c>
      <c r="ES17" s="25" t="s">
        <v>121</v>
      </c>
      <c r="ET17" s="25" t="s">
        <v>121</v>
      </c>
      <c r="EU17" s="25" t="s">
        <v>121</v>
      </c>
      <c r="EV17" s="25" t="s">
        <v>121</v>
      </c>
      <c r="EW17" s="25" t="s">
        <v>121</v>
      </c>
      <c r="EX17" s="25" t="s">
        <v>121</v>
      </c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</row>
    <row r="18" spans="1:168" s="25" customFormat="1" hidden="1" x14ac:dyDescent="0.25">
      <c r="A18" s="72">
        <v>18</v>
      </c>
      <c r="B18" s="305"/>
      <c r="C18" s="345"/>
      <c r="D18" s="275"/>
      <c r="E18" s="270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405"/>
      <c r="R18" s="405"/>
      <c r="S18" s="405"/>
      <c r="T18" s="405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168" s="246" customFormat="1" ht="26.25" x14ac:dyDescent="0.25">
      <c r="A19" s="72">
        <v>19</v>
      </c>
      <c r="B19" s="375" t="s">
        <v>94</v>
      </c>
      <c r="C19" s="376"/>
      <c r="D19" s="377"/>
      <c r="E19" s="378"/>
      <c r="F19" s="22">
        <v>4088</v>
      </c>
      <c r="G19" s="22">
        <v>4444</v>
      </c>
      <c r="H19" s="22">
        <v>2444</v>
      </c>
      <c r="I19" s="22">
        <v>13022</v>
      </c>
      <c r="J19" s="22">
        <v>8935</v>
      </c>
      <c r="K19" s="22">
        <v>5244</v>
      </c>
      <c r="L19" s="22">
        <v>2376</v>
      </c>
      <c r="M19" s="22">
        <v>10397</v>
      </c>
      <c r="N19" s="22">
        <v>8311</v>
      </c>
      <c r="O19" s="22">
        <v>6094</v>
      </c>
      <c r="P19" s="22">
        <v>4510</v>
      </c>
      <c r="Q19" s="405"/>
      <c r="R19" s="405"/>
      <c r="S19" s="405"/>
      <c r="T19" s="405"/>
      <c r="U19" s="22">
        <v>5758</v>
      </c>
      <c r="V19" s="22">
        <v>3672</v>
      </c>
      <c r="W19" s="22">
        <v>2367</v>
      </c>
      <c r="X19" s="22">
        <v>799</v>
      </c>
      <c r="Y19" s="22">
        <v>2802</v>
      </c>
      <c r="Z19" s="22">
        <v>1170.1790000000001</v>
      </c>
      <c r="AA19" s="22">
        <v>525.58799999999997</v>
      </c>
      <c r="AB19" s="22">
        <v>41.334000000000003</v>
      </c>
      <c r="AC19" s="22">
        <v>1040.433</v>
      </c>
      <c r="AD19" s="22">
        <v>877.15300000000002</v>
      </c>
      <c r="AE19" s="22">
        <v>1095.607</v>
      </c>
      <c r="AF19" s="22">
        <v>98.58</v>
      </c>
      <c r="AG19" s="22">
        <v>5913.1279999999997</v>
      </c>
      <c r="AH19" s="22">
        <v>3787.6889999999999</v>
      </c>
      <c r="AI19" s="22">
        <v>2081.2999999999997</v>
      </c>
      <c r="AJ19" s="22">
        <v>441.07499999999999</v>
      </c>
      <c r="AK19" s="22">
        <v>5285.0759999999991</v>
      </c>
      <c r="AL19" s="22">
        <v>4577.7599999999984</v>
      </c>
      <c r="AM19" s="22">
        <v>3923.7090000000007</v>
      </c>
      <c r="AN19" s="22">
        <v>1551.049</v>
      </c>
      <c r="AO19" s="22">
        <v>2608.1529999999998</v>
      </c>
      <c r="AP19" s="22">
        <v>2560.6699999999996</v>
      </c>
      <c r="AQ19" s="22">
        <v>1559.3520000000003</v>
      </c>
      <c r="AR19" s="22">
        <v>589.61599999999953</v>
      </c>
      <c r="AS19" s="22">
        <v>4865.255000000001</v>
      </c>
      <c r="AT19" s="22">
        <v>4007.0489999999991</v>
      </c>
      <c r="AU19" s="22">
        <v>2212.3780000000002</v>
      </c>
      <c r="AV19" s="22">
        <v>784.851</v>
      </c>
      <c r="AW19" s="22">
        <v>3955.9630000000002</v>
      </c>
      <c r="AX19" s="22">
        <v>1519.1240000000003</v>
      </c>
      <c r="AY19" s="22">
        <v>960.79500000000007</v>
      </c>
      <c r="AZ19" s="22">
        <v>758.90000000000009</v>
      </c>
      <c r="BA19" s="63">
        <v>2010.9279999999999</v>
      </c>
      <c r="BB19" s="22">
        <v>1387.4590000000003</v>
      </c>
      <c r="BC19" s="22">
        <v>814.99500000000023</v>
      </c>
      <c r="BD19" s="22">
        <v>375.69300000000004</v>
      </c>
      <c r="BE19" s="22">
        <v>692.74499999999989</v>
      </c>
      <c r="BF19" s="22">
        <v>471.75</v>
      </c>
      <c r="BG19" s="22">
        <v>316.49199999999996</v>
      </c>
      <c r="BH19" s="22">
        <v>202.96299999999999</v>
      </c>
      <c r="BI19" s="22">
        <v>711.38000000000011</v>
      </c>
      <c r="BJ19" s="22">
        <v>504.673</v>
      </c>
      <c r="BK19" s="22">
        <v>376.947</v>
      </c>
      <c r="BL19" s="22">
        <v>372.726</v>
      </c>
      <c r="BM19" s="25">
        <v>667.78200000000015</v>
      </c>
      <c r="BN19" s="25">
        <v>462.13400000000024</v>
      </c>
      <c r="BO19" s="25">
        <v>355.24300000000005</v>
      </c>
      <c r="BP19" s="25">
        <v>200.69300000000004</v>
      </c>
      <c r="BQ19" s="25" t="s">
        <v>121</v>
      </c>
      <c r="BR19" s="25" t="s">
        <v>121</v>
      </c>
      <c r="BS19" s="25" t="s">
        <v>121</v>
      </c>
      <c r="BT19" s="25" t="s">
        <v>121</v>
      </c>
      <c r="BU19" s="25" t="s">
        <v>121</v>
      </c>
      <c r="BV19" s="25" t="s">
        <v>121</v>
      </c>
      <c r="BW19" s="25" t="s">
        <v>121</v>
      </c>
      <c r="BX19" s="25" t="s">
        <v>121</v>
      </c>
      <c r="BY19" s="25" t="s">
        <v>121</v>
      </c>
      <c r="BZ19" s="25" t="s">
        <v>121</v>
      </c>
      <c r="CA19" s="25" t="s">
        <v>121</v>
      </c>
      <c r="CB19" s="25" t="s">
        <v>121</v>
      </c>
      <c r="CC19" s="25" t="s">
        <v>121</v>
      </c>
      <c r="CD19" s="25" t="s">
        <v>121</v>
      </c>
      <c r="CE19" s="25" t="s">
        <v>121</v>
      </c>
      <c r="CF19" s="25" t="s">
        <v>121</v>
      </c>
      <c r="CG19" s="25" t="s">
        <v>121</v>
      </c>
      <c r="CH19" s="25" t="s">
        <v>121</v>
      </c>
      <c r="CI19" s="25" t="s">
        <v>121</v>
      </c>
      <c r="CJ19" s="25" t="s">
        <v>121</v>
      </c>
      <c r="CK19" s="25" t="s">
        <v>121</v>
      </c>
      <c r="CL19" s="25" t="s">
        <v>121</v>
      </c>
      <c r="CM19" s="25" t="s">
        <v>121</v>
      </c>
      <c r="CN19" s="25" t="s">
        <v>121</v>
      </c>
      <c r="CO19" s="25" t="s">
        <v>121</v>
      </c>
      <c r="CP19" s="25" t="s">
        <v>121</v>
      </c>
      <c r="CQ19" s="25" t="s">
        <v>121</v>
      </c>
      <c r="CR19" s="25" t="s">
        <v>121</v>
      </c>
      <c r="CS19" s="25" t="s">
        <v>121</v>
      </c>
      <c r="CT19" s="25" t="s">
        <v>121</v>
      </c>
      <c r="CU19" s="25" t="s">
        <v>121</v>
      </c>
      <c r="CV19" s="25" t="s">
        <v>121</v>
      </c>
      <c r="CW19" s="25" t="s">
        <v>121</v>
      </c>
      <c r="CX19" s="25" t="s">
        <v>121</v>
      </c>
      <c r="CY19" s="25" t="s">
        <v>121</v>
      </c>
      <c r="CZ19" s="25" t="s">
        <v>121</v>
      </c>
      <c r="DA19" s="25" t="s">
        <v>121</v>
      </c>
      <c r="DB19" s="25" t="s">
        <v>121</v>
      </c>
      <c r="DC19" s="25" t="s">
        <v>121</v>
      </c>
      <c r="DD19" s="25" t="s">
        <v>121</v>
      </c>
      <c r="DE19" s="25" t="s">
        <v>121</v>
      </c>
      <c r="DF19" s="25" t="s">
        <v>121</v>
      </c>
      <c r="DG19" s="25" t="s">
        <v>121</v>
      </c>
      <c r="DH19" s="25" t="s">
        <v>121</v>
      </c>
      <c r="DI19" s="25" t="s">
        <v>121</v>
      </c>
      <c r="DJ19" s="25" t="s">
        <v>121</v>
      </c>
      <c r="DK19" s="25" t="s">
        <v>121</v>
      </c>
      <c r="DL19" s="25" t="s">
        <v>121</v>
      </c>
      <c r="DM19" s="25" t="s">
        <v>121</v>
      </c>
      <c r="DN19" s="25" t="s">
        <v>121</v>
      </c>
      <c r="DO19" s="25" t="s">
        <v>121</v>
      </c>
      <c r="DP19" s="25" t="s">
        <v>121</v>
      </c>
      <c r="DQ19" s="25" t="s">
        <v>121</v>
      </c>
      <c r="DR19" s="25" t="s">
        <v>121</v>
      </c>
      <c r="DS19" s="25" t="s">
        <v>121</v>
      </c>
      <c r="DT19" s="25" t="s">
        <v>121</v>
      </c>
      <c r="DU19" s="25" t="s">
        <v>121</v>
      </c>
      <c r="DV19" s="25" t="s">
        <v>121</v>
      </c>
      <c r="DW19" s="25" t="s">
        <v>121</v>
      </c>
      <c r="DX19" s="25" t="s">
        <v>121</v>
      </c>
      <c r="DY19" s="25" t="s">
        <v>121</v>
      </c>
      <c r="DZ19" s="25" t="s">
        <v>121</v>
      </c>
      <c r="EA19" s="25" t="s">
        <v>121</v>
      </c>
      <c r="EB19" s="25" t="s">
        <v>121</v>
      </c>
      <c r="EC19" s="25" t="s">
        <v>121</v>
      </c>
      <c r="ED19" s="25" t="s">
        <v>121</v>
      </c>
      <c r="EE19" s="25" t="s">
        <v>121</v>
      </c>
      <c r="EF19" s="25" t="s">
        <v>121</v>
      </c>
      <c r="EG19" s="25" t="s">
        <v>121</v>
      </c>
      <c r="EH19" s="25" t="s">
        <v>121</v>
      </c>
      <c r="EI19" s="25" t="s">
        <v>121</v>
      </c>
      <c r="EJ19" s="25" t="s">
        <v>121</v>
      </c>
      <c r="EK19" s="25" t="s">
        <v>121</v>
      </c>
      <c r="EL19" s="25" t="s">
        <v>121</v>
      </c>
      <c r="EM19" s="25" t="s">
        <v>121</v>
      </c>
      <c r="EN19" s="25" t="s">
        <v>121</v>
      </c>
      <c r="EO19" s="25" t="s">
        <v>121</v>
      </c>
      <c r="EP19" s="25" t="s">
        <v>121</v>
      </c>
      <c r="EQ19" s="25" t="s">
        <v>121</v>
      </c>
      <c r="ER19" s="25" t="s">
        <v>121</v>
      </c>
      <c r="ES19" s="25" t="s">
        <v>121</v>
      </c>
      <c r="ET19" s="25" t="s">
        <v>121</v>
      </c>
      <c r="EU19" s="25" t="s">
        <v>121</v>
      </c>
      <c r="EV19" s="25" t="s">
        <v>121</v>
      </c>
      <c r="EW19" s="25" t="s">
        <v>121</v>
      </c>
      <c r="EX19" s="25" t="s">
        <v>121</v>
      </c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</row>
    <row r="20" spans="1:168" s="25" customFormat="1" ht="15" customHeight="1" x14ac:dyDescent="0.25">
      <c r="A20" s="72">
        <v>20</v>
      </c>
      <c r="B20" s="30" t="s">
        <v>416</v>
      </c>
      <c r="C20" s="91" t="s">
        <v>121</v>
      </c>
      <c r="D20" s="86" t="s">
        <v>121</v>
      </c>
      <c r="E20" s="92">
        <v>7.2992700729928028E-3</v>
      </c>
      <c r="F20" s="22">
        <v>10764</v>
      </c>
      <c r="G20" s="22">
        <v>7049</v>
      </c>
      <c r="H20" s="22">
        <v>3434</v>
      </c>
      <c r="I20" s="22">
        <v>14405</v>
      </c>
      <c r="J20" s="22">
        <v>10686</v>
      </c>
      <c r="K20" s="22">
        <v>6829</v>
      </c>
      <c r="L20" s="22">
        <v>3347</v>
      </c>
      <c r="M20" s="22">
        <v>15285</v>
      </c>
      <c r="N20" s="22">
        <v>11440</v>
      </c>
      <c r="O20" s="22">
        <v>7750</v>
      </c>
      <c r="P20" s="22">
        <v>4193</v>
      </c>
      <c r="Q20" s="405"/>
      <c r="R20" s="405"/>
      <c r="S20" s="405"/>
      <c r="T20" s="405"/>
      <c r="U20" s="22">
        <v>11432</v>
      </c>
      <c r="V20" s="22">
        <v>8237</v>
      </c>
      <c r="W20" s="22">
        <v>5397</v>
      </c>
      <c r="X20" s="22">
        <v>2466</v>
      </c>
      <c r="Y20" s="22">
        <v>9527</v>
      </c>
      <c r="Z20" s="22">
        <v>6647.8879999999999</v>
      </c>
      <c r="AA20" s="22">
        <v>4223.1419999999998</v>
      </c>
      <c r="AB20" s="22">
        <v>2159.5120000000002</v>
      </c>
      <c r="AC20" s="22">
        <v>8977.8870000000006</v>
      </c>
      <c r="AD20" s="22">
        <v>6389.5189999999993</v>
      </c>
      <c r="AE20" s="22">
        <v>4081.8489999999997</v>
      </c>
      <c r="AF20" s="22">
        <v>1810.5390000000002</v>
      </c>
      <c r="AG20" s="22">
        <v>7325.6369999999988</v>
      </c>
      <c r="AH20" s="22">
        <v>5270.7489999999998</v>
      </c>
      <c r="AI20" s="22">
        <v>3407.5639999999999</v>
      </c>
      <c r="AJ20" s="22">
        <v>1692.2310000000002</v>
      </c>
      <c r="AK20" s="22">
        <v>6607.0789999999997</v>
      </c>
      <c r="AL20" s="22">
        <v>4775.6149999999998</v>
      </c>
      <c r="AM20" s="22">
        <v>3105.2330000000002</v>
      </c>
      <c r="AN20" s="22">
        <v>1493.326</v>
      </c>
      <c r="AO20" s="22">
        <v>5830.4570000000003</v>
      </c>
      <c r="AP20" s="22">
        <v>4251.7849999999999</v>
      </c>
      <c r="AQ20" s="22">
        <v>2768.6260000000002</v>
      </c>
      <c r="AR20" s="22">
        <v>1345.808</v>
      </c>
      <c r="AS20" s="22">
        <v>4772.3379999999997</v>
      </c>
      <c r="AT20" s="22">
        <v>3434.0540000000001</v>
      </c>
      <c r="AU20" s="22">
        <v>2191.1930000000002</v>
      </c>
      <c r="AV20" s="22">
        <v>1012.235</v>
      </c>
      <c r="AW20" s="22">
        <v>4420.5870000000004</v>
      </c>
      <c r="AX20" s="22">
        <v>3108.0250000000001</v>
      </c>
      <c r="AY20" s="22">
        <v>1981.491</v>
      </c>
      <c r="AZ20" s="22">
        <v>928.71600000000001</v>
      </c>
      <c r="BA20" s="63">
        <v>3172.4560000000001</v>
      </c>
      <c r="BB20" s="22">
        <v>2238.8519999999999</v>
      </c>
      <c r="BC20" s="22">
        <v>1433.223</v>
      </c>
      <c r="BD20" s="22">
        <v>683.45600000000002</v>
      </c>
      <c r="BE20" s="22">
        <v>2753.2040000000006</v>
      </c>
      <c r="BF20" s="22">
        <v>1931.1309999999999</v>
      </c>
      <c r="BG20" s="22">
        <v>1225.6799999999998</v>
      </c>
      <c r="BH20" s="22">
        <v>559.28599999999994</v>
      </c>
      <c r="BI20" s="22">
        <v>2432.0219999999999</v>
      </c>
      <c r="BJ20" s="22">
        <v>1705.0709999999999</v>
      </c>
      <c r="BK20" s="22">
        <v>1098.4929999999999</v>
      </c>
      <c r="BL20" s="22">
        <v>498.67500000000001</v>
      </c>
      <c r="BM20" s="25">
        <v>2007.1849999999999</v>
      </c>
      <c r="BN20" s="25">
        <v>1373.0050000000001</v>
      </c>
      <c r="BO20" s="25">
        <v>903.23</v>
      </c>
      <c r="BP20" s="25">
        <v>416.36200000000002</v>
      </c>
      <c r="BQ20" s="25" t="s">
        <v>121</v>
      </c>
      <c r="BR20" s="25" t="s">
        <v>121</v>
      </c>
      <c r="BS20" s="25" t="s">
        <v>121</v>
      </c>
      <c r="BT20" s="25" t="s">
        <v>121</v>
      </c>
      <c r="BU20" s="25" t="s">
        <v>121</v>
      </c>
      <c r="BV20" s="25" t="s">
        <v>121</v>
      </c>
      <c r="BW20" s="25" t="s">
        <v>121</v>
      </c>
      <c r="BX20" s="25" t="s">
        <v>121</v>
      </c>
      <c r="BY20" s="25" t="s">
        <v>121</v>
      </c>
      <c r="BZ20" s="25" t="s">
        <v>121</v>
      </c>
      <c r="CA20" s="25" t="s">
        <v>121</v>
      </c>
      <c r="CB20" s="25" t="s">
        <v>121</v>
      </c>
      <c r="CC20" s="25" t="s">
        <v>121</v>
      </c>
      <c r="CD20" s="25" t="s">
        <v>121</v>
      </c>
      <c r="CE20" s="25" t="s">
        <v>121</v>
      </c>
      <c r="CF20" s="25" t="s">
        <v>121</v>
      </c>
      <c r="CG20" s="25" t="s">
        <v>121</v>
      </c>
      <c r="CH20" s="25" t="s">
        <v>121</v>
      </c>
      <c r="CI20" s="25" t="s">
        <v>121</v>
      </c>
      <c r="CJ20" s="25" t="s">
        <v>121</v>
      </c>
      <c r="CK20" s="25" t="s">
        <v>121</v>
      </c>
      <c r="CL20" s="25" t="s">
        <v>121</v>
      </c>
      <c r="CM20" s="25" t="s">
        <v>121</v>
      </c>
      <c r="CN20" s="25" t="s">
        <v>121</v>
      </c>
      <c r="CO20" s="25" t="s">
        <v>121</v>
      </c>
      <c r="CP20" s="25" t="s">
        <v>121</v>
      </c>
      <c r="CQ20" s="25" t="s">
        <v>121</v>
      </c>
      <c r="CR20" s="25" t="s">
        <v>121</v>
      </c>
      <c r="CS20" s="25" t="s">
        <v>121</v>
      </c>
      <c r="CT20" s="25" t="s">
        <v>121</v>
      </c>
      <c r="CU20" s="25" t="s">
        <v>121</v>
      </c>
      <c r="CV20" s="25" t="s">
        <v>121</v>
      </c>
      <c r="CW20" s="25" t="s">
        <v>121</v>
      </c>
      <c r="CX20" s="25" t="s">
        <v>121</v>
      </c>
      <c r="CY20" s="25" t="s">
        <v>121</v>
      </c>
      <c r="CZ20" s="25" t="s">
        <v>121</v>
      </c>
      <c r="DA20" s="25" t="s">
        <v>121</v>
      </c>
      <c r="DB20" s="25" t="s">
        <v>121</v>
      </c>
      <c r="DC20" s="25" t="s">
        <v>121</v>
      </c>
      <c r="DD20" s="25" t="s">
        <v>121</v>
      </c>
      <c r="DE20" s="25" t="s">
        <v>121</v>
      </c>
      <c r="DF20" s="25" t="s">
        <v>121</v>
      </c>
      <c r="DG20" s="25" t="s">
        <v>121</v>
      </c>
      <c r="DH20" s="25" t="s">
        <v>121</v>
      </c>
      <c r="DI20" s="25" t="s">
        <v>121</v>
      </c>
      <c r="DJ20" s="25" t="s">
        <v>121</v>
      </c>
      <c r="DK20" s="25" t="s">
        <v>121</v>
      </c>
      <c r="DL20" s="25" t="s">
        <v>121</v>
      </c>
      <c r="DM20" s="25" t="s">
        <v>121</v>
      </c>
      <c r="DN20" s="25" t="s">
        <v>121</v>
      </c>
      <c r="DO20" s="25" t="s">
        <v>121</v>
      </c>
      <c r="DP20" s="25" t="s">
        <v>121</v>
      </c>
      <c r="DQ20" s="25" t="s">
        <v>121</v>
      </c>
      <c r="DR20" s="25" t="s">
        <v>121</v>
      </c>
      <c r="DS20" s="25" t="s">
        <v>121</v>
      </c>
      <c r="DT20" s="25" t="s">
        <v>121</v>
      </c>
      <c r="DU20" s="25" t="s">
        <v>121</v>
      </c>
      <c r="DV20" s="25" t="s">
        <v>121</v>
      </c>
      <c r="DW20" s="25" t="s">
        <v>121</v>
      </c>
      <c r="DX20" s="25" t="s">
        <v>121</v>
      </c>
      <c r="DY20" s="25" t="s">
        <v>121</v>
      </c>
      <c r="DZ20" s="25" t="s">
        <v>121</v>
      </c>
      <c r="EA20" s="25" t="s">
        <v>121</v>
      </c>
      <c r="EB20" s="25" t="s">
        <v>121</v>
      </c>
      <c r="EC20" s="25" t="s">
        <v>121</v>
      </c>
      <c r="ED20" s="25" t="s">
        <v>121</v>
      </c>
      <c r="EE20" s="25" t="s">
        <v>121</v>
      </c>
      <c r="EF20" s="25" t="s">
        <v>121</v>
      </c>
      <c r="EG20" s="25" t="s">
        <v>121</v>
      </c>
      <c r="EH20" s="25" t="s">
        <v>121</v>
      </c>
      <c r="EI20" s="25" t="s">
        <v>121</v>
      </c>
      <c r="EJ20" s="25" t="s">
        <v>121</v>
      </c>
      <c r="EK20" s="25" t="s">
        <v>121</v>
      </c>
      <c r="EL20" s="25" t="s">
        <v>121</v>
      </c>
      <c r="EM20" s="25" t="s">
        <v>121</v>
      </c>
      <c r="EN20" s="25" t="s">
        <v>121</v>
      </c>
      <c r="EO20" s="25" t="s">
        <v>121</v>
      </c>
      <c r="EP20" s="25" t="s">
        <v>121</v>
      </c>
      <c r="EQ20" s="25" t="s">
        <v>121</v>
      </c>
      <c r="ER20" s="25" t="s">
        <v>121</v>
      </c>
      <c r="ES20" s="25" t="s">
        <v>121</v>
      </c>
      <c r="ET20" s="25" t="s">
        <v>121</v>
      </c>
      <c r="EU20" s="25" t="s">
        <v>121</v>
      </c>
      <c r="EV20" s="25" t="s">
        <v>121</v>
      </c>
      <c r="EW20" s="25" t="s">
        <v>121</v>
      </c>
      <c r="EX20" s="25" t="s">
        <v>121</v>
      </c>
    </row>
    <row r="21" spans="1:168" s="25" customFormat="1" ht="15" customHeight="1" x14ac:dyDescent="0.25">
      <c r="A21" s="72">
        <v>21</v>
      </c>
      <c r="B21" s="30" t="s">
        <v>417</v>
      </c>
      <c r="C21" s="91" t="s">
        <v>121</v>
      </c>
      <c r="D21" s="86" t="s">
        <v>121</v>
      </c>
      <c r="E21" s="92">
        <v>5.8741905642923253E-2</v>
      </c>
      <c r="F21" s="22">
        <v>-2289</v>
      </c>
      <c r="G21" s="22">
        <v>-1447</v>
      </c>
      <c r="H21" s="22">
        <v>-673</v>
      </c>
      <c r="I21" s="22">
        <v>-2806</v>
      </c>
      <c r="J21" s="22">
        <v>-2162</v>
      </c>
      <c r="K21" s="22">
        <v>-1461</v>
      </c>
      <c r="L21" s="22">
        <v>-688</v>
      </c>
      <c r="M21" s="22">
        <v>-2798</v>
      </c>
      <c r="N21" s="22">
        <v>-2010</v>
      </c>
      <c r="O21" s="22">
        <v>-1292</v>
      </c>
      <c r="P21" s="22">
        <v>-627</v>
      </c>
      <c r="Q21" s="405"/>
      <c r="R21" s="405"/>
      <c r="S21" s="405"/>
      <c r="T21" s="405"/>
      <c r="U21" s="22">
        <v>-2423</v>
      </c>
      <c r="V21" s="22">
        <v>-1828</v>
      </c>
      <c r="W21" s="22">
        <v>-1184</v>
      </c>
      <c r="X21" s="22">
        <v>-561</v>
      </c>
      <c r="Y21" s="22">
        <v>-1987</v>
      </c>
      <c r="Z21" s="22">
        <v>-1422.7550000000001</v>
      </c>
      <c r="AA21" s="22">
        <v>-898.01</v>
      </c>
      <c r="AB21" s="22">
        <v>-477.34300000000002</v>
      </c>
      <c r="AC21" s="22">
        <v>-2158.9609999999993</v>
      </c>
      <c r="AD21" s="22">
        <v>-1563.8720000000001</v>
      </c>
      <c r="AE21" s="22">
        <v>-1039.731</v>
      </c>
      <c r="AF21" s="22">
        <v>-532.08399999999995</v>
      </c>
      <c r="AG21" s="22">
        <v>-2082.5549999999998</v>
      </c>
      <c r="AH21" s="22">
        <v>-1523.7964999999999</v>
      </c>
      <c r="AI21" s="22">
        <v>-986.23299999999983</v>
      </c>
      <c r="AJ21" s="22">
        <v>-456.96749999999997</v>
      </c>
      <c r="AK21" s="22">
        <v>-1396.0060000000001</v>
      </c>
      <c r="AL21" s="22">
        <v>-1029.857</v>
      </c>
      <c r="AM21" s="22">
        <v>-671.49800000000005</v>
      </c>
      <c r="AN21" s="22">
        <v>-322.12200000000001</v>
      </c>
      <c r="AO21" s="22">
        <v>-1130.9380000000001</v>
      </c>
      <c r="AP21" s="22">
        <v>-777.48699999999997</v>
      </c>
      <c r="AQ21" s="22">
        <v>-472.84800000000001</v>
      </c>
      <c r="AR21" s="22">
        <v>-217.833</v>
      </c>
      <c r="AS21" s="22">
        <v>-730.02800000000002</v>
      </c>
      <c r="AT21" s="22">
        <v>-536.11199999999997</v>
      </c>
      <c r="AU21" s="22">
        <v>-327.66800000000001</v>
      </c>
      <c r="AV21" s="22">
        <v>-175.51499999999999</v>
      </c>
      <c r="AW21" s="22">
        <v>-699.94500000000005</v>
      </c>
      <c r="AX21" s="22">
        <v>-459.76800000000003</v>
      </c>
      <c r="AY21" s="22">
        <v>-295.53500000000003</v>
      </c>
      <c r="AZ21" s="22">
        <v>-139.08699999999999</v>
      </c>
      <c r="BA21" s="63">
        <v>-494.58800000000002</v>
      </c>
      <c r="BB21" s="22">
        <v>-361.44</v>
      </c>
      <c r="BC21" s="22">
        <v>-207.35300000000001</v>
      </c>
      <c r="BD21" s="22">
        <v>-89.021000000000001</v>
      </c>
      <c r="BE21" s="22">
        <v>-404.07499999999993</v>
      </c>
      <c r="BF21" s="22">
        <v>-286.53300000000002</v>
      </c>
      <c r="BG21" s="22">
        <v>-189.92599999999999</v>
      </c>
      <c r="BH21" s="22">
        <v>-77.227000000000004</v>
      </c>
      <c r="BI21" s="22">
        <v>-380.38799999999998</v>
      </c>
      <c r="BJ21" s="22">
        <v>-241.17699999999996</v>
      </c>
      <c r="BK21" s="22">
        <v>-159.66199999999998</v>
      </c>
      <c r="BL21" s="22">
        <v>-59.543999999999997</v>
      </c>
      <c r="BM21" s="25">
        <v>-292.06</v>
      </c>
      <c r="BN21" s="25">
        <v>-192.50900000000001</v>
      </c>
      <c r="BO21" s="25">
        <v>-139.733</v>
      </c>
      <c r="BP21" s="25">
        <v>-79.165000000000006</v>
      </c>
      <c r="BQ21" s="25" t="s">
        <v>121</v>
      </c>
      <c r="BR21" s="25" t="s">
        <v>121</v>
      </c>
      <c r="BS21" s="25" t="s">
        <v>121</v>
      </c>
      <c r="BT21" s="25" t="s">
        <v>121</v>
      </c>
      <c r="BU21" s="25" t="s">
        <v>121</v>
      </c>
      <c r="BV21" s="25" t="s">
        <v>121</v>
      </c>
      <c r="BW21" s="25" t="s">
        <v>121</v>
      </c>
      <c r="BX21" s="25" t="s">
        <v>121</v>
      </c>
      <c r="BY21" s="25" t="s">
        <v>121</v>
      </c>
      <c r="BZ21" s="25" t="s">
        <v>121</v>
      </c>
      <c r="CA21" s="25" t="s">
        <v>121</v>
      </c>
      <c r="CB21" s="25" t="s">
        <v>121</v>
      </c>
      <c r="CC21" s="25" t="s">
        <v>121</v>
      </c>
      <c r="CD21" s="25" t="s">
        <v>121</v>
      </c>
      <c r="CE21" s="25" t="s">
        <v>121</v>
      </c>
      <c r="CF21" s="25" t="s">
        <v>121</v>
      </c>
      <c r="CG21" s="25" t="s">
        <v>121</v>
      </c>
      <c r="CH21" s="25" t="s">
        <v>121</v>
      </c>
      <c r="CI21" s="25" t="s">
        <v>121</v>
      </c>
      <c r="CJ21" s="25" t="s">
        <v>121</v>
      </c>
      <c r="CK21" s="25" t="s">
        <v>121</v>
      </c>
      <c r="CL21" s="25" t="s">
        <v>121</v>
      </c>
      <c r="CM21" s="25" t="s">
        <v>121</v>
      </c>
      <c r="CN21" s="25" t="s">
        <v>121</v>
      </c>
      <c r="CO21" s="25" t="s">
        <v>121</v>
      </c>
      <c r="CP21" s="25" t="s">
        <v>121</v>
      </c>
      <c r="CQ21" s="25" t="s">
        <v>121</v>
      </c>
      <c r="CR21" s="25" t="s">
        <v>121</v>
      </c>
      <c r="CS21" s="25" t="s">
        <v>121</v>
      </c>
      <c r="CT21" s="25" t="s">
        <v>121</v>
      </c>
      <c r="CU21" s="25" t="s">
        <v>121</v>
      </c>
      <c r="CV21" s="25" t="s">
        <v>121</v>
      </c>
      <c r="CW21" s="25" t="s">
        <v>121</v>
      </c>
      <c r="CX21" s="25" t="s">
        <v>121</v>
      </c>
      <c r="CY21" s="25" t="s">
        <v>121</v>
      </c>
      <c r="CZ21" s="25" t="s">
        <v>121</v>
      </c>
      <c r="DA21" s="25" t="s">
        <v>121</v>
      </c>
      <c r="DB21" s="25" t="s">
        <v>121</v>
      </c>
      <c r="DC21" s="25" t="s">
        <v>121</v>
      </c>
      <c r="DD21" s="25" t="s">
        <v>121</v>
      </c>
      <c r="DE21" s="25" t="s">
        <v>121</v>
      </c>
      <c r="DF21" s="25" t="s">
        <v>121</v>
      </c>
      <c r="DG21" s="25" t="s">
        <v>121</v>
      </c>
      <c r="DH21" s="25" t="s">
        <v>121</v>
      </c>
      <c r="DI21" s="25" t="s">
        <v>121</v>
      </c>
      <c r="DJ21" s="25" t="s">
        <v>121</v>
      </c>
      <c r="DK21" s="25" t="s">
        <v>121</v>
      </c>
      <c r="DL21" s="25" t="s">
        <v>121</v>
      </c>
      <c r="DM21" s="25" t="s">
        <v>121</v>
      </c>
      <c r="DN21" s="25" t="s">
        <v>121</v>
      </c>
      <c r="DO21" s="25" t="s">
        <v>121</v>
      </c>
      <c r="DP21" s="25" t="s">
        <v>121</v>
      </c>
      <c r="DQ21" s="25" t="s">
        <v>121</v>
      </c>
      <c r="DR21" s="25" t="s">
        <v>121</v>
      </c>
      <c r="DS21" s="25" t="s">
        <v>121</v>
      </c>
      <c r="DT21" s="25" t="s">
        <v>121</v>
      </c>
      <c r="DU21" s="25" t="s">
        <v>121</v>
      </c>
      <c r="DV21" s="25" t="s">
        <v>121</v>
      </c>
      <c r="DW21" s="25" t="s">
        <v>121</v>
      </c>
      <c r="DX21" s="25" t="s">
        <v>121</v>
      </c>
      <c r="DY21" s="25" t="s">
        <v>121</v>
      </c>
      <c r="DZ21" s="25" t="s">
        <v>121</v>
      </c>
      <c r="EA21" s="25" t="s">
        <v>121</v>
      </c>
      <c r="EB21" s="25" t="s">
        <v>121</v>
      </c>
      <c r="EC21" s="25" t="s">
        <v>121</v>
      </c>
      <c r="ED21" s="25" t="s">
        <v>121</v>
      </c>
      <c r="EE21" s="25" t="s">
        <v>121</v>
      </c>
      <c r="EF21" s="25" t="s">
        <v>121</v>
      </c>
      <c r="EG21" s="25" t="s">
        <v>121</v>
      </c>
      <c r="EH21" s="25" t="s">
        <v>121</v>
      </c>
      <c r="EI21" s="25" t="s">
        <v>121</v>
      </c>
      <c r="EJ21" s="25" t="s">
        <v>121</v>
      </c>
      <c r="EK21" s="25" t="s">
        <v>121</v>
      </c>
      <c r="EL21" s="25" t="s">
        <v>121</v>
      </c>
      <c r="EM21" s="25" t="s">
        <v>121</v>
      </c>
      <c r="EN21" s="25" t="s">
        <v>121</v>
      </c>
      <c r="EO21" s="25" t="s">
        <v>121</v>
      </c>
      <c r="EP21" s="25" t="s">
        <v>121</v>
      </c>
      <c r="EQ21" s="25" t="s">
        <v>121</v>
      </c>
      <c r="ER21" s="25" t="s">
        <v>121</v>
      </c>
      <c r="ES21" s="25" t="s">
        <v>121</v>
      </c>
      <c r="ET21" s="25" t="s">
        <v>121</v>
      </c>
      <c r="EU21" s="25" t="s">
        <v>121</v>
      </c>
      <c r="EV21" s="25" t="s">
        <v>121</v>
      </c>
      <c r="EW21" s="25" t="s">
        <v>121</v>
      </c>
      <c r="EX21" s="25" t="s">
        <v>121</v>
      </c>
    </row>
    <row r="22" spans="1:168" s="25" customFormat="1" ht="14.25" customHeight="1" x14ac:dyDescent="0.25">
      <c r="A22" s="72">
        <v>22</v>
      </c>
      <c r="B22" s="305" t="s">
        <v>95</v>
      </c>
      <c r="C22" s="345"/>
      <c r="D22" s="275"/>
      <c r="E22" s="270"/>
      <c r="F22" s="22">
        <v>7</v>
      </c>
      <c r="G22" s="22">
        <v>14</v>
      </c>
      <c r="H22" s="22">
        <v>-16</v>
      </c>
      <c r="I22" s="22">
        <v>-66</v>
      </c>
      <c r="J22" s="22">
        <v>-2</v>
      </c>
      <c r="K22" s="22">
        <v>-47</v>
      </c>
      <c r="L22" s="22">
        <v>-43</v>
      </c>
      <c r="M22" s="22">
        <v>6371</v>
      </c>
      <c r="N22" s="22">
        <v>5895</v>
      </c>
      <c r="O22" s="22">
        <v>5863</v>
      </c>
      <c r="P22" s="22">
        <v>-334</v>
      </c>
      <c r="Q22" s="405"/>
      <c r="R22" s="405"/>
      <c r="S22" s="405"/>
      <c r="T22" s="405"/>
      <c r="U22" s="22">
        <v>-373</v>
      </c>
      <c r="V22" s="22">
        <v>-348</v>
      </c>
      <c r="W22" s="22">
        <v>12</v>
      </c>
      <c r="X22" s="22">
        <v>105</v>
      </c>
      <c r="Y22" s="22">
        <v>35</v>
      </c>
      <c r="Z22" s="22">
        <v>205.98599999999999</v>
      </c>
      <c r="AA22" s="22">
        <v>137.06700000000001</v>
      </c>
      <c r="AB22" s="22">
        <v>202.697</v>
      </c>
      <c r="AC22" s="22">
        <v>-172.126</v>
      </c>
      <c r="AD22" s="22">
        <v>-67.257000000000005</v>
      </c>
      <c r="AE22" s="22">
        <v>-90.744</v>
      </c>
      <c r="AF22" s="22">
        <v>-89.367999999999995</v>
      </c>
      <c r="AG22" s="22">
        <v>-203.15600000000001</v>
      </c>
      <c r="AH22" s="22">
        <v>-158.90299999999999</v>
      </c>
      <c r="AI22" s="22">
        <v>-112.97499999999999</v>
      </c>
      <c r="AJ22" s="22">
        <v>-217.71299999999999</v>
      </c>
      <c r="AK22" s="22">
        <v>-460.27800000000002</v>
      </c>
      <c r="AL22" s="22">
        <v>-463.75099999999998</v>
      </c>
      <c r="AM22" s="22">
        <v>-425.48599999999999</v>
      </c>
      <c r="AN22" s="22">
        <v>-64.02600000000001</v>
      </c>
      <c r="AO22" s="22">
        <v>-707.23900000000003</v>
      </c>
      <c r="AP22" s="22">
        <v>-447.22399999999999</v>
      </c>
      <c r="AQ22" s="22">
        <v>-443.37099999999998</v>
      </c>
      <c r="AR22" s="22">
        <v>-207.17699999999999</v>
      </c>
      <c r="AS22" s="22">
        <v>-134.90100000000001</v>
      </c>
      <c r="AT22" s="22">
        <v>-96.054000000000002</v>
      </c>
      <c r="AU22" s="22">
        <v>-5.5519999999999996</v>
      </c>
      <c r="AV22" s="22">
        <v>-0.22600000000000001</v>
      </c>
      <c r="AW22" s="22">
        <v>8.8499999999999979</v>
      </c>
      <c r="AX22" s="22">
        <v>6.6610000000000049</v>
      </c>
      <c r="AY22" s="22">
        <v>-38.465000000000003</v>
      </c>
      <c r="AZ22" s="22">
        <v>6.1630000000000003</v>
      </c>
      <c r="BA22" s="63">
        <v>153.20699999999999</v>
      </c>
      <c r="BB22" s="22">
        <v>75.634</v>
      </c>
      <c r="BC22" s="22">
        <v>36.680999999999997</v>
      </c>
      <c r="BD22" s="22">
        <v>-17.074999999999999</v>
      </c>
      <c r="BE22" s="22">
        <v>28.946000000000005</v>
      </c>
      <c r="BF22" s="22">
        <v>-24.157999999999998</v>
      </c>
      <c r="BG22" s="22">
        <v>-15.384999999999998</v>
      </c>
      <c r="BH22" s="22">
        <v>16.3</v>
      </c>
      <c r="BI22" s="22">
        <v>-105.26</v>
      </c>
      <c r="BJ22" s="22">
        <v>-222.161</v>
      </c>
      <c r="BK22" s="22">
        <v>-143.054</v>
      </c>
      <c r="BL22" s="22">
        <v>-5.851</v>
      </c>
      <c r="BM22" s="25">
        <v>60.718000000000004</v>
      </c>
      <c r="BN22" s="25">
        <v>-8.708000000000002</v>
      </c>
      <c r="BO22" s="25">
        <v>17.167999999999999</v>
      </c>
      <c r="BP22" s="25">
        <v>11.675000000000001</v>
      </c>
      <c r="BQ22" s="25" t="s">
        <v>121</v>
      </c>
      <c r="BR22" s="25" t="s">
        <v>121</v>
      </c>
      <c r="BS22" s="25" t="s">
        <v>121</v>
      </c>
      <c r="BT22" s="25" t="s">
        <v>121</v>
      </c>
      <c r="BU22" s="25" t="s">
        <v>121</v>
      </c>
      <c r="BV22" s="25" t="s">
        <v>121</v>
      </c>
      <c r="BW22" s="25" t="s">
        <v>121</v>
      </c>
      <c r="BX22" s="25" t="s">
        <v>121</v>
      </c>
      <c r="BY22" s="25" t="s">
        <v>121</v>
      </c>
      <c r="BZ22" s="25" t="s">
        <v>121</v>
      </c>
      <c r="CA22" s="25" t="s">
        <v>121</v>
      </c>
      <c r="CB22" s="25" t="s">
        <v>121</v>
      </c>
      <c r="CC22" s="25" t="s">
        <v>121</v>
      </c>
      <c r="CD22" s="25" t="s">
        <v>121</v>
      </c>
      <c r="CE22" s="25" t="s">
        <v>121</v>
      </c>
      <c r="CF22" s="25" t="s">
        <v>121</v>
      </c>
      <c r="CG22" s="25" t="s">
        <v>121</v>
      </c>
      <c r="CH22" s="25" t="s">
        <v>121</v>
      </c>
      <c r="CI22" s="25" t="s">
        <v>121</v>
      </c>
      <c r="CJ22" s="25" t="s">
        <v>121</v>
      </c>
      <c r="CK22" s="25" t="s">
        <v>121</v>
      </c>
      <c r="CL22" s="25" t="s">
        <v>121</v>
      </c>
      <c r="CM22" s="25" t="s">
        <v>121</v>
      </c>
      <c r="CN22" s="25" t="s">
        <v>121</v>
      </c>
      <c r="CO22" s="25" t="s">
        <v>121</v>
      </c>
      <c r="CP22" s="25" t="s">
        <v>121</v>
      </c>
      <c r="CQ22" s="25" t="s">
        <v>121</v>
      </c>
      <c r="CR22" s="25" t="s">
        <v>121</v>
      </c>
      <c r="CS22" s="25" t="s">
        <v>121</v>
      </c>
      <c r="CT22" s="25" t="s">
        <v>121</v>
      </c>
      <c r="CU22" s="25" t="s">
        <v>121</v>
      </c>
      <c r="CV22" s="25" t="s">
        <v>121</v>
      </c>
      <c r="CW22" s="25" t="s">
        <v>121</v>
      </c>
      <c r="CX22" s="25" t="s">
        <v>121</v>
      </c>
      <c r="CY22" s="25" t="s">
        <v>121</v>
      </c>
      <c r="CZ22" s="25" t="s">
        <v>121</v>
      </c>
      <c r="DA22" s="25" t="s">
        <v>121</v>
      </c>
      <c r="DB22" s="25" t="s">
        <v>121</v>
      </c>
      <c r="DC22" s="25" t="s">
        <v>121</v>
      </c>
      <c r="DD22" s="25" t="s">
        <v>121</v>
      </c>
      <c r="DE22" s="25" t="s">
        <v>121</v>
      </c>
      <c r="DF22" s="25" t="s">
        <v>121</v>
      </c>
      <c r="DG22" s="25" t="s">
        <v>121</v>
      </c>
      <c r="DH22" s="25" t="s">
        <v>121</v>
      </c>
      <c r="DI22" s="25" t="s">
        <v>121</v>
      </c>
      <c r="DJ22" s="25" t="s">
        <v>121</v>
      </c>
      <c r="DK22" s="25" t="s">
        <v>121</v>
      </c>
      <c r="DL22" s="25" t="s">
        <v>121</v>
      </c>
      <c r="DM22" s="25" t="s">
        <v>121</v>
      </c>
      <c r="DN22" s="25" t="s">
        <v>121</v>
      </c>
      <c r="DO22" s="25" t="s">
        <v>121</v>
      </c>
      <c r="DP22" s="25" t="s">
        <v>121</v>
      </c>
      <c r="DQ22" s="25" t="s">
        <v>121</v>
      </c>
      <c r="DR22" s="25" t="s">
        <v>121</v>
      </c>
      <c r="DS22" s="25" t="s">
        <v>121</v>
      </c>
      <c r="DT22" s="25" t="s">
        <v>121</v>
      </c>
      <c r="DU22" s="25" t="s">
        <v>121</v>
      </c>
      <c r="DV22" s="25" t="s">
        <v>121</v>
      </c>
      <c r="DW22" s="25" t="s">
        <v>121</v>
      </c>
      <c r="DX22" s="25" t="s">
        <v>121</v>
      </c>
      <c r="DY22" s="25" t="s">
        <v>121</v>
      </c>
      <c r="DZ22" s="25" t="s">
        <v>121</v>
      </c>
      <c r="EA22" s="25" t="s">
        <v>121</v>
      </c>
      <c r="EB22" s="25" t="s">
        <v>121</v>
      </c>
      <c r="EC22" s="25" t="s">
        <v>121</v>
      </c>
      <c r="ED22" s="25" t="s">
        <v>121</v>
      </c>
      <c r="EE22" s="25" t="s">
        <v>121</v>
      </c>
      <c r="EF22" s="25" t="s">
        <v>121</v>
      </c>
      <c r="EG22" s="25" t="s">
        <v>121</v>
      </c>
      <c r="EH22" s="25" t="s">
        <v>121</v>
      </c>
      <c r="EI22" s="25" t="s">
        <v>121</v>
      </c>
      <c r="EJ22" s="25" t="s">
        <v>121</v>
      </c>
      <c r="EK22" s="25" t="s">
        <v>121</v>
      </c>
      <c r="EL22" s="25" t="s">
        <v>121</v>
      </c>
      <c r="EM22" s="25" t="s">
        <v>121</v>
      </c>
      <c r="EN22" s="25" t="s">
        <v>121</v>
      </c>
      <c r="EO22" s="25" t="s">
        <v>121</v>
      </c>
      <c r="EP22" s="25" t="s">
        <v>121</v>
      </c>
      <c r="EQ22" s="25" t="s">
        <v>121</v>
      </c>
      <c r="ER22" s="25" t="s">
        <v>121</v>
      </c>
      <c r="ES22" s="25" t="s">
        <v>121</v>
      </c>
      <c r="ET22" s="25" t="s">
        <v>121</v>
      </c>
      <c r="EU22" s="25" t="s">
        <v>121</v>
      </c>
      <c r="EV22" s="25" t="s">
        <v>121</v>
      </c>
      <c r="EW22" s="25" t="s">
        <v>121</v>
      </c>
      <c r="EX22" s="25" t="s">
        <v>121</v>
      </c>
    </row>
    <row r="23" spans="1:168" s="25" customFormat="1" ht="15" customHeight="1" x14ac:dyDescent="0.25">
      <c r="A23" s="72">
        <v>23</v>
      </c>
      <c r="B23" s="146" t="s">
        <v>108</v>
      </c>
      <c r="C23" s="91"/>
      <c r="D23" s="86"/>
      <c r="E23" s="92"/>
      <c r="F23" s="22">
        <v>5</v>
      </c>
      <c r="G23" s="22">
        <v>2</v>
      </c>
      <c r="H23" s="22" t="s">
        <v>121</v>
      </c>
      <c r="I23" s="22">
        <v>20</v>
      </c>
      <c r="J23" s="22">
        <v>20</v>
      </c>
      <c r="K23" s="22">
        <v>12</v>
      </c>
      <c r="L23" s="22" t="s">
        <v>121</v>
      </c>
      <c r="M23" s="22">
        <v>9</v>
      </c>
      <c r="N23" s="22">
        <v>7</v>
      </c>
      <c r="O23" s="22">
        <v>3</v>
      </c>
      <c r="P23" s="22">
        <v>2</v>
      </c>
      <c r="Q23" s="405"/>
      <c r="R23" s="405"/>
      <c r="S23" s="405"/>
      <c r="T23" s="405"/>
      <c r="U23" s="22">
        <v>159</v>
      </c>
      <c r="V23" s="22">
        <v>158</v>
      </c>
      <c r="W23" s="22">
        <v>151</v>
      </c>
      <c r="X23" s="22">
        <v>128</v>
      </c>
      <c r="Y23" s="22">
        <v>349</v>
      </c>
      <c r="Z23" s="22" t="s">
        <v>121</v>
      </c>
      <c r="AA23" s="22" t="s">
        <v>121</v>
      </c>
      <c r="AB23" s="22" t="s">
        <v>121</v>
      </c>
      <c r="AC23" s="22">
        <v>-49.539000000000001</v>
      </c>
      <c r="AD23" s="22" t="s">
        <v>121</v>
      </c>
      <c r="AE23" s="22" t="s">
        <v>121</v>
      </c>
      <c r="AF23" s="22" t="s">
        <v>121</v>
      </c>
      <c r="AG23" s="22" t="s">
        <v>121</v>
      </c>
      <c r="AH23" s="22" t="s">
        <v>121</v>
      </c>
      <c r="AI23" s="22" t="s">
        <v>121</v>
      </c>
      <c r="AJ23" s="22" t="s">
        <v>121</v>
      </c>
      <c r="AK23" s="22" t="s">
        <v>121</v>
      </c>
      <c r="AL23" s="22" t="s">
        <v>121</v>
      </c>
      <c r="AM23" s="22" t="s">
        <v>121</v>
      </c>
      <c r="AN23" s="22" t="s">
        <v>121</v>
      </c>
      <c r="AO23" s="22" t="s">
        <v>121</v>
      </c>
      <c r="AP23" s="22" t="s">
        <v>121</v>
      </c>
      <c r="AQ23" s="22" t="s">
        <v>121</v>
      </c>
      <c r="AR23" s="22" t="s">
        <v>121</v>
      </c>
      <c r="AS23" s="22" t="s">
        <v>121</v>
      </c>
      <c r="AT23" s="22" t="s">
        <v>121</v>
      </c>
      <c r="AU23" s="22" t="s">
        <v>121</v>
      </c>
      <c r="AV23" s="22" t="s">
        <v>121</v>
      </c>
      <c r="AW23" s="22" t="s">
        <v>121</v>
      </c>
      <c r="AX23" s="22" t="s">
        <v>121</v>
      </c>
      <c r="AY23" s="22" t="s">
        <v>121</v>
      </c>
      <c r="AZ23" s="22" t="s">
        <v>121</v>
      </c>
      <c r="BA23" s="63" t="s">
        <v>121</v>
      </c>
      <c r="BB23" s="22" t="s">
        <v>121</v>
      </c>
      <c r="BC23" s="22" t="s">
        <v>121</v>
      </c>
      <c r="BD23" s="22" t="s">
        <v>121</v>
      </c>
      <c r="BE23" s="22">
        <v>214.19900000000001</v>
      </c>
      <c r="BF23" s="22">
        <v>214.19900000000001</v>
      </c>
      <c r="BG23" s="22" t="s">
        <v>121</v>
      </c>
      <c r="BH23" s="22" t="s">
        <v>121</v>
      </c>
      <c r="BI23" s="22" t="s">
        <v>121</v>
      </c>
      <c r="BJ23" s="22" t="s">
        <v>121</v>
      </c>
      <c r="BK23" s="22" t="s">
        <v>121</v>
      </c>
      <c r="BL23" s="22" t="s">
        <v>121</v>
      </c>
      <c r="BM23" s="25" t="s">
        <v>121</v>
      </c>
      <c r="BN23" s="25" t="s">
        <v>121</v>
      </c>
      <c r="BO23" s="25" t="s">
        <v>121</v>
      </c>
      <c r="BP23" s="25" t="s">
        <v>121</v>
      </c>
      <c r="BQ23" s="25" t="s">
        <v>121</v>
      </c>
      <c r="BR23" s="25" t="s">
        <v>121</v>
      </c>
      <c r="BS23" s="25" t="s">
        <v>121</v>
      </c>
      <c r="BT23" s="25" t="s">
        <v>121</v>
      </c>
      <c r="BU23" s="25" t="s">
        <v>121</v>
      </c>
      <c r="BV23" s="25" t="s">
        <v>121</v>
      </c>
      <c r="BW23" s="25" t="s">
        <v>121</v>
      </c>
      <c r="BX23" s="25" t="s">
        <v>121</v>
      </c>
      <c r="BY23" s="25" t="s">
        <v>121</v>
      </c>
      <c r="BZ23" s="25" t="s">
        <v>121</v>
      </c>
      <c r="CA23" s="25" t="s">
        <v>121</v>
      </c>
      <c r="CB23" s="25" t="s">
        <v>121</v>
      </c>
      <c r="CC23" s="25" t="s">
        <v>121</v>
      </c>
      <c r="CD23" s="25" t="s">
        <v>121</v>
      </c>
      <c r="CE23" s="25" t="s">
        <v>121</v>
      </c>
      <c r="CF23" s="25" t="s">
        <v>121</v>
      </c>
      <c r="CG23" s="25" t="s">
        <v>121</v>
      </c>
      <c r="CH23" s="25" t="s">
        <v>121</v>
      </c>
      <c r="CI23" s="25" t="s">
        <v>121</v>
      </c>
      <c r="CJ23" s="25" t="s">
        <v>121</v>
      </c>
      <c r="CK23" s="25" t="s">
        <v>121</v>
      </c>
      <c r="CL23" s="25" t="s">
        <v>121</v>
      </c>
      <c r="CM23" s="25" t="s">
        <v>121</v>
      </c>
      <c r="CN23" s="25" t="s">
        <v>121</v>
      </c>
      <c r="CO23" s="25" t="s">
        <v>121</v>
      </c>
      <c r="CP23" s="25" t="s">
        <v>121</v>
      </c>
      <c r="CQ23" s="25" t="s">
        <v>121</v>
      </c>
      <c r="CR23" s="25" t="s">
        <v>121</v>
      </c>
      <c r="CS23" s="25" t="s">
        <v>121</v>
      </c>
      <c r="CT23" s="25" t="s">
        <v>121</v>
      </c>
      <c r="CU23" s="25" t="s">
        <v>121</v>
      </c>
      <c r="CV23" s="25" t="s">
        <v>121</v>
      </c>
      <c r="CW23" s="25" t="s">
        <v>121</v>
      </c>
      <c r="CX23" s="25" t="s">
        <v>121</v>
      </c>
      <c r="CY23" s="25" t="s">
        <v>121</v>
      </c>
      <c r="CZ23" s="25" t="s">
        <v>121</v>
      </c>
      <c r="DA23" s="25" t="s">
        <v>121</v>
      </c>
      <c r="DB23" s="25" t="s">
        <v>121</v>
      </c>
      <c r="DC23" s="25" t="s">
        <v>121</v>
      </c>
      <c r="DD23" s="25" t="s">
        <v>121</v>
      </c>
      <c r="DE23" s="25" t="s">
        <v>121</v>
      </c>
      <c r="DF23" s="25" t="s">
        <v>121</v>
      </c>
      <c r="DG23" s="25" t="s">
        <v>121</v>
      </c>
      <c r="DH23" s="25" t="s">
        <v>121</v>
      </c>
      <c r="DI23" s="25" t="s">
        <v>121</v>
      </c>
      <c r="DJ23" s="25" t="s">
        <v>121</v>
      </c>
      <c r="DK23" s="25" t="s">
        <v>121</v>
      </c>
      <c r="DL23" s="25" t="s">
        <v>121</v>
      </c>
      <c r="DM23" s="25" t="s">
        <v>121</v>
      </c>
      <c r="DN23" s="25" t="s">
        <v>121</v>
      </c>
      <c r="DO23" s="25" t="s">
        <v>121</v>
      </c>
      <c r="DP23" s="25" t="s">
        <v>121</v>
      </c>
      <c r="DQ23" s="25" t="s">
        <v>121</v>
      </c>
      <c r="DR23" s="25" t="s">
        <v>121</v>
      </c>
      <c r="DS23" s="25" t="s">
        <v>121</v>
      </c>
      <c r="DT23" s="25" t="s">
        <v>121</v>
      </c>
      <c r="DU23" s="25" t="s">
        <v>121</v>
      </c>
      <c r="DV23" s="25" t="s">
        <v>121</v>
      </c>
      <c r="DW23" s="25" t="s">
        <v>121</v>
      </c>
      <c r="DX23" s="25" t="s">
        <v>121</v>
      </c>
      <c r="DY23" s="25" t="s">
        <v>121</v>
      </c>
      <c r="DZ23" s="25" t="s">
        <v>121</v>
      </c>
      <c r="EA23" s="25" t="s">
        <v>121</v>
      </c>
      <c r="EB23" s="25" t="s">
        <v>121</v>
      </c>
      <c r="EC23" s="25" t="s">
        <v>121</v>
      </c>
      <c r="ED23" s="25" t="s">
        <v>121</v>
      </c>
      <c r="EE23" s="25" t="s">
        <v>121</v>
      </c>
      <c r="EF23" s="25" t="s">
        <v>121</v>
      </c>
      <c r="EG23" s="25" t="s">
        <v>121</v>
      </c>
      <c r="EH23" s="25" t="s">
        <v>121</v>
      </c>
      <c r="EI23" s="25" t="s">
        <v>121</v>
      </c>
      <c r="EJ23" s="25" t="s">
        <v>121</v>
      </c>
      <c r="EK23" s="25" t="s">
        <v>121</v>
      </c>
      <c r="EL23" s="25" t="s">
        <v>121</v>
      </c>
      <c r="EM23" s="25" t="s">
        <v>121</v>
      </c>
      <c r="EN23" s="25" t="s">
        <v>121</v>
      </c>
      <c r="EO23" s="25" t="s">
        <v>121</v>
      </c>
      <c r="EP23" s="25" t="s">
        <v>121</v>
      </c>
      <c r="EQ23" s="25" t="s">
        <v>121</v>
      </c>
      <c r="ER23" s="25" t="s">
        <v>121</v>
      </c>
      <c r="ES23" s="25" t="s">
        <v>121</v>
      </c>
      <c r="ET23" s="25" t="s">
        <v>121</v>
      </c>
      <c r="EU23" s="25" t="s">
        <v>121</v>
      </c>
      <c r="EV23" s="25" t="s">
        <v>121</v>
      </c>
      <c r="EW23" s="25" t="s">
        <v>121</v>
      </c>
      <c r="EX23" s="25" t="s">
        <v>121</v>
      </c>
    </row>
    <row r="24" spans="1:168" s="25" customFormat="1" x14ac:dyDescent="0.25">
      <c r="A24" s="72">
        <v>24</v>
      </c>
      <c r="B24" s="361" t="s">
        <v>418</v>
      </c>
      <c r="C24" s="91" t="s">
        <v>121</v>
      </c>
      <c r="D24" s="86" t="s">
        <v>121</v>
      </c>
      <c r="E24" s="92" t="s">
        <v>121</v>
      </c>
      <c r="F24" s="22">
        <v>-512</v>
      </c>
      <c r="G24" s="22">
        <v>-1230</v>
      </c>
      <c r="H24" s="22">
        <v>-29</v>
      </c>
      <c r="I24" s="22">
        <v>-397</v>
      </c>
      <c r="J24" s="22">
        <v>-159</v>
      </c>
      <c r="K24" s="22">
        <v>-16</v>
      </c>
      <c r="L24" s="22">
        <v>-17</v>
      </c>
      <c r="M24" s="22">
        <v>-1081</v>
      </c>
      <c r="N24" s="22">
        <v>-701</v>
      </c>
      <c r="O24" s="22">
        <v>-107</v>
      </c>
      <c r="P24" s="22">
        <v>-53</v>
      </c>
      <c r="Q24" s="405"/>
      <c r="R24" s="405"/>
      <c r="S24" s="405"/>
      <c r="T24" s="405"/>
      <c r="U24" s="22">
        <v>164</v>
      </c>
      <c r="V24" s="22">
        <v>93</v>
      </c>
      <c r="W24" s="22">
        <v>-75</v>
      </c>
      <c r="X24" s="22">
        <v>-60</v>
      </c>
      <c r="Y24" s="22">
        <v>-141</v>
      </c>
      <c r="Z24" s="22">
        <v>-149.624</v>
      </c>
      <c r="AA24" s="22">
        <v>-165.11099999999999</v>
      </c>
      <c r="AB24" s="22">
        <v>-37.848999999999997</v>
      </c>
      <c r="AC24" s="22">
        <v>103.85599999999999</v>
      </c>
      <c r="AD24" s="22" t="s">
        <v>121</v>
      </c>
      <c r="AE24" s="22" t="s">
        <v>121</v>
      </c>
      <c r="AF24" s="22" t="s">
        <v>121</v>
      </c>
      <c r="AG24" s="22">
        <v>586.51099999999997</v>
      </c>
      <c r="AH24" s="22">
        <v>586.51099999999997</v>
      </c>
      <c r="AI24" s="22">
        <v>382.23399999999998</v>
      </c>
      <c r="AJ24" s="22" t="s">
        <v>121</v>
      </c>
      <c r="AK24" s="22" t="s">
        <v>121</v>
      </c>
      <c r="AL24" s="22" t="s">
        <v>121</v>
      </c>
      <c r="AM24" s="22" t="s">
        <v>121</v>
      </c>
      <c r="AN24" s="22" t="s">
        <v>121</v>
      </c>
      <c r="AO24" s="22" t="s">
        <v>121</v>
      </c>
      <c r="AP24" s="22" t="s">
        <v>121</v>
      </c>
      <c r="AQ24" s="22" t="s">
        <v>121</v>
      </c>
      <c r="AR24" s="22" t="s">
        <v>121</v>
      </c>
      <c r="AS24" s="22" t="s">
        <v>121</v>
      </c>
      <c r="AT24" s="22" t="s">
        <v>121</v>
      </c>
      <c r="AU24" s="22" t="s">
        <v>121</v>
      </c>
      <c r="AV24" s="22" t="s">
        <v>121</v>
      </c>
      <c r="AW24" s="22" t="s">
        <v>121</v>
      </c>
      <c r="AX24" s="22" t="s">
        <v>121</v>
      </c>
      <c r="AY24" s="22" t="s">
        <v>121</v>
      </c>
      <c r="AZ24" s="22" t="s">
        <v>121</v>
      </c>
      <c r="BA24" s="22" t="s">
        <v>121</v>
      </c>
      <c r="BB24" s="22" t="s">
        <v>121</v>
      </c>
      <c r="BC24" s="22" t="s">
        <v>121</v>
      </c>
      <c r="BD24" s="22" t="s">
        <v>121</v>
      </c>
      <c r="BE24" s="22" t="s">
        <v>121</v>
      </c>
      <c r="BF24" s="22" t="s">
        <v>121</v>
      </c>
      <c r="BG24" s="22" t="s">
        <v>121</v>
      </c>
      <c r="BH24" s="22" t="s">
        <v>121</v>
      </c>
      <c r="BI24" s="22" t="s">
        <v>121</v>
      </c>
      <c r="BJ24" s="22" t="s">
        <v>121</v>
      </c>
      <c r="BK24" s="22" t="s">
        <v>121</v>
      </c>
      <c r="BL24" s="22" t="s">
        <v>121</v>
      </c>
      <c r="BM24" s="25" t="s">
        <v>121</v>
      </c>
      <c r="BN24" s="25" t="s">
        <v>121</v>
      </c>
      <c r="BO24" s="25" t="s">
        <v>121</v>
      </c>
      <c r="BP24" s="25" t="s">
        <v>121</v>
      </c>
      <c r="BQ24" s="25" t="s">
        <v>121</v>
      </c>
      <c r="BR24" s="25" t="s">
        <v>121</v>
      </c>
      <c r="BS24" s="25" t="s">
        <v>121</v>
      </c>
      <c r="BT24" s="25" t="s">
        <v>121</v>
      </c>
      <c r="BU24" s="25" t="s">
        <v>121</v>
      </c>
      <c r="BV24" s="25" t="s">
        <v>121</v>
      </c>
      <c r="BW24" s="25" t="s">
        <v>121</v>
      </c>
      <c r="BX24" s="25" t="s">
        <v>121</v>
      </c>
      <c r="BY24" s="25" t="s">
        <v>121</v>
      </c>
      <c r="BZ24" s="25" t="s">
        <v>121</v>
      </c>
      <c r="CA24" s="25" t="s">
        <v>121</v>
      </c>
      <c r="CB24" s="25" t="s">
        <v>121</v>
      </c>
      <c r="CC24" s="25" t="s">
        <v>121</v>
      </c>
      <c r="CD24" s="25" t="s">
        <v>121</v>
      </c>
      <c r="CE24" s="25" t="s">
        <v>121</v>
      </c>
      <c r="CF24" s="25" t="s">
        <v>121</v>
      </c>
      <c r="CG24" s="25" t="s">
        <v>121</v>
      </c>
      <c r="CH24" s="25" t="s">
        <v>121</v>
      </c>
      <c r="CI24" s="25" t="s">
        <v>121</v>
      </c>
      <c r="CJ24" s="25" t="s">
        <v>121</v>
      </c>
      <c r="CK24" s="25" t="s">
        <v>121</v>
      </c>
      <c r="CL24" s="25" t="s">
        <v>121</v>
      </c>
      <c r="CM24" s="25" t="s">
        <v>121</v>
      </c>
      <c r="CN24" s="25" t="s">
        <v>121</v>
      </c>
      <c r="CO24" s="25" t="s">
        <v>121</v>
      </c>
      <c r="CP24" s="25" t="s">
        <v>121</v>
      </c>
      <c r="CQ24" s="25" t="s">
        <v>121</v>
      </c>
      <c r="CR24" s="25" t="s">
        <v>121</v>
      </c>
      <c r="CS24" s="25" t="s">
        <v>121</v>
      </c>
      <c r="CT24" s="25" t="s">
        <v>121</v>
      </c>
      <c r="CU24" s="25" t="s">
        <v>121</v>
      </c>
      <c r="CV24" s="25" t="s">
        <v>121</v>
      </c>
      <c r="CW24" s="25" t="s">
        <v>121</v>
      </c>
      <c r="CX24" s="25" t="s">
        <v>121</v>
      </c>
      <c r="CY24" s="25" t="s">
        <v>121</v>
      </c>
      <c r="CZ24" s="25" t="s">
        <v>121</v>
      </c>
      <c r="DA24" s="25" t="s">
        <v>121</v>
      </c>
      <c r="DB24" s="25" t="s">
        <v>121</v>
      </c>
      <c r="DC24" s="25" t="s">
        <v>121</v>
      </c>
      <c r="DD24" s="25" t="s">
        <v>121</v>
      </c>
      <c r="DE24" s="25" t="s">
        <v>121</v>
      </c>
      <c r="DF24" s="25" t="s">
        <v>121</v>
      </c>
      <c r="DG24" s="25" t="s">
        <v>121</v>
      </c>
      <c r="DH24" s="25" t="s">
        <v>121</v>
      </c>
      <c r="DI24" s="25" t="s">
        <v>121</v>
      </c>
      <c r="DJ24" s="25" t="s">
        <v>121</v>
      </c>
      <c r="DK24" s="25" t="s">
        <v>121</v>
      </c>
      <c r="DL24" s="25" t="s">
        <v>121</v>
      </c>
      <c r="DM24" s="25" t="s">
        <v>121</v>
      </c>
      <c r="DN24" s="25" t="s">
        <v>121</v>
      </c>
      <c r="DO24" s="25" t="s">
        <v>121</v>
      </c>
      <c r="DP24" s="25" t="s">
        <v>121</v>
      </c>
      <c r="DQ24" s="25" t="s">
        <v>121</v>
      </c>
      <c r="DR24" s="25" t="s">
        <v>121</v>
      </c>
      <c r="DS24" s="25" t="s">
        <v>121</v>
      </c>
      <c r="DT24" s="25" t="s">
        <v>121</v>
      </c>
      <c r="DU24" s="25" t="s">
        <v>121</v>
      </c>
      <c r="DV24" s="25" t="s">
        <v>121</v>
      </c>
      <c r="DW24" s="25" t="s">
        <v>121</v>
      </c>
      <c r="DX24" s="25" t="s">
        <v>121</v>
      </c>
      <c r="DY24" s="25" t="s">
        <v>121</v>
      </c>
      <c r="DZ24" s="25" t="s">
        <v>121</v>
      </c>
      <c r="EA24" s="25" t="s">
        <v>121</v>
      </c>
      <c r="EB24" s="25" t="s">
        <v>121</v>
      </c>
      <c r="EC24" s="25" t="s">
        <v>121</v>
      </c>
      <c r="ED24" s="25" t="s">
        <v>121</v>
      </c>
      <c r="EE24" s="25" t="s">
        <v>121</v>
      </c>
      <c r="EF24" s="25" t="s">
        <v>121</v>
      </c>
      <c r="EG24" s="25" t="s">
        <v>121</v>
      </c>
      <c r="EH24" s="25" t="s">
        <v>121</v>
      </c>
      <c r="EI24" s="25" t="s">
        <v>121</v>
      </c>
      <c r="EJ24" s="25" t="s">
        <v>121</v>
      </c>
      <c r="EK24" s="25" t="s">
        <v>121</v>
      </c>
      <c r="EL24" s="25" t="s">
        <v>121</v>
      </c>
      <c r="EM24" s="25" t="s">
        <v>121</v>
      </c>
      <c r="EN24" s="25" t="s">
        <v>121</v>
      </c>
      <c r="EO24" s="25" t="s">
        <v>121</v>
      </c>
      <c r="EP24" s="25" t="s">
        <v>121</v>
      </c>
      <c r="EQ24" s="25" t="s">
        <v>121</v>
      </c>
      <c r="ER24" s="25" t="s">
        <v>121</v>
      </c>
      <c r="ES24" s="25" t="s">
        <v>121</v>
      </c>
      <c r="ET24" s="25" t="s">
        <v>121</v>
      </c>
      <c r="EU24" s="25" t="s">
        <v>121</v>
      </c>
      <c r="EV24" s="25" t="s">
        <v>121</v>
      </c>
      <c r="EW24" s="25" t="s">
        <v>121</v>
      </c>
      <c r="EX24" s="25" t="s">
        <v>121</v>
      </c>
    </row>
    <row r="25" spans="1:168" s="25" customFormat="1" ht="26.25" x14ac:dyDescent="0.25">
      <c r="A25" s="72">
        <v>25</v>
      </c>
      <c r="B25" s="361" t="s">
        <v>96</v>
      </c>
      <c r="C25" s="91" t="s">
        <v>121</v>
      </c>
      <c r="D25" s="86" t="s">
        <v>121</v>
      </c>
      <c r="E25" s="92" t="s">
        <v>121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405"/>
      <c r="R25" s="405"/>
      <c r="S25" s="405"/>
      <c r="T25" s="405"/>
      <c r="U25" s="22" t="s">
        <v>121</v>
      </c>
      <c r="V25" s="22" t="s">
        <v>121</v>
      </c>
      <c r="W25" s="22" t="s">
        <v>121</v>
      </c>
      <c r="X25" s="22" t="s">
        <v>121</v>
      </c>
      <c r="Y25" s="22" t="s">
        <v>121</v>
      </c>
      <c r="Z25" s="22">
        <v>-2.2200000000000002</v>
      </c>
      <c r="AA25" s="22" t="s">
        <v>121</v>
      </c>
      <c r="AB25" s="22" t="s">
        <v>121</v>
      </c>
      <c r="AC25" s="22">
        <v>-335.33199999999999</v>
      </c>
      <c r="AD25" s="22">
        <v>-255.53</v>
      </c>
      <c r="AE25" s="22">
        <v>-255.529</v>
      </c>
      <c r="AF25" s="22" t="s">
        <v>121</v>
      </c>
      <c r="AG25" s="22" t="s">
        <v>121</v>
      </c>
      <c r="AH25" s="22" t="s">
        <v>121</v>
      </c>
      <c r="AI25" s="22" t="s">
        <v>121</v>
      </c>
      <c r="AJ25" s="22" t="s">
        <v>121</v>
      </c>
      <c r="AK25" s="22" t="s">
        <v>121</v>
      </c>
      <c r="AL25" s="22" t="s">
        <v>121</v>
      </c>
      <c r="AM25" s="22" t="s">
        <v>121</v>
      </c>
      <c r="AN25" s="22" t="s">
        <v>121</v>
      </c>
      <c r="AO25" s="22" t="s">
        <v>121</v>
      </c>
      <c r="AP25" s="22" t="s">
        <v>121</v>
      </c>
      <c r="AQ25" s="22" t="s">
        <v>121</v>
      </c>
      <c r="AR25" s="22" t="s">
        <v>121</v>
      </c>
      <c r="AS25" s="22" t="s">
        <v>121</v>
      </c>
      <c r="AT25" s="22" t="s">
        <v>121</v>
      </c>
      <c r="AU25" s="22" t="s">
        <v>121</v>
      </c>
      <c r="AV25" s="22" t="s">
        <v>121</v>
      </c>
      <c r="AW25" s="22" t="s">
        <v>121</v>
      </c>
      <c r="AX25" s="22" t="s">
        <v>121</v>
      </c>
      <c r="AY25" s="22" t="s">
        <v>121</v>
      </c>
      <c r="AZ25" s="22" t="s">
        <v>121</v>
      </c>
      <c r="BA25" s="22" t="s">
        <v>121</v>
      </c>
      <c r="BB25" s="22" t="s">
        <v>121</v>
      </c>
      <c r="BC25" s="22" t="s">
        <v>121</v>
      </c>
      <c r="BD25" s="22" t="s">
        <v>121</v>
      </c>
      <c r="BE25" s="22" t="s">
        <v>121</v>
      </c>
      <c r="BF25" s="22" t="s">
        <v>121</v>
      </c>
      <c r="BG25" s="22" t="s">
        <v>121</v>
      </c>
      <c r="BH25" s="22" t="s">
        <v>121</v>
      </c>
      <c r="BI25" s="22" t="s">
        <v>121</v>
      </c>
      <c r="BJ25" s="22" t="s">
        <v>121</v>
      </c>
      <c r="BK25" s="22" t="s">
        <v>121</v>
      </c>
      <c r="BL25" s="22" t="s">
        <v>121</v>
      </c>
      <c r="BM25" s="25" t="s">
        <v>121</v>
      </c>
      <c r="BN25" s="25" t="s">
        <v>121</v>
      </c>
      <c r="BO25" s="25" t="s">
        <v>121</v>
      </c>
      <c r="BP25" s="25" t="s">
        <v>121</v>
      </c>
      <c r="BQ25" s="25" t="s">
        <v>121</v>
      </c>
      <c r="BR25" s="25" t="s">
        <v>121</v>
      </c>
      <c r="BS25" s="25" t="s">
        <v>121</v>
      </c>
      <c r="BT25" s="25" t="s">
        <v>121</v>
      </c>
      <c r="BU25" s="25" t="s">
        <v>121</v>
      </c>
      <c r="BV25" s="25" t="s">
        <v>121</v>
      </c>
      <c r="BW25" s="25" t="s">
        <v>121</v>
      </c>
      <c r="BX25" s="25" t="s">
        <v>121</v>
      </c>
      <c r="BY25" s="25" t="s">
        <v>121</v>
      </c>
      <c r="BZ25" s="25" t="s">
        <v>121</v>
      </c>
      <c r="CA25" s="25" t="s">
        <v>121</v>
      </c>
      <c r="CB25" s="25" t="s">
        <v>121</v>
      </c>
      <c r="CC25" s="25" t="s">
        <v>121</v>
      </c>
      <c r="CD25" s="25" t="s">
        <v>121</v>
      </c>
      <c r="CE25" s="25" t="s">
        <v>121</v>
      </c>
      <c r="CF25" s="25" t="s">
        <v>121</v>
      </c>
      <c r="CG25" s="25" t="s">
        <v>121</v>
      </c>
      <c r="CH25" s="25" t="s">
        <v>121</v>
      </c>
      <c r="CI25" s="25" t="s">
        <v>121</v>
      </c>
      <c r="CJ25" s="25" t="s">
        <v>121</v>
      </c>
      <c r="CK25" s="25" t="s">
        <v>121</v>
      </c>
      <c r="CL25" s="25" t="s">
        <v>121</v>
      </c>
      <c r="CM25" s="25" t="s">
        <v>121</v>
      </c>
      <c r="CN25" s="25" t="s">
        <v>121</v>
      </c>
      <c r="CO25" s="25" t="s">
        <v>121</v>
      </c>
      <c r="CP25" s="25" t="s">
        <v>121</v>
      </c>
      <c r="CQ25" s="25" t="s">
        <v>121</v>
      </c>
      <c r="CR25" s="25" t="s">
        <v>121</v>
      </c>
      <c r="CS25" s="25" t="s">
        <v>121</v>
      </c>
      <c r="CT25" s="25" t="s">
        <v>121</v>
      </c>
      <c r="CU25" s="25" t="s">
        <v>121</v>
      </c>
      <c r="CV25" s="25" t="s">
        <v>121</v>
      </c>
      <c r="CW25" s="25" t="s">
        <v>121</v>
      </c>
      <c r="CX25" s="25" t="s">
        <v>121</v>
      </c>
      <c r="CY25" s="25" t="s">
        <v>121</v>
      </c>
      <c r="CZ25" s="25" t="s">
        <v>121</v>
      </c>
      <c r="DA25" s="25" t="s">
        <v>121</v>
      </c>
      <c r="DB25" s="25" t="s">
        <v>121</v>
      </c>
      <c r="DC25" s="25" t="s">
        <v>121</v>
      </c>
      <c r="DD25" s="25" t="s">
        <v>121</v>
      </c>
      <c r="DE25" s="25" t="s">
        <v>121</v>
      </c>
      <c r="DF25" s="25" t="s">
        <v>121</v>
      </c>
      <c r="DG25" s="25" t="s">
        <v>121</v>
      </c>
      <c r="DH25" s="25" t="s">
        <v>121</v>
      </c>
      <c r="DI25" s="25" t="s">
        <v>121</v>
      </c>
      <c r="DJ25" s="25" t="s">
        <v>121</v>
      </c>
      <c r="DK25" s="25" t="s">
        <v>121</v>
      </c>
      <c r="DL25" s="25" t="s">
        <v>121</v>
      </c>
      <c r="DM25" s="25" t="s">
        <v>121</v>
      </c>
      <c r="DN25" s="25" t="s">
        <v>121</v>
      </c>
      <c r="DO25" s="25" t="s">
        <v>121</v>
      </c>
      <c r="DP25" s="25" t="s">
        <v>121</v>
      </c>
      <c r="DQ25" s="25" t="s">
        <v>121</v>
      </c>
      <c r="DR25" s="25" t="s">
        <v>121</v>
      </c>
      <c r="DS25" s="25" t="s">
        <v>121</v>
      </c>
      <c r="DT25" s="25" t="s">
        <v>121</v>
      </c>
      <c r="DU25" s="25" t="s">
        <v>121</v>
      </c>
      <c r="DV25" s="25" t="s">
        <v>121</v>
      </c>
      <c r="DW25" s="25" t="s">
        <v>121</v>
      </c>
      <c r="DX25" s="25" t="s">
        <v>121</v>
      </c>
      <c r="DY25" s="25" t="s">
        <v>121</v>
      </c>
      <c r="DZ25" s="25" t="s">
        <v>121</v>
      </c>
      <c r="EA25" s="25" t="s">
        <v>121</v>
      </c>
      <c r="EB25" s="25" t="s">
        <v>121</v>
      </c>
      <c r="EC25" s="25" t="s">
        <v>121</v>
      </c>
      <c r="ED25" s="25" t="s">
        <v>121</v>
      </c>
      <c r="EE25" s="25" t="s">
        <v>121</v>
      </c>
      <c r="EF25" s="25" t="s">
        <v>121</v>
      </c>
      <c r="EG25" s="25" t="s">
        <v>121</v>
      </c>
      <c r="EH25" s="25" t="s">
        <v>121</v>
      </c>
      <c r="EI25" s="25" t="s">
        <v>121</v>
      </c>
      <c r="EJ25" s="25" t="s">
        <v>121</v>
      </c>
      <c r="EK25" s="25" t="s">
        <v>121</v>
      </c>
      <c r="EL25" s="25" t="s">
        <v>121</v>
      </c>
      <c r="EM25" s="25" t="s">
        <v>121</v>
      </c>
      <c r="EN25" s="25" t="s">
        <v>121</v>
      </c>
      <c r="EO25" s="25" t="s">
        <v>121</v>
      </c>
      <c r="EP25" s="25" t="s">
        <v>121</v>
      </c>
      <c r="EQ25" s="25" t="s">
        <v>121</v>
      </c>
      <c r="ER25" s="25" t="s">
        <v>121</v>
      </c>
      <c r="ES25" s="25" t="s">
        <v>121</v>
      </c>
      <c r="ET25" s="25" t="s">
        <v>121</v>
      </c>
      <c r="EU25" s="25" t="s">
        <v>121</v>
      </c>
      <c r="EV25" s="25" t="s">
        <v>121</v>
      </c>
      <c r="EW25" s="25" t="s">
        <v>121</v>
      </c>
      <c r="EX25" s="25" t="s">
        <v>121</v>
      </c>
    </row>
    <row r="26" spans="1:168" s="25" customFormat="1" ht="15" customHeight="1" x14ac:dyDescent="0.25">
      <c r="A26" s="72">
        <v>26</v>
      </c>
      <c r="B26" s="375" t="s">
        <v>97</v>
      </c>
      <c r="C26" s="345"/>
      <c r="D26" s="275"/>
      <c r="E26" s="270"/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405"/>
      <c r="R26" s="405"/>
      <c r="S26" s="405"/>
      <c r="T26" s="405"/>
      <c r="U26" s="22" t="s">
        <v>121</v>
      </c>
      <c r="V26" s="22" t="s">
        <v>121</v>
      </c>
      <c r="W26" s="22" t="s">
        <v>121</v>
      </c>
      <c r="X26" s="22" t="s">
        <v>121</v>
      </c>
      <c r="Y26" s="22" t="s">
        <v>121</v>
      </c>
      <c r="Z26" s="22" t="s">
        <v>121</v>
      </c>
      <c r="AA26" s="22" t="s">
        <v>121</v>
      </c>
      <c r="AB26" s="22" t="s">
        <v>121</v>
      </c>
      <c r="AC26" s="22" t="s">
        <v>121</v>
      </c>
      <c r="AD26" s="22" t="s">
        <v>121</v>
      </c>
      <c r="AE26" s="22" t="s">
        <v>121</v>
      </c>
      <c r="AF26" s="22" t="s">
        <v>121</v>
      </c>
      <c r="AG26" s="22">
        <v>-47.634999999999998</v>
      </c>
      <c r="AH26" s="22">
        <v>-47.634999999999998</v>
      </c>
      <c r="AI26" s="22" t="s">
        <v>121</v>
      </c>
      <c r="AJ26" s="22" t="s">
        <v>121</v>
      </c>
      <c r="AK26" s="22" t="s">
        <v>121</v>
      </c>
      <c r="AL26" s="22" t="s">
        <v>121</v>
      </c>
      <c r="AM26" s="22" t="s">
        <v>121</v>
      </c>
      <c r="AN26" s="22" t="s">
        <v>121</v>
      </c>
      <c r="AO26" s="22" t="s">
        <v>121</v>
      </c>
      <c r="AP26" s="22" t="s">
        <v>121</v>
      </c>
      <c r="AQ26" s="22" t="s">
        <v>121</v>
      </c>
      <c r="AR26" s="22" t="s">
        <v>121</v>
      </c>
      <c r="AS26" s="22" t="s">
        <v>121</v>
      </c>
      <c r="AT26" s="22" t="s">
        <v>121</v>
      </c>
      <c r="AU26" s="22" t="s">
        <v>121</v>
      </c>
      <c r="AV26" s="22" t="s">
        <v>121</v>
      </c>
      <c r="AW26" s="22" t="s">
        <v>121</v>
      </c>
      <c r="AX26" s="22" t="s">
        <v>121</v>
      </c>
      <c r="AY26" s="22" t="s">
        <v>121</v>
      </c>
      <c r="AZ26" s="22" t="s">
        <v>121</v>
      </c>
      <c r="BA26" s="22" t="s">
        <v>121</v>
      </c>
      <c r="BB26" s="22" t="s">
        <v>121</v>
      </c>
      <c r="BC26" s="22" t="s">
        <v>121</v>
      </c>
      <c r="BD26" s="22" t="s">
        <v>121</v>
      </c>
      <c r="BE26" s="22" t="s">
        <v>121</v>
      </c>
      <c r="BF26" s="22" t="s">
        <v>121</v>
      </c>
      <c r="BG26" s="22" t="s">
        <v>121</v>
      </c>
      <c r="BH26" s="22" t="s">
        <v>121</v>
      </c>
      <c r="BI26" s="22" t="s">
        <v>121</v>
      </c>
      <c r="BJ26" s="22" t="s">
        <v>121</v>
      </c>
      <c r="BK26" s="22" t="s">
        <v>121</v>
      </c>
      <c r="BL26" s="22" t="s">
        <v>121</v>
      </c>
      <c r="BM26" s="25" t="s">
        <v>121</v>
      </c>
      <c r="BN26" s="25" t="s">
        <v>121</v>
      </c>
      <c r="BO26" s="25" t="s">
        <v>121</v>
      </c>
      <c r="BP26" s="25" t="s">
        <v>121</v>
      </c>
      <c r="BQ26" s="25" t="s">
        <v>121</v>
      </c>
      <c r="BR26" s="25" t="s">
        <v>121</v>
      </c>
      <c r="BS26" s="25" t="s">
        <v>121</v>
      </c>
      <c r="BT26" s="25" t="s">
        <v>121</v>
      </c>
      <c r="BU26" s="25" t="s">
        <v>121</v>
      </c>
      <c r="BV26" s="25" t="s">
        <v>121</v>
      </c>
      <c r="BW26" s="25" t="s">
        <v>121</v>
      </c>
      <c r="BX26" s="25" t="s">
        <v>121</v>
      </c>
      <c r="BY26" s="25" t="s">
        <v>121</v>
      </c>
      <c r="BZ26" s="25" t="s">
        <v>121</v>
      </c>
      <c r="CA26" s="25" t="s">
        <v>121</v>
      </c>
      <c r="CB26" s="25" t="s">
        <v>121</v>
      </c>
      <c r="CC26" s="25" t="s">
        <v>121</v>
      </c>
      <c r="CD26" s="25" t="s">
        <v>121</v>
      </c>
      <c r="CE26" s="25" t="s">
        <v>121</v>
      </c>
      <c r="CF26" s="25" t="s">
        <v>121</v>
      </c>
      <c r="CG26" s="25" t="s">
        <v>121</v>
      </c>
      <c r="CH26" s="25" t="s">
        <v>121</v>
      </c>
      <c r="CI26" s="25" t="s">
        <v>121</v>
      </c>
      <c r="CJ26" s="25" t="s">
        <v>121</v>
      </c>
      <c r="CK26" s="25" t="s">
        <v>121</v>
      </c>
      <c r="CL26" s="25" t="s">
        <v>121</v>
      </c>
      <c r="CM26" s="25" t="s">
        <v>121</v>
      </c>
      <c r="CN26" s="25" t="s">
        <v>121</v>
      </c>
      <c r="CO26" s="25" t="s">
        <v>121</v>
      </c>
      <c r="CP26" s="25" t="s">
        <v>121</v>
      </c>
      <c r="CQ26" s="25" t="s">
        <v>121</v>
      </c>
      <c r="CR26" s="25" t="s">
        <v>121</v>
      </c>
      <c r="CS26" s="25" t="s">
        <v>121</v>
      </c>
      <c r="CT26" s="25" t="s">
        <v>121</v>
      </c>
      <c r="CU26" s="25" t="s">
        <v>121</v>
      </c>
      <c r="CV26" s="25" t="s">
        <v>121</v>
      </c>
      <c r="CW26" s="25" t="s">
        <v>121</v>
      </c>
      <c r="CX26" s="25" t="s">
        <v>121</v>
      </c>
      <c r="CY26" s="25" t="s">
        <v>121</v>
      </c>
      <c r="CZ26" s="25" t="s">
        <v>121</v>
      </c>
      <c r="DA26" s="25" t="s">
        <v>121</v>
      </c>
      <c r="DB26" s="25" t="s">
        <v>121</v>
      </c>
      <c r="DC26" s="25" t="s">
        <v>121</v>
      </c>
      <c r="DD26" s="25" t="s">
        <v>121</v>
      </c>
      <c r="DE26" s="25" t="s">
        <v>121</v>
      </c>
      <c r="DF26" s="25" t="s">
        <v>121</v>
      </c>
      <c r="DG26" s="25" t="s">
        <v>121</v>
      </c>
      <c r="DH26" s="25" t="s">
        <v>121</v>
      </c>
      <c r="DI26" s="25" t="s">
        <v>121</v>
      </c>
      <c r="DJ26" s="25" t="s">
        <v>121</v>
      </c>
      <c r="DK26" s="25" t="s">
        <v>121</v>
      </c>
      <c r="DL26" s="25" t="s">
        <v>121</v>
      </c>
      <c r="DM26" s="25" t="s">
        <v>121</v>
      </c>
      <c r="DN26" s="25" t="s">
        <v>121</v>
      </c>
      <c r="DO26" s="25" t="s">
        <v>121</v>
      </c>
      <c r="DP26" s="25" t="s">
        <v>121</v>
      </c>
      <c r="DQ26" s="25" t="s">
        <v>121</v>
      </c>
      <c r="DR26" s="25" t="s">
        <v>121</v>
      </c>
      <c r="DS26" s="25" t="s">
        <v>121</v>
      </c>
      <c r="DT26" s="25" t="s">
        <v>121</v>
      </c>
      <c r="DU26" s="25" t="s">
        <v>121</v>
      </c>
      <c r="DV26" s="25" t="s">
        <v>121</v>
      </c>
      <c r="DW26" s="25" t="s">
        <v>121</v>
      </c>
      <c r="DX26" s="25" t="s">
        <v>121</v>
      </c>
      <c r="DY26" s="25" t="s">
        <v>121</v>
      </c>
      <c r="DZ26" s="25" t="s">
        <v>121</v>
      </c>
      <c r="EA26" s="25" t="s">
        <v>121</v>
      </c>
      <c r="EB26" s="25" t="s">
        <v>121</v>
      </c>
      <c r="EC26" s="25" t="s">
        <v>121</v>
      </c>
      <c r="ED26" s="25" t="s">
        <v>121</v>
      </c>
      <c r="EE26" s="25" t="s">
        <v>121</v>
      </c>
      <c r="EF26" s="25" t="s">
        <v>121</v>
      </c>
      <c r="EG26" s="25" t="s">
        <v>121</v>
      </c>
      <c r="EH26" s="25" t="s">
        <v>121</v>
      </c>
      <c r="EI26" s="25" t="s">
        <v>121</v>
      </c>
      <c r="EJ26" s="25" t="s">
        <v>121</v>
      </c>
      <c r="EK26" s="25" t="s">
        <v>121</v>
      </c>
      <c r="EL26" s="25" t="s">
        <v>121</v>
      </c>
      <c r="EM26" s="25" t="s">
        <v>121</v>
      </c>
      <c r="EN26" s="25" t="s">
        <v>121</v>
      </c>
      <c r="EO26" s="25" t="s">
        <v>121</v>
      </c>
      <c r="EP26" s="25" t="s">
        <v>121</v>
      </c>
      <c r="EQ26" s="25" t="s">
        <v>121</v>
      </c>
      <c r="ER26" s="25" t="s">
        <v>121</v>
      </c>
      <c r="ES26" s="25" t="s">
        <v>121</v>
      </c>
      <c r="ET26" s="25" t="s">
        <v>121</v>
      </c>
      <c r="EU26" s="25" t="s">
        <v>121</v>
      </c>
      <c r="EV26" s="25" t="s">
        <v>121</v>
      </c>
      <c r="EW26" s="25" t="s">
        <v>121</v>
      </c>
      <c r="EX26" s="25" t="s">
        <v>121</v>
      </c>
    </row>
    <row r="27" spans="1:168" s="25" customFormat="1" ht="15" customHeight="1" x14ac:dyDescent="0.25">
      <c r="A27" s="72">
        <v>27</v>
      </c>
      <c r="B27" s="379" t="s">
        <v>98</v>
      </c>
      <c r="C27" s="345"/>
      <c r="D27" s="275"/>
      <c r="E27" s="270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405"/>
      <c r="R27" s="405"/>
      <c r="S27" s="405"/>
      <c r="T27" s="405"/>
      <c r="U27" s="22" t="s">
        <v>121</v>
      </c>
      <c r="V27" s="22" t="s">
        <v>121</v>
      </c>
      <c r="W27" s="22" t="s">
        <v>121</v>
      </c>
      <c r="X27" s="22" t="s">
        <v>121</v>
      </c>
      <c r="Y27" s="22" t="s">
        <v>121</v>
      </c>
      <c r="Z27" s="22" t="s">
        <v>121</v>
      </c>
      <c r="AA27" s="22" t="s">
        <v>121</v>
      </c>
      <c r="AB27" s="22" t="s">
        <v>121</v>
      </c>
      <c r="AC27" s="22" t="s">
        <v>121</v>
      </c>
      <c r="AD27" s="22" t="s">
        <v>121</v>
      </c>
      <c r="AE27" s="22" t="s">
        <v>121</v>
      </c>
      <c r="AF27" s="22" t="s">
        <v>121</v>
      </c>
      <c r="AG27" s="22">
        <v>-1164.4570000000001</v>
      </c>
      <c r="AH27" s="22">
        <v>64.302999999999997</v>
      </c>
      <c r="AI27" s="22">
        <v>64.302999999999997</v>
      </c>
      <c r="AJ27" s="22" t="s">
        <v>121</v>
      </c>
      <c r="AK27" s="22">
        <v>-308.99299999999999</v>
      </c>
      <c r="AL27" s="22" t="s">
        <v>121</v>
      </c>
      <c r="AM27" s="22" t="s">
        <v>121</v>
      </c>
      <c r="AN27" s="22" t="s">
        <v>121</v>
      </c>
      <c r="AO27" s="22">
        <v>-18.470000000000027</v>
      </c>
      <c r="AP27" s="22">
        <v>-598.01900000000001</v>
      </c>
      <c r="AQ27" s="22">
        <v>-348.01799999999997</v>
      </c>
      <c r="AR27" s="22" t="s">
        <v>121</v>
      </c>
      <c r="AS27" s="22" t="s">
        <v>121</v>
      </c>
      <c r="AT27" s="22" t="s">
        <v>121</v>
      </c>
      <c r="AU27" s="22" t="s">
        <v>121</v>
      </c>
      <c r="AV27" s="22" t="s">
        <v>121</v>
      </c>
      <c r="AW27" s="22" t="s">
        <v>121</v>
      </c>
      <c r="AX27" s="22" t="s">
        <v>121</v>
      </c>
      <c r="AY27" s="22" t="s">
        <v>121</v>
      </c>
      <c r="AZ27" s="22" t="s">
        <v>121</v>
      </c>
      <c r="BA27" s="22" t="s">
        <v>121</v>
      </c>
      <c r="BB27" s="22" t="s">
        <v>121</v>
      </c>
      <c r="BC27" s="22" t="s">
        <v>121</v>
      </c>
      <c r="BD27" s="22" t="s">
        <v>121</v>
      </c>
      <c r="BE27" s="22" t="s">
        <v>121</v>
      </c>
      <c r="BF27" s="22" t="s">
        <v>121</v>
      </c>
      <c r="BG27" s="22" t="s">
        <v>121</v>
      </c>
      <c r="BH27" s="22" t="s">
        <v>121</v>
      </c>
      <c r="BI27" s="22" t="s">
        <v>121</v>
      </c>
      <c r="BJ27" s="22" t="s">
        <v>121</v>
      </c>
      <c r="BK27" s="22" t="s">
        <v>121</v>
      </c>
      <c r="BL27" s="22" t="s">
        <v>121</v>
      </c>
      <c r="BM27" s="25">
        <v>-213.79900000000001</v>
      </c>
      <c r="BN27" s="25">
        <v>-213.79500000000002</v>
      </c>
      <c r="BO27" s="25">
        <v>-213.79500000000002</v>
      </c>
      <c r="BP27" s="25">
        <v>-213.79900000000001</v>
      </c>
      <c r="BQ27" s="25" t="s">
        <v>121</v>
      </c>
      <c r="BR27" s="25" t="s">
        <v>121</v>
      </c>
      <c r="BS27" s="25" t="s">
        <v>121</v>
      </c>
      <c r="BT27" s="25" t="s">
        <v>121</v>
      </c>
      <c r="BU27" s="25" t="s">
        <v>121</v>
      </c>
      <c r="BV27" s="25" t="s">
        <v>121</v>
      </c>
      <c r="BW27" s="25" t="s">
        <v>121</v>
      </c>
      <c r="BX27" s="25" t="s">
        <v>121</v>
      </c>
      <c r="BY27" s="25" t="s">
        <v>121</v>
      </c>
      <c r="BZ27" s="25" t="s">
        <v>121</v>
      </c>
      <c r="CA27" s="25" t="s">
        <v>121</v>
      </c>
      <c r="CB27" s="25" t="s">
        <v>121</v>
      </c>
      <c r="CC27" s="25" t="s">
        <v>121</v>
      </c>
      <c r="CD27" s="25" t="s">
        <v>121</v>
      </c>
      <c r="CE27" s="25" t="s">
        <v>121</v>
      </c>
      <c r="CF27" s="25" t="s">
        <v>121</v>
      </c>
      <c r="CG27" s="25" t="s">
        <v>121</v>
      </c>
      <c r="CH27" s="25" t="s">
        <v>121</v>
      </c>
      <c r="CI27" s="25" t="s">
        <v>121</v>
      </c>
      <c r="CJ27" s="25" t="s">
        <v>121</v>
      </c>
      <c r="CK27" s="25" t="s">
        <v>121</v>
      </c>
      <c r="CL27" s="25" t="s">
        <v>121</v>
      </c>
      <c r="CM27" s="25" t="s">
        <v>121</v>
      </c>
      <c r="CN27" s="25" t="s">
        <v>121</v>
      </c>
      <c r="CO27" s="25" t="s">
        <v>121</v>
      </c>
      <c r="CP27" s="25" t="s">
        <v>121</v>
      </c>
      <c r="CQ27" s="25" t="s">
        <v>121</v>
      </c>
      <c r="CR27" s="25" t="s">
        <v>121</v>
      </c>
      <c r="CS27" s="25" t="s">
        <v>121</v>
      </c>
      <c r="CT27" s="25" t="s">
        <v>121</v>
      </c>
      <c r="CU27" s="25" t="s">
        <v>121</v>
      </c>
      <c r="CV27" s="25" t="s">
        <v>121</v>
      </c>
      <c r="CW27" s="25" t="s">
        <v>121</v>
      </c>
      <c r="CX27" s="25" t="s">
        <v>121</v>
      </c>
      <c r="CY27" s="25" t="s">
        <v>121</v>
      </c>
      <c r="CZ27" s="25" t="s">
        <v>121</v>
      </c>
      <c r="DA27" s="25" t="s">
        <v>121</v>
      </c>
      <c r="DB27" s="25" t="s">
        <v>121</v>
      </c>
      <c r="DC27" s="25" t="s">
        <v>121</v>
      </c>
      <c r="DD27" s="25" t="s">
        <v>121</v>
      </c>
      <c r="DE27" s="25" t="s">
        <v>121</v>
      </c>
      <c r="DF27" s="25" t="s">
        <v>121</v>
      </c>
      <c r="DG27" s="25" t="s">
        <v>121</v>
      </c>
      <c r="DH27" s="25" t="s">
        <v>121</v>
      </c>
      <c r="DI27" s="25" t="s">
        <v>121</v>
      </c>
      <c r="DJ27" s="25" t="s">
        <v>121</v>
      </c>
      <c r="DK27" s="25" t="s">
        <v>121</v>
      </c>
      <c r="DL27" s="25" t="s">
        <v>121</v>
      </c>
      <c r="DM27" s="25" t="s">
        <v>121</v>
      </c>
      <c r="DN27" s="25" t="s">
        <v>121</v>
      </c>
      <c r="DO27" s="25" t="s">
        <v>121</v>
      </c>
      <c r="DP27" s="25" t="s">
        <v>121</v>
      </c>
      <c r="DQ27" s="25" t="s">
        <v>121</v>
      </c>
      <c r="DR27" s="25" t="s">
        <v>121</v>
      </c>
      <c r="DS27" s="25" t="s">
        <v>121</v>
      </c>
      <c r="DT27" s="25" t="s">
        <v>121</v>
      </c>
      <c r="DU27" s="25" t="s">
        <v>121</v>
      </c>
      <c r="DV27" s="25" t="s">
        <v>121</v>
      </c>
      <c r="DW27" s="25" t="s">
        <v>121</v>
      </c>
      <c r="DX27" s="25" t="s">
        <v>121</v>
      </c>
      <c r="DY27" s="25" t="s">
        <v>121</v>
      </c>
      <c r="DZ27" s="25" t="s">
        <v>121</v>
      </c>
      <c r="EA27" s="25" t="s">
        <v>121</v>
      </c>
      <c r="EB27" s="25" t="s">
        <v>121</v>
      </c>
      <c r="EC27" s="25" t="s">
        <v>121</v>
      </c>
      <c r="ED27" s="25" t="s">
        <v>121</v>
      </c>
      <c r="EE27" s="25" t="s">
        <v>121</v>
      </c>
      <c r="EF27" s="25" t="s">
        <v>121</v>
      </c>
      <c r="EG27" s="25" t="s">
        <v>121</v>
      </c>
      <c r="EH27" s="25" t="s">
        <v>121</v>
      </c>
      <c r="EI27" s="25" t="s">
        <v>121</v>
      </c>
      <c r="EJ27" s="25" t="s">
        <v>121</v>
      </c>
      <c r="EK27" s="25" t="s">
        <v>121</v>
      </c>
      <c r="EL27" s="25" t="s">
        <v>121</v>
      </c>
      <c r="EM27" s="25" t="s">
        <v>121</v>
      </c>
      <c r="EN27" s="25" t="s">
        <v>121</v>
      </c>
      <c r="EO27" s="25" t="s">
        <v>121</v>
      </c>
      <c r="EP27" s="25" t="s">
        <v>121</v>
      </c>
      <c r="EQ27" s="25" t="s">
        <v>121</v>
      </c>
      <c r="ER27" s="25" t="s">
        <v>121</v>
      </c>
      <c r="ES27" s="25" t="s">
        <v>121</v>
      </c>
      <c r="ET27" s="25" t="s">
        <v>121</v>
      </c>
      <c r="EU27" s="25" t="s">
        <v>121</v>
      </c>
      <c r="EV27" s="25" t="s">
        <v>121</v>
      </c>
      <c r="EW27" s="25" t="s">
        <v>121</v>
      </c>
      <c r="EX27" s="25" t="s">
        <v>121</v>
      </c>
    </row>
    <row r="28" spans="1:168" s="25" customFormat="1" ht="15" customHeight="1" x14ac:dyDescent="0.25">
      <c r="A28" s="72">
        <v>28</v>
      </c>
      <c r="B28" s="375" t="s">
        <v>99</v>
      </c>
      <c r="C28" s="345"/>
      <c r="D28" s="275"/>
      <c r="E28" s="270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405"/>
      <c r="R28" s="405"/>
      <c r="S28" s="405"/>
      <c r="T28" s="405"/>
      <c r="U28" s="22" t="s">
        <v>121</v>
      </c>
      <c r="V28" s="22" t="s">
        <v>121</v>
      </c>
      <c r="W28" s="22" t="s">
        <v>121</v>
      </c>
      <c r="X28" s="22" t="s">
        <v>121</v>
      </c>
      <c r="Y28" s="22" t="s">
        <v>121</v>
      </c>
      <c r="Z28" s="22" t="s">
        <v>121</v>
      </c>
      <c r="AA28" s="22" t="s">
        <v>121</v>
      </c>
      <c r="AB28" s="22" t="s">
        <v>121</v>
      </c>
      <c r="AC28" s="22" t="s">
        <v>121</v>
      </c>
      <c r="AD28" s="22" t="s">
        <v>121</v>
      </c>
      <c r="AE28" s="22" t="s">
        <v>121</v>
      </c>
      <c r="AF28" s="22" t="s">
        <v>121</v>
      </c>
      <c r="AG28" s="22" t="s">
        <v>121</v>
      </c>
      <c r="AH28" s="22">
        <v>8.6340000000000003</v>
      </c>
      <c r="AI28" s="22">
        <v>53.021999999999998</v>
      </c>
      <c r="AJ28" s="22" t="s">
        <v>121</v>
      </c>
      <c r="AK28" s="22" t="s">
        <v>121</v>
      </c>
      <c r="AL28" s="22" t="s">
        <v>121</v>
      </c>
      <c r="AM28" s="22" t="s">
        <v>121</v>
      </c>
      <c r="AN28" s="22" t="s">
        <v>121</v>
      </c>
      <c r="AO28" s="22" t="s">
        <v>121</v>
      </c>
      <c r="AP28" s="22" t="s">
        <v>121</v>
      </c>
      <c r="AQ28" s="22" t="s">
        <v>121</v>
      </c>
      <c r="AR28" s="22" t="s">
        <v>121</v>
      </c>
      <c r="AS28" s="22" t="s">
        <v>121</v>
      </c>
      <c r="AT28" s="22" t="s">
        <v>121</v>
      </c>
      <c r="AU28" s="22" t="s">
        <v>121</v>
      </c>
      <c r="AV28" s="22" t="s">
        <v>121</v>
      </c>
      <c r="AW28" s="22" t="s">
        <v>121</v>
      </c>
      <c r="AX28" s="22" t="s">
        <v>121</v>
      </c>
      <c r="AY28" s="22" t="s">
        <v>121</v>
      </c>
      <c r="AZ28" s="22" t="s">
        <v>121</v>
      </c>
      <c r="BA28" s="22" t="s">
        <v>121</v>
      </c>
      <c r="BB28" s="22" t="s">
        <v>121</v>
      </c>
      <c r="BC28" s="22" t="s">
        <v>121</v>
      </c>
      <c r="BD28" s="22" t="s">
        <v>121</v>
      </c>
      <c r="BE28" s="22" t="s">
        <v>121</v>
      </c>
      <c r="BF28" s="22" t="s">
        <v>121</v>
      </c>
      <c r="BG28" s="22" t="s">
        <v>121</v>
      </c>
      <c r="BH28" s="22" t="s">
        <v>121</v>
      </c>
      <c r="BI28" s="22" t="s">
        <v>121</v>
      </c>
      <c r="BJ28" s="22" t="s">
        <v>121</v>
      </c>
      <c r="BK28" s="22" t="s">
        <v>121</v>
      </c>
      <c r="BL28" s="22" t="s">
        <v>121</v>
      </c>
      <c r="BM28" s="25" t="s">
        <v>121</v>
      </c>
      <c r="BN28" s="25" t="s">
        <v>121</v>
      </c>
      <c r="BO28" s="25" t="s">
        <v>121</v>
      </c>
      <c r="BP28" s="25" t="s">
        <v>121</v>
      </c>
      <c r="BQ28" s="25" t="s">
        <v>121</v>
      </c>
      <c r="BR28" s="25" t="s">
        <v>121</v>
      </c>
      <c r="BS28" s="25" t="s">
        <v>121</v>
      </c>
      <c r="BT28" s="25" t="s">
        <v>121</v>
      </c>
      <c r="BU28" s="25" t="s">
        <v>121</v>
      </c>
      <c r="BV28" s="25" t="s">
        <v>121</v>
      </c>
      <c r="BW28" s="25" t="s">
        <v>121</v>
      </c>
      <c r="BX28" s="25" t="s">
        <v>121</v>
      </c>
      <c r="BY28" s="25" t="s">
        <v>121</v>
      </c>
      <c r="BZ28" s="25" t="s">
        <v>121</v>
      </c>
      <c r="CA28" s="25" t="s">
        <v>121</v>
      </c>
      <c r="CB28" s="25" t="s">
        <v>121</v>
      </c>
      <c r="CC28" s="25" t="s">
        <v>121</v>
      </c>
      <c r="CD28" s="25" t="s">
        <v>121</v>
      </c>
      <c r="CE28" s="25" t="s">
        <v>121</v>
      </c>
      <c r="CF28" s="25" t="s">
        <v>121</v>
      </c>
      <c r="CG28" s="25" t="s">
        <v>121</v>
      </c>
      <c r="CH28" s="25" t="s">
        <v>121</v>
      </c>
      <c r="CI28" s="25" t="s">
        <v>121</v>
      </c>
      <c r="CJ28" s="25" t="s">
        <v>121</v>
      </c>
      <c r="CK28" s="25" t="s">
        <v>121</v>
      </c>
      <c r="CL28" s="25" t="s">
        <v>121</v>
      </c>
      <c r="CM28" s="25" t="s">
        <v>121</v>
      </c>
      <c r="CN28" s="25" t="s">
        <v>121</v>
      </c>
      <c r="CO28" s="25" t="s">
        <v>121</v>
      </c>
      <c r="CP28" s="25" t="s">
        <v>121</v>
      </c>
      <c r="CQ28" s="25" t="s">
        <v>121</v>
      </c>
      <c r="CR28" s="25" t="s">
        <v>121</v>
      </c>
      <c r="CS28" s="25" t="s">
        <v>121</v>
      </c>
      <c r="CT28" s="25" t="s">
        <v>121</v>
      </c>
      <c r="CU28" s="25" t="s">
        <v>121</v>
      </c>
      <c r="CV28" s="25" t="s">
        <v>121</v>
      </c>
      <c r="CW28" s="25" t="s">
        <v>121</v>
      </c>
      <c r="CX28" s="25" t="s">
        <v>121</v>
      </c>
      <c r="CY28" s="25" t="s">
        <v>121</v>
      </c>
      <c r="CZ28" s="25" t="s">
        <v>121</v>
      </c>
      <c r="DA28" s="25" t="s">
        <v>121</v>
      </c>
      <c r="DB28" s="25" t="s">
        <v>121</v>
      </c>
      <c r="DC28" s="25" t="s">
        <v>121</v>
      </c>
      <c r="DD28" s="25" t="s">
        <v>121</v>
      </c>
      <c r="DE28" s="25" t="s">
        <v>121</v>
      </c>
      <c r="DF28" s="25" t="s">
        <v>121</v>
      </c>
      <c r="DG28" s="25" t="s">
        <v>121</v>
      </c>
      <c r="DH28" s="25" t="s">
        <v>121</v>
      </c>
      <c r="DI28" s="25" t="s">
        <v>121</v>
      </c>
      <c r="DJ28" s="25" t="s">
        <v>121</v>
      </c>
      <c r="DK28" s="25" t="s">
        <v>121</v>
      </c>
      <c r="DL28" s="25" t="s">
        <v>121</v>
      </c>
      <c r="DM28" s="25" t="s">
        <v>121</v>
      </c>
      <c r="DN28" s="25" t="s">
        <v>121</v>
      </c>
      <c r="DO28" s="25" t="s">
        <v>121</v>
      </c>
      <c r="DP28" s="25" t="s">
        <v>121</v>
      </c>
      <c r="DQ28" s="25" t="s">
        <v>121</v>
      </c>
      <c r="DR28" s="25" t="s">
        <v>121</v>
      </c>
      <c r="DS28" s="25" t="s">
        <v>121</v>
      </c>
      <c r="DT28" s="25" t="s">
        <v>121</v>
      </c>
      <c r="DU28" s="25" t="s">
        <v>121</v>
      </c>
      <c r="DV28" s="25" t="s">
        <v>121</v>
      </c>
      <c r="DW28" s="25" t="s">
        <v>121</v>
      </c>
      <c r="DX28" s="25" t="s">
        <v>121</v>
      </c>
      <c r="DY28" s="25" t="s">
        <v>121</v>
      </c>
      <c r="DZ28" s="25" t="s">
        <v>121</v>
      </c>
      <c r="EA28" s="25" t="s">
        <v>121</v>
      </c>
      <c r="EB28" s="25" t="s">
        <v>121</v>
      </c>
      <c r="EC28" s="25" t="s">
        <v>121</v>
      </c>
      <c r="ED28" s="25" t="s">
        <v>121</v>
      </c>
      <c r="EE28" s="25" t="s">
        <v>121</v>
      </c>
      <c r="EF28" s="25" t="s">
        <v>121</v>
      </c>
      <c r="EG28" s="25" t="s">
        <v>121</v>
      </c>
      <c r="EH28" s="25" t="s">
        <v>121</v>
      </c>
      <c r="EI28" s="25" t="s">
        <v>121</v>
      </c>
      <c r="EJ28" s="25" t="s">
        <v>121</v>
      </c>
      <c r="EK28" s="25" t="s">
        <v>121</v>
      </c>
      <c r="EL28" s="25" t="s">
        <v>121</v>
      </c>
      <c r="EM28" s="25" t="s">
        <v>121</v>
      </c>
      <c r="EN28" s="25" t="s">
        <v>121</v>
      </c>
      <c r="EO28" s="25" t="s">
        <v>121</v>
      </c>
      <c r="EP28" s="25" t="s">
        <v>121</v>
      </c>
      <c r="EQ28" s="25" t="s">
        <v>121</v>
      </c>
      <c r="ER28" s="25" t="s">
        <v>121</v>
      </c>
      <c r="ES28" s="25" t="s">
        <v>121</v>
      </c>
      <c r="ET28" s="25" t="s">
        <v>121</v>
      </c>
      <c r="EU28" s="25" t="s">
        <v>121</v>
      </c>
      <c r="EV28" s="25" t="s">
        <v>121</v>
      </c>
      <c r="EW28" s="25" t="s">
        <v>121</v>
      </c>
      <c r="EX28" s="25" t="s">
        <v>121</v>
      </c>
    </row>
    <row r="29" spans="1:168" s="25" customFormat="1" ht="15" customHeight="1" x14ac:dyDescent="0.25">
      <c r="A29" s="72">
        <v>29</v>
      </c>
      <c r="B29" s="375" t="s">
        <v>100</v>
      </c>
      <c r="C29" s="345"/>
      <c r="D29" s="275"/>
      <c r="E29" s="270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405"/>
      <c r="R29" s="405"/>
      <c r="S29" s="405"/>
      <c r="T29" s="405"/>
      <c r="U29" s="22" t="s">
        <v>121</v>
      </c>
      <c r="V29" s="22" t="s">
        <v>121</v>
      </c>
      <c r="W29" s="22" t="s">
        <v>121</v>
      </c>
      <c r="X29" s="22" t="s">
        <v>121</v>
      </c>
      <c r="Y29" s="22" t="s">
        <v>121</v>
      </c>
      <c r="Z29" s="22" t="s">
        <v>121</v>
      </c>
      <c r="AA29" s="22" t="s">
        <v>121</v>
      </c>
      <c r="AB29" s="22" t="s">
        <v>121</v>
      </c>
      <c r="AC29" s="22" t="s">
        <v>121</v>
      </c>
      <c r="AD29" s="22" t="s">
        <v>121</v>
      </c>
      <c r="AE29" s="22" t="s">
        <v>121</v>
      </c>
      <c r="AF29" s="22" t="s">
        <v>121</v>
      </c>
      <c r="AG29" s="22" t="s">
        <v>121</v>
      </c>
      <c r="AH29" s="22" t="s">
        <v>121</v>
      </c>
      <c r="AI29" s="22" t="s">
        <v>121</v>
      </c>
      <c r="AJ29" s="22" t="s">
        <v>121</v>
      </c>
      <c r="AK29" s="22" t="s">
        <v>121</v>
      </c>
      <c r="AL29" s="22" t="s">
        <v>121</v>
      </c>
      <c r="AM29" s="22" t="s">
        <v>121</v>
      </c>
      <c r="AN29" s="22" t="s">
        <v>121</v>
      </c>
      <c r="AO29" s="22">
        <v>-261.01400000000001</v>
      </c>
      <c r="AP29" s="22" t="s">
        <v>121</v>
      </c>
      <c r="AQ29" s="22" t="s">
        <v>121</v>
      </c>
      <c r="AR29" s="22" t="s">
        <v>121</v>
      </c>
      <c r="AS29" s="22" t="s">
        <v>121</v>
      </c>
      <c r="AT29" s="22" t="s">
        <v>121</v>
      </c>
      <c r="AU29" s="22" t="s">
        <v>121</v>
      </c>
      <c r="AV29" s="22" t="s">
        <v>121</v>
      </c>
      <c r="AW29" s="22" t="s">
        <v>121</v>
      </c>
      <c r="AX29" s="22" t="s">
        <v>121</v>
      </c>
      <c r="AY29" s="22" t="s">
        <v>121</v>
      </c>
      <c r="AZ29" s="22" t="s">
        <v>121</v>
      </c>
      <c r="BA29" s="22" t="s">
        <v>121</v>
      </c>
      <c r="BB29" s="22" t="s">
        <v>121</v>
      </c>
      <c r="BC29" s="22" t="s">
        <v>121</v>
      </c>
      <c r="BD29" s="22" t="s">
        <v>121</v>
      </c>
      <c r="BE29" s="22" t="s">
        <v>121</v>
      </c>
      <c r="BF29" s="22" t="s">
        <v>121</v>
      </c>
      <c r="BG29" s="22" t="s">
        <v>121</v>
      </c>
      <c r="BH29" s="22" t="s">
        <v>121</v>
      </c>
      <c r="BI29" s="22" t="s">
        <v>121</v>
      </c>
      <c r="BJ29" s="22" t="s">
        <v>121</v>
      </c>
      <c r="BK29" s="22" t="s">
        <v>121</v>
      </c>
      <c r="BL29" s="22" t="s">
        <v>121</v>
      </c>
      <c r="BM29" s="25" t="s">
        <v>121</v>
      </c>
      <c r="BN29" s="25" t="s">
        <v>121</v>
      </c>
      <c r="BO29" s="25" t="s">
        <v>121</v>
      </c>
      <c r="BP29" s="25" t="s">
        <v>121</v>
      </c>
      <c r="BQ29" s="25" t="s">
        <v>121</v>
      </c>
      <c r="BR29" s="25" t="s">
        <v>121</v>
      </c>
      <c r="BS29" s="25" t="s">
        <v>121</v>
      </c>
      <c r="BT29" s="25" t="s">
        <v>121</v>
      </c>
      <c r="BU29" s="25" t="s">
        <v>121</v>
      </c>
      <c r="BV29" s="25" t="s">
        <v>121</v>
      </c>
      <c r="BW29" s="25" t="s">
        <v>121</v>
      </c>
      <c r="BX29" s="25" t="s">
        <v>121</v>
      </c>
      <c r="BY29" s="25" t="s">
        <v>121</v>
      </c>
      <c r="BZ29" s="25" t="s">
        <v>121</v>
      </c>
      <c r="CA29" s="25" t="s">
        <v>121</v>
      </c>
      <c r="CB29" s="25" t="s">
        <v>121</v>
      </c>
      <c r="CC29" s="25" t="s">
        <v>121</v>
      </c>
      <c r="CD29" s="25" t="s">
        <v>121</v>
      </c>
      <c r="CE29" s="25" t="s">
        <v>121</v>
      </c>
      <c r="CF29" s="25" t="s">
        <v>121</v>
      </c>
      <c r="CG29" s="25" t="s">
        <v>121</v>
      </c>
      <c r="CH29" s="25" t="s">
        <v>121</v>
      </c>
      <c r="CI29" s="25" t="s">
        <v>121</v>
      </c>
      <c r="CJ29" s="25" t="s">
        <v>121</v>
      </c>
      <c r="CK29" s="25" t="s">
        <v>121</v>
      </c>
      <c r="CL29" s="25" t="s">
        <v>121</v>
      </c>
      <c r="CM29" s="25" t="s">
        <v>121</v>
      </c>
      <c r="CN29" s="25" t="s">
        <v>121</v>
      </c>
      <c r="CO29" s="25" t="s">
        <v>121</v>
      </c>
      <c r="CP29" s="25" t="s">
        <v>121</v>
      </c>
      <c r="CQ29" s="25" t="s">
        <v>121</v>
      </c>
      <c r="CR29" s="25" t="s">
        <v>121</v>
      </c>
      <c r="CS29" s="25" t="s">
        <v>121</v>
      </c>
      <c r="CT29" s="25" t="s">
        <v>121</v>
      </c>
      <c r="CU29" s="25" t="s">
        <v>121</v>
      </c>
      <c r="CV29" s="25" t="s">
        <v>121</v>
      </c>
      <c r="CW29" s="25" t="s">
        <v>121</v>
      </c>
      <c r="CX29" s="25" t="s">
        <v>121</v>
      </c>
      <c r="CY29" s="25" t="s">
        <v>121</v>
      </c>
      <c r="CZ29" s="25" t="s">
        <v>121</v>
      </c>
      <c r="DA29" s="25" t="s">
        <v>121</v>
      </c>
      <c r="DB29" s="25" t="s">
        <v>121</v>
      </c>
      <c r="DC29" s="25" t="s">
        <v>121</v>
      </c>
      <c r="DD29" s="25" t="s">
        <v>121</v>
      </c>
      <c r="DE29" s="25" t="s">
        <v>121</v>
      </c>
      <c r="DF29" s="25" t="s">
        <v>121</v>
      </c>
      <c r="DG29" s="25" t="s">
        <v>121</v>
      </c>
      <c r="DH29" s="25" t="s">
        <v>121</v>
      </c>
      <c r="DI29" s="25" t="s">
        <v>121</v>
      </c>
      <c r="DJ29" s="25" t="s">
        <v>121</v>
      </c>
      <c r="DK29" s="25" t="s">
        <v>121</v>
      </c>
      <c r="DL29" s="25" t="s">
        <v>121</v>
      </c>
      <c r="DM29" s="25" t="s">
        <v>121</v>
      </c>
      <c r="DN29" s="25" t="s">
        <v>121</v>
      </c>
      <c r="DO29" s="25" t="s">
        <v>121</v>
      </c>
      <c r="DP29" s="25" t="s">
        <v>121</v>
      </c>
      <c r="DQ29" s="25" t="s">
        <v>121</v>
      </c>
      <c r="DR29" s="25" t="s">
        <v>121</v>
      </c>
      <c r="DS29" s="25" t="s">
        <v>121</v>
      </c>
      <c r="DT29" s="25" t="s">
        <v>121</v>
      </c>
      <c r="DU29" s="25" t="s">
        <v>121</v>
      </c>
      <c r="DV29" s="25" t="s">
        <v>121</v>
      </c>
      <c r="DW29" s="25" t="s">
        <v>121</v>
      </c>
      <c r="DX29" s="25" t="s">
        <v>121</v>
      </c>
      <c r="DY29" s="25" t="s">
        <v>121</v>
      </c>
      <c r="DZ29" s="25" t="s">
        <v>121</v>
      </c>
      <c r="EA29" s="25" t="s">
        <v>121</v>
      </c>
      <c r="EB29" s="25" t="s">
        <v>121</v>
      </c>
      <c r="EC29" s="25" t="s">
        <v>121</v>
      </c>
      <c r="ED29" s="25" t="s">
        <v>121</v>
      </c>
      <c r="EE29" s="25" t="s">
        <v>121</v>
      </c>
      <c r="EF29" s="25" t="s">
        <v>121</v>
      </c>
      <c r="EG29" s="25" t="s">
        <v>121</v>
      </c>
      <c r="EH29" s="25" t="s">
        <v>121</v>
      </c>
      <c r="EI29" s="25" t="s">
        <v>121</v>
      </c>
      <c r="EJ29" s="25" t="s">
        <v>121</v>
      </c>
      <c r="EK29" s="25" t="s">
        <v>121</v>
      </c>
      <c r="EL29" s="25" t="s">
        <v>121</v>
      </c>
      <c r="EM29" s="25" t="s">
        <v>121</v>
      </c>
      <c r="EN29" s="25" t="s">
        <v>121</v>
      </c>
      <c r="EO29" s="25" t="s">
        <v>121</v>
      </c>
      <c r="EP29" s="25" t="s">
        <v>121</v>
      </c>
      <c r="EQ29" s="25" t="s">
        <v>121</v>
      </c>
      <c r="ER29" s="25" t="s">
        <v>121</v>
      </c>
      <c r="ES29" s="25" t="s">
        <v>121</v>
      </c>
      <c r="ET29" s="25" t="s">
        <v>121</v>
      </c>
      <c r="EU29" s="25" t="s">
        <v>121</v>
      </c>
      <c r="EV29" s="25" t="s">
        <v>121</v>
      </c>
      <c r="EW29" s="25" t="s">
        <v>121</v>
      </c>
      <c r="EX29" s="25" t="s">
        <v>121</v>
      </c>
    </row>
    <row r="30" spans="1:168" s="25" customFormat="1" ht="15" customHeight="1" x14ac:dyDescent="0.25">
      <c r="A30" s="72">
        <v>30</v>
      </c>
      <c r="B30" s="375" t="s">
        <v>101</v>
      </c>
      <c r="C30" s="345"/>
      <c r="D30" s="275"/>
      <c r="E30" s="270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405"/>
      <c r="R30" s="405"/>
      <c r="S30" s="405"/>
      <c r="T30" s="405"/>
      <c r="U30" s="22" t="s">
        <v>121</v>
      </c>
      <c r="V30" s="22" t="s">
        <v>121</v>
      </c>
      <c r="W30" s="22" t="s">
        <v>121</v>
      </c>
      <c r="X30" s="22" t="s">
        <v>121</v>
      </c>
      <c r="Y30" s="22" t="s">
        <v>121</v>
      </c>
      <c r="Z30" s="22" t="s">
        <v>121</v>
      </c>
      <c r="AA30" s="22" t="s">
        <v>121</v>
      </c>
      <c r="AB30" s="22" t="s">
        <v>121</v>
      </c>
      <c r="AC30" s="22" t="s">
        <v>121</v>
      </c>
      <c r="AD30" s="22" t="s">
        <v>121</v>
      </c>
      <c r="AE30" s="22" t="s">
        <v>121</v>
      </c>
      <c r="AF30" s="22" t="s">
        <v>121</v>
      </c>
      <c r="AG30" s="22" t="s">
        <v>121</v>
      </c>
      <c r="AH30" s="22" t="s">
        <v>121</v>
      </c>
      <c r="AI30" s="22" t="s">
        <v>121</v>
      </c>
      <c r="AJ30" s="22" t="s">
        <v>121</v>
      </c>
      <c r="AK30" s="22" t="s">
        <v>121</v>
      </c>
      <c r="AL30" s="22" t="s">
        <v>121</v>
      </c>
      <c r="AM30" s="22" t="s">
        <v>121</v>
      </c>
      <c r="AN30" s="22" t="s">
        <v>121</v>
      </c>
      <c r="AO30" s="22" t="s">
        <v>121</v>
      </c>
      <c r="AP30" s="22" t="s">
        <v>121</v>
      </c>
      <c r="AQ30" s="22" t="s">
        <v>121</v>
      </c>
      <c r="AR30" s="22" t="s">
        <v>121</v>
      </c>
      <c r="AS30" s="22" t="s">
        <v>121</v>
      </c>
      <c r="AT30" s="22" t="s">
        <v>121</v>
      </c>
      <c r="AU30" s="22" t="s">
        <v>121</v>
      </c>
      <c r="AV30" s="22" t="s">
        <v>121</v>
      </c>
      <c r="AW30" s="22" t="s">
        <v>121</v>
      </c>
      <c r="AX30" s="22" t="s">
        <v>121</v>
      </c>
      <c r="AY30" s="22" t="s">
        <v>121</v>
      </c>
      <c r="AZ30" s="22" t="s">
        <v>121</v>
      </c>
      <c r="BA30" s="22" t="s">
        <v>121</v>
      </c>
      <c r="BB30" s="22">
        <v>-18.294</v>
      </c>
      <c r="BC30" s="22">
        <v>-5.2270000000000003</v>
      </c>
      <c r="BD30" s="22">
        <v>-5.2270000000000003</v>
      </c>
      <c r="BE30" s="22" t="s">
        <v>121</v>
      </c>
      <c r="BF30" s="22" t="s">
        <v>121</v>
      </c>
      <c r="BG30" s="22" t="s">
        <v>121</v>
      </c>
      <c r="BH30" s="22" t="s">
        <v>121</v>
      </c>
      <c r="BI30" s="22">
        <v>-1.881</v>
      </c>
      <c r="BJ30" s="22">
        <v>-1.9849999999999999</v>
      </c>
      <c r="BK30" s="22" t="s">
        <v>121</v>
      </c>
      <c r="BL30" s="22">
        <v>1.6E-2</v>
      </c>
      <c r="BM30" s="25">
        <v>0.52300000000000002</v>
      </c>
      <c r="BN30" s="25">
        <v>0.53900000000000003</v>
      </c>
      <c r="BO30" s="25">
        <v>0.52400000000000002</v>
      </c>
      <c r="BP30" s="25">
        <v>0.502</v>
      </c>
      <c r="BQ30" s="25" t="s">
        <v>121</v>
      </c>
      <c r="BR30" s="25" t="s">
        <v>121</v>
      </c>
      <c r="BS30" s="25" t="s">
        <v>121</v>
      </c>
      <c r="BT30" s="25" t="s">
        <v>121</v>
      </c>
      <c r="BU30" s="25" t="s">
        <v>121</v>
      </c>
      <c r="BV30" s="25" t="s">
        <v>121</v>
      </c>
      <c r="BW30" s="25" t="s">
        <v>121</v>
      </c>
      <c r="BX30" s="25" t="s">
        <v>121</v>
      </c>
      <c r="BY30" s="25" t="s">
        <v>121</v>
      </c>
      <c r="BZ30" s="25" t="s">
        <v>121</v>
      </c>
      <c r="CA30" s="25" t="s">
        <v>121</v>
      </c>
      <c r="CB30" s="25" t="s">
        <v>121</v>
      </c>
      <c r="CC30" s="25" t="s">
        <v>121</v>
      </c>
      <c r="CD30" s="25" t="s">
        <v>121</v>
      </c>
      <c r="CE30" s="25" t="s">
        <v>121</v>
      </c>
      <c r="CF30" s="25" t="s">
        <v>121</v>
      </c>
      <c r="CG30" s="25" t="s">
        <v>121</v>
      </c>
      <c r="CH30" s="25" t="s">
        <v>121</v>
      </c>
      <c r="CI30" s="25" t="s">
        <v>121</v>
      </c>
      <c r="CJ30" s="25" t="s">
        <v>121</v>
      </c>
      <c r="CK30" s="25" t="s">
        <v>121</v>
      </c>
      <c r="CL30" s="25" t="s">
        <v>121</v>
      </c>
      <c r="CM30" s="25" t="s">
        <v>121</v>
      </c>
      <c r="CN30" s="25" t="s">
        <v>121</v>
      </c>
      <c r="CO30" s="25" t="s">
        <v>121</v>
      </c>
      <c r="CP30" s="25" t="s">
        <v>121</v>
      </c>
      <c r="CQ30" s="25" t="s">
        <v>121</v>
      </c>
      <c r="CR30" s="25" t="s">
        <v>121</v>
      </c>
      <c r="CS30" s="25" t="s">
        <v>121</v>
      </c>
      <c r="CT30" s="25" t="s">
        <v>121</v>
      </c>
      <c r="CU30" s="25" t="s">
        <v>121</v>
      </c>
      <c r="CV30" s="25" t="s">
        <v>121</v>
      </c>
      <c r="CW30" s="25" t="s">
        <v>121</v>
      </c>
      <c r="CX30" s="25" t="s">
        <v>121</v>
      </c>
      <c r="CY30" s="25" t="s">
        <v>121</v>
      </c>
      <c r="CZ30" s="25" t="s">
        <v>121</v>
      </c>
      <c r="DA30" s="25" t="s">
        <v>121</v>
      </c>
      <c r="DB30" s="25" t="s">
        <v>121</v>
      </c>
      <c r="DC30" s="25" t="s">
        <v>121</v>
      </c>
      <c r="DD30" s="25" t="s">
        <v>121</v>
      </c>
      <c r="DE30" s="25" t="s">
        <v>121</v>
      </c>
      <c r="DF30" s="25" t="s">
        <v>121</v>
      </c>
      <c r="DG30" s="25" t="s">
        <v>121</v>
      </c>
      <c r="DH30" s="25" t="s">
        <v>121</v>
      </c>
      <c r="DI30" s="25" t="s">
        <v>121</v>
      </c>
      <c r="DJ30" s="25" t="s">
        <v>121</v>
      </c>
      <c r="DK30" s="25" t="s">
        <v>121</v>
      </c>
      <c r="DL30" s="25" t="s">
        <v>121</v>
      </c>
      <c r="DM30" s="25" t="s">
        <v>121</v>
      </c>
      <c r="DN30" s="25" t="s">
        <v>121</v>
      </c>
      <c r="DO30" s="25" t="s">
        <v>121</v>
      </c>
      <c r="DP30" s="25" t="s">
        <v>121</v>
      </c>
      <c r="DQ30" s="25" t="s">
        <v>121</v>
      </c>
      <c r="DR30" s="25" t="s">
        <v>121</v>
      </c>
      <c r="DS30" s="25" t="s">
        <v>121</v>
      </c>
      <c r="DT30" s="25" t="s">
        <v>121</v>
      </c>
      <c r="DU30" s="25" t="s">
        <v>121</v>
      </c>
      <c r="DV30" s="25" t="s">
        <v>121</v>
      </c>
      <c r="DW30" s="25" t="s">
        <v>121</v>
      </c>
      <c r="DX30" s="25" t="s">
        <v>121</v>
      </c>
      <c r="DY30" s="25" t="s">
        <v>121</v>
      </c>
      <c r="DZ30" s="25" t="s">
        <v>121</v>
      </c>
      <c r="EA30" s="25" t="s">
        <v>121</v>
      </c>
      <c r="EB30" s="25" t="s">
        <v>121</v>
      </c>
      <c r="EC30" s="25" t="s">
        <v>121</v>
      </c>
      <c r="ED30" s="25" t="s">
        <v>121</v>
      </c>
      <c r="EE30" s="25" t="s">
        <v>121</v>
      </c>
      <c r="EF30" s="25" t="s">
        <v>121</v>
      </c>
      <c r="EG30" s="25" t="s">
        <v>121</v>
      </c>
      <c r="EH30" s="25" t="s">
        <v>121</v>
      </c>
      <c r="EI30" s="25" t="s">
        <v>121</v>
      </c>
      <c r="EJ30" s="25" t="s">
        <v>121</v>
      </c>
      <c r="EK30" s="25" t="s">
        <v>121</v>
      </c>
      <c r="EL30" s="25" t="s">
        <v>121</v>
      </c>
      <c r="EM30" s="25" t="s">
        <v>121</v>
      </c>
      <c r="EN30" s="25" t="s">
        <v>121</v>
      </c>
      <c r="EO30" s="25" t="s">
        <v>121</v>
      </c>
      <c r="EP30" s="25" t="s">
        <v>121</v>
      </c>
      <c r="EQ30" s="25" t="s">
        <v>121</v>
      </c>
      <c r="ER30" s="25" t="s">
        <v>121</v>
      </c>
      <c r="ES30" s="25" t="s">
        <v>121</v>
      </c>
      <c r="ET30" s="25" t="s">
        <v>121</v>
      </c>
      <c r="EU30" s="25" t="s">
        <v>121</v>
      </c>
      <c r="EV30" s="25" t="s">
        <v>121</v>
      </c>
      <c r="EW30" s="25" t="s">
        <v>121</v>
      </c>
      <c r="EX30" s="25" t="s">
        <v>121</v>
      </c>
    </row>
    <row r="31" spans="1:168" s="25" customFormat="1" ht="15" customHeight="1" x14ac:dyDescent="0.25">
      <c r="A31" s="72">
        <v>31</v>
      </c>
      <c r="B31" s="375" t="s">
        <v>102</v>
      </c>
      <c r="C31" s="345"/>
      <c r="D31" s="275"/>
      <c r="E31" s="270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405"/>
      <c r="R31" s="405"/>
      <c r="S31" s="405"/>
      <c r="T31" s="405"/>
      <c r="U31" s="22" t="s">
        <v>121</v>
      </c>
      <c r="V31" s="22" t="s">
        <v>121</v>
      </c>
      <c r="W31" s="22" t="s">
        <v>121</v>
      </c>
      <c r="X31" s="22" t="s">
        <v>121</v>
      </c>
      <c r="Y31" s="22" t="s">
        <v>121</v>
      </c>
      <c r="Z31" s="22" t="s">
        <v>121</v>
      </c>
      <c r="AA31" s="22" t="s">
        <v>121</v>
      </c>
      <c r="AB31" s="22" t="s">
        <v>121</v>
      </c>
      <c r="AC31" s="22" t="s">
        <v>121</v>
      </c>
      <c r="AD31" s="22" t="s">
        <v>121</v>
      </c>
      <c r="AE31" s="22" t="s">
        <v>121</v>
      </c>
      <c r="AF31" s="22" t="s">
        <v>121</v>
      </c>
      <c r="AG31" s="22" t="s">
        <v>121</v>
      </c>
      <c r="AH31" s="22" t="s">
        <v>121</v>
      </c>
      <c r="AI31" s="22" t="s">
        <v>121</v>
      </c>
      <c r="AJ31" s="22" t="s">
        <v>121</v>
      </c>
      <c r="AK31" s="22" t="s">
        <v>121</v>
      </c>
      <c r="AL31" s="22" t="s">
        <v>121</v>
      </c>
      <c r="AM31" s="22" t="s">
        <v>121</v>
      </c>
      <c r="AN31" s="22" t="s">
        <v>121</v>
      </c>
      <c r="AO31" s="22" t="s">
        <v>121</v>
      </c>
      <c r="AP31" s="22" t="s">
        <v>121</v>
      </c>
      <c r="AQ31" s="22" t="s">
        <v>121</v>
      </c>
      <c r="AR31" s="22" t="s">
        <v>121</v>
      </c>
      <c r="AS31" s="22" t="s">
        <v>121</v>
      </c>
      <c r="AT31" s="22" t="s">
        <v>121</v>
      </c>
      <c r="AU31" s="22" t="s">
        <v>121</v>
      </c>
      <c r="AV31" s="22" t="s">
        <v>121</v>
      </c>
      <c r="AW31" s="22" t="s">
        <v>121</v>
      </c>
      <c r="AX31" s="22" t="s">
        <v>121</v>
      </c>
      <c r="AY31" s="22" t="s">
        <v>121</v>
      </c>
      <c r="AZ31" s="22" t="s">
        <v>121</v>
      </c>
      <c r="BA31" s="22" t="s">
        <v>121</v>
      </c>
      <c r="BB31" s="22" t="s">
        <v>121</v>
      </c>
      <c r="BC31" s="22" t="s">
        <v>121</v>
      </c>
      <c r="BD31" s="22" t="s">
        <v>121</v>
      </c>
      <c r="BE31" s="22" t="s">
        <v>121</v>
      </c>
      <c r="BF31" s="22" t="s">
        <v>121</v>
      </c>
      <c r="BG31" s="22" t="s">
        <v>121</v>
      </c>
      <c r="BH31" s="22" t="s">
        <v>121</v>
      </c>
      <c r="BI31" s="22" t="s">
        <v>121</v>
      </c>
      <c r="BJ31" s="22" t="s">
        <v>121</v>
      </c>
      <c r="BK31" s="22" t="s">
        <v>121</v>
      </c>
      <c r="BL31" s="22" t="s">
        <v>121</v>
      </c>
      <c r="BM31" s="25" t="s">
        <v>121</v>
      </c>
      <c r="BN31" s="25" t="s">
        <v>121</v>
      </c>
      <c r="BO31" s="25" t="s">
        <v>121</v>
      </c>
      <c r="BP31" s="25" t="s">
        <v>121</v>
      </c>
      <c r="BQ31" s="25" t="s">
        <v>121</v>
      </c>
      <c r="BR31" s="25" t="s">
        <v>121</v>
      </c>
      <c r="BS31" s="25" t="s">
        <v>121</v>
      </c>
      <c r="BT31" s="25" t="s">
        <v>121</v>
      </c>
      <c r="BU31" s="25" t="s">
        <v>121</v>
      </c>
      <c r="BV31" s="25" t="s">
        <v>121</v>
      </c>
      <c r="BW31" s="25" t="s">
        <v>121</v>
      </c>
      <c r="BX31" s="25" t="s">
        <v>121</v>
      </c>
      <c r="BY31" s="25" t="s">
        <v>121</v>
      </c>
      <c r="BZ31" s="25" t="s">
        <v>121</v>
      </c>
      <c r="CA31" s="25" t="s">
        <v>121</v>
      </c>
      <c r="CB31" s="25" t="s">
        <v>121</v>
      </c>
      <c r="CC31" s="25" t="s">
        <v>121</v>
      </c>
      <c r="CD31" s="25" t="s">
        <v>121</v>
      </c>
      <c r="CE31" s="25" t="s">
        <v>121</v>
      </c>
      <c r="CF31" s="25" t="s">
        <v>121</v>
      </c>
      <c r="CG31" s="25" t="s">
        <v>121</v>
      </c>
      <c r="CH31" s="25" t="s">
        <v>121</v>
      </c>
      <c r="CI31" s="25" t="s">
        <v>121</v>
      </c>
      <c r="CJ31" s="25" t="s">
        <v>121</v>
      </c>
      <c r="CK31" s="25" t="s">
        <v>121</v>
      </c>
      <c r="CL31" s="25" t="s">
        <v>121</v>
      </c>
      <c r="CM31" s="25" t="s">
        <v>121</v>
      </c>
      <c r="CN31" s="25" t="s">
        <v>121</v>
      </c>
      <c r="CO31" s="25" t="s">
        <v>121</v>
      </c>
      <c r="CP31" s="25" t="s">
        <v>121</v>
      </c>
      <c r="CQ31" s="25" t="s">
        <v>121</v>
      </c>
      <c r="CR31" s="25" t="s">
        <v>121</v>
      </c>
      <c r="CS31" s="25" t="s">
        <v>121</v>
      </c>
      <c r="CT31" s="25" t="s">
        <v>121</v>
      </c>
      <c r="CU31" s="25" t="s">
        <v>121</v>
      </c>
      <c r="CV31" s="25" t="s">
        <v>121</v>
      </c>
      <c r="CW31" s="25" t="s">
        <v>121</v>
      </c>
      <c r="CX31" s="25" t="s">
        <v>121</v>
      </c>
      <c r="CY31" s="25" t="s">
        <v>121</v>
      </c>
      <c r="CZ31" s="25" t="s">
        <v>121</v>
      </c>
      <c r="DA31" s="25" t="s">
        <v>121</v>
      </c>
      <c r="DB31" s="25" t="s">
        <v>121</v>
      </c>
      <c r="DC31" s="25" t="s">
        <v>121</v>
      </c>
      <c r="DD31" s="25" t="s">
        <v>121</v>
      </c>
      <c r="DE31" s="25" t="s">
        <v>121</v>
      </c>
      <c r="DF31" s="25" t="s">
        <v>121</v>
      </c>
      <c r="DG31" s="25" t="s">
        <v>121</v>
      </c>
      <c r="DH31" s="25" t="s">
        <v>121</v>
      </c>
      <c r="DI31" s="25" t="s">
        <v>121</v>
      </c>
      <c r="DJ31" s="25" t="s">
        <v>121</v>
      </c>
      <c r="DK31" s="25" t="s">
        <v>121</v>
      </c>
      <c r="DL31" s="25" t="s">
        <v>121</v>
      </c>
      <c r="DM31" s="25" t="s">
        <v>121</v>
      </c>
      <c r="DN31" s="25" t="s">
        <v>121</v>
      </c>
      <c r="DO31" s="25" t="s">
        <v>121</v>
      </c>
      <c r="DP31" s="25" t="s">
        <v>121</v>
      </c>
      <c r="DQ31" s="25" t="s">
        <v>121</v>
      </c>
      <c r="DR31" s="25" t="s">
        <v>121</v>
      </c>
      <c r="DS31" s="25" t="s">
        <v>121</v>
      </c>
      <c r="DT31" s="25" t="s">
        <v>121</v>
      </c>
      <c r="DU31" s="25" t="s">
        <v>121</v>
      </c>
      <c r="DV31" s="25" t="s">
        <v>121</v>
      </c>
      <c r="DW31" s="25" t="s">
        <v>121</v>
      </c>
      <c r="DX31" s="25" t="s">
        <v>121</v>
      </c>
      <c r="DY31" s="25" t="s">
        <v>121</v>
      </c>
      <c r="DZ31" s="25" t="s">
        <v>121</v>
      </c>
      <c r="EA31" s="25" t="s">
        <v>121</v>
      </c>
      <c r="EB31" s="25" t="s">
        <v>121</v>
      </c>
      <c r="EC31" s="25" t="s">
        <v>121</v>
      </c>
      <c r="ED31" s="25" t="s">
        <v>121</v>
      </c>
      <c r="EE31" s="25" t="s">
        <v>121</v>
      </c>
      <c r="EF31" s="25" t="s">
        <v>121</v>
      </c>
      <c r="EG31" s="25" t="s">
        <v>121</v>
      </c>
      <c r="EH31" s="25" t="s">
        <v>121</v>
      </c>
      <c r="EI31" s="25" t="s">
        <v>121</v>
      </c>
      <c r="EJ31" s="25" t="s">
        <v>121</v>
      </c>
      <c r="EK31" s="25" t="s">
        <v>121</v>
      </c>
      <c r="EL31" s="25" t="s">
        <v>121</v>
      </c>
      <c r="EM31" s="25" t="s">
        <v>121</v>
      </c>
      <c r="EN31" s="25" t="s">
        <v>121</v>
      </c>
      <c r="EO31" s="25" t="s">
        <v>121</v>
      </c>
      <c r="EP31" s="25" t="s">
        <v>121</v>
      </c>
      <c r="EQ31" s="25" t="s">
        <v>121</v>
      </c>
      <c r="ER31" s="25" t="s">
        <v>121</v>
      </c>
      <c r="ES31" s="25" t="s">
        <v>121</v>
      </c>
      <c r="ET31" s="25" t="s">
        <v>121</v>
      </c>
      <c r="EU31" s="25" t="s">
        <v>121</v>
      </c>
      <c r="EV31" s="25" t="s">
        <v>121</v>
      </c>
      <c r="EW31" s="25" t="s">
        <v>121</v>
      </c>
      <c r="EX31" s="25" t="s">
        <v>121</v>
      </c>
    </row>
    <row r="32" spans="1:168" s="25" customFormat="1" ht="15" customHeight="1" x14ac:dyDescent="0.25">
      <c r="A32" s="72">
        <v>32</v>
      </c>
      <c r="B32" s="375" t="s">
        <v>103</v>
      </c>
      <c r="C32" s="345"/>
      <c r="D32" s="275"/>
      <c r="E32" s="270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157</v>
      </c>
      <c r="O32" s="22">
        <v>117</v>
      </c>
      <c r="P32" s="22">
        <v>53</v>
      </c>
      <c r="Q32" s="405"/>
      <c r="R32" s="405"/>
      <c r="S32" s="405"/>
      <c r="T32" s="405"/>
      <c r="U32" s="22" t="s">
        <v>121</v>
      </c>
      <c r="V32" s="22" t="s">
        <v>121</v>
      </c>
      <c r="W32" s="22" t="s">
        <v>121</v>
      </c>
      <c r="X32" s="22" t="s">
        <v>121</v>
      </c>
      <c r="Y32" s="22" t="s">
        <v>121</v>
      </c>
      <c r="Z32" s="22" t="s">
        <v>121</v>
      </c>
      <c r="AA32" s="22" t="s">
        <v>121</v>
      </c>
      <c r="AB32" s="22" t="s">
        <v>121</v>
      </c>
      <c r="AC32" s="22" t="s">
        <v>121</v>
      </c>
      <c r="AD32" s="22" t="s">
        <v>121</v>
      </c>
      <c r="AE32" s="22" t="s">
        <v>121</v>
      </c>
      <c r="AF32" s="22" t="s">
        <v>121</v>
      </c>
      <c r="AG32" s="22" t="s">
        <v>121</v>
      </c>
      <c r="AH32" s="22" t="s">
        <v>121</v>
      </c>
      <c r="AI32" s="22" t="s">
        <v>121</v>
      </c>
      <c r="AJ32" s="22" t="s">
        <v>121</v>
      </c>
      <c r="AK32" s="22" t="s">
        <v>121</v>
      </c>
      <c r="AL32" s="22" t="s">
        <v>121</v>
      </c>
      <c r="AM32" s="22" t="s">
        <v>121</v>
      </c>
      <c r="AN32" s="22" t="s">
        <v>121</v>
      </c>
      <c r="AO32" s="22" t="s">
        <v>121</v>
      </c>
      <c r="AP32" s="22" t="s">
        <v>121</v>
      </c>
      <c r="AQ32" s="22" t="s">
        <v>121</v>
      </c>
      <c r="AR32" s="22" t="s">
        <v>121</v>
      </c>
      <c r="AS32" s="22" t="s">
        <v>121</v>
      </c>
      <c r="AT32" s="22" t="s">
        <v>121</v>
      </c>
      <c r="AU32" s="22" t="s">
        <v>121</v>
      </c>
      <c r="AV32" s="22" t="s">
        <v>121</v>
      </c>
      <c r="AW32" s="22" t="s">
        <v>121</v>
      </c>
      <c r="AX32" s="22" t="s">
        <v>121</v>
      </c>
      <c r="AY32" s="22" t="s">
        <v>121</v>
      </c>
      <c r="AZ32" s="22" t="s">
        <v>121</v>
      </c>
      <c r="BA32" s="22" t="s">
        <v>121</v>
      </c>
      <c r="BB32" s="22" t="s">
        <v>121</v>
      </c>
      <c r="BC32" s="22" t="s">
        <v>121</v>
      </c>
      <c r="BD32" s="22" t="s">
        <v>121</v>
      </c>
      <c r="BE32" s="22" t="s">
        <v>121</v>
      </c>
      <c r="BF32" s="22" t="s">
        <v>121</v>
      </c>
      <c r="BG32" s="22" t="s">
        <v>121</v>
      </c>
      <c r="BH32" s="22" t="s">
        <v>121</v>
      </c>
      <c r="BI32" s="22" t="s">
        <v>121</v>
      </c>
      <c r="BJ32" s="22" t="s">
        <v>121</v>
      </c>
      <c r="BK32" s="22" t="s">
        <v>121</v>
      </c>
      <c r="BL32" s="22" t="s">
        <v>121</v>
      </c>
      <c r="BM32" s="25" t="s">
        <v>121</v>
      </c>
      <c r="BN32" s="25" t="s">
        <v>121</v>
      </c>
      <c r="BO32" s="25" t="s">
        <v>121</v>
      </c>
      <c r="BP32" s="25" t="s">
        <v>121</v>
      </c>
      <c r="BQ32" s="25" t="s">
        <v>121</v>
      </c>
      <c r="BR32" s="25" t="s">
        <v>121</v>
      </c>
      <c r="BS32" s="25" t="s">
        <v>121</v>
      </c>
      <c r="BT32" s="25" t="s">
        <v>121</v>
      </c>
      <c r="BU32" s="25" t="s">
        <v>121</v>
      </c>
      <c r="BV32" s="25" t="s">
        <v>121</v>
      </c>
      <c r="BW32" s="25" t="s">
        <v>121</v>
      </c>
      <c r="BX32" s="25" t="s">
        <v>121</v>
      </c>
      <c r="BY32" s="25" t="s">
        <v>121</v>
      </c>
      <c r="BZ32" s="25" t="s">
        <v>121</v>
      </c>
      <c r="CA32" s="25" t="s">
        <v>121</v>
      </c>
      <c r="CB32" s="25" t="s">
        <v>121</v>
      </c>
      <c r="CC32" s="25" t="s">
        <v>121</v>
      </c>
      <c r="CD32" s="25" t="s">
        <v>121</v>
      </c>
      <c r="CE32" s="25" t="s">
        <v>121</v>
      </c>
      <c r="CF32" s="25" t="s">
        <v>121</v>
      </c>
      <c r="CG32" s="25" t="s">
        <v>121</v>
      </c>
      <c r="CH32" s="25" t="s">
        <v>121</v>
      </c>
      <c r="CI32" s="25" t="s">
        <v>121</v>
      </c>
      <c r="CJ32" s="25" t="s">
        <v>121</v>
      </c>
      <c r="CK32" s="25" t="s">
        <v>121</v>
      </c>
      <c r="CL32" s="25" t="s">
        <v>121</v>
      </c>
      <c r="CM32" s="25" t="s">
        <v>121</v>
      </c>
      <c r="CN32" s="25" t="s">
        <v>121</v>
      </c>
      <c r="CO32" s="25" t="s">
        <v>121</v>
      </c>
      <c r="CP32" s="25" t="s">
        <v>121</v>
      </c>
      <c r="CQ32" s="25" t="s">
        <v>121</v>
      </c>
      <c r="CR32" s="25" t="s">
        <v>121</v>
      </c>
      <c r="CS32" s="25" t="s">
        <v>121</v>
      </c>
      <c r="CT32" s="25" t="s">
        <v>121</v>
      </c>
      <c r="CU32" s="25" t="s">
        <v>121</v>
      </c>
      <c r="CV32" s="25" t="s">
        <v>121</v>
      </c>
      <c r="CW32" s="25" t="s">
        <v>121</v>
      </c>
      <c r="CX32" s="25" t="s">
        <v>121</v>
      </c>
      <c r="CY32" s="25" t="s">
        <v>121</v>
      </c>
      <c r="CZ32" s="25" t="s">
        <v>121</v>
      </c>
      <c r="DA32" s="25" t="s">
        <v>121</v>
      </c>
      <c r="DB32" s="25" t="s">
        <v>121</v>
      </c>
      <c r="DC32" s="25" t="s">
        <v>121</v>
      </c>
      <c r="DD32" s="25" t="s">
        <v>121</v>
      </c>
      <c r="DE32" s="25" t="s">
        <v>121</v>
      </c>
      <c r="DF32" s="25" t="s">
        <v>121</v>
      </c>
      <c r="DG32" s="25" t="s">
        <v>121</v>
      </c>
      <c r="DH32" s="25" t="s">
        <v>121</v>
      </c>
      <c r="DI32" s="25" t="s">
        <v>121</v>
      </c>
      <c r="DJ32" s="25" t="s">
        <v>121</v>
      </c>
      <c r="DK32" s="25" t="s">
        <v>121</v>
      </c>
      <c r="DL32" s="25" t="s">
        <v>121</v>
      </c>
      <c r="DM32" s="25" t="s">
        <v>121</v>
      </c>
      <c r="DN32" s="25" t="s">
        <v>121</v>
      </c>
      <c r="DO32" s="25" t="s">
        <v>121</v>
      </c>
      <c r="DP32" s="25" t="s">
        <v>121</v>
      </c>
      <c r="DQ32" s="25" t="s">
        <v>121</v>
      </c>
      <c r="DR32" s="25" t="s">
        <v>121</v>
      </c>
      <c r="DS32" s="25" t="s">
        <v>121</v>
      </c>
      <c r="DT32" s="25" t="s">
        <v>121</v>
      </c>
      <c r="DU32" s="25" t="s">
        <v>121</v>
      </c>
      <c r="DV32" s="25" t="s">
        <v>121</v>
      </c>
      <c r="DW32" s="25" t="s">
        <v>121</v>
      </c>
      <c r="DX32" s="25" t="s">
        <v>121</v>
      </c>
      <c r="DY32" s="25" t="s">
        <v>121</v>
      </c>
      <c r="DZ32" s="25" t="s">
        <v>121</v>
      </c>
      <c r="EA32" s="25" t="s">
        <v>121</v>
      </c>
      <c r="EB32" s="25" t="s">
        <v>121</v>
      </c>
      <c r="EC32" s="25" t="s">
        <v>121</v>
      </c>
      <c r="ED32" s="25" t="s">
        <v>121</v>
      </c>
      <c r="EE32" s="25" t="s">
        <v>121</v>
      </c>
      <c r="EF32" s="25" t="s">
        <v>121</v>
      </c>
      <c r="EG32" s="25" t="s">
        <v>121</v>
      </c>
      <c r="EH32" s="25" t="s">
        <v>121</v>
      </c>
      <c r="EI32" s="25" t="s">
        <v>121</v>
      </c>
      <c r="EJ32" s="25" t="s">
        <v>121</v>
      </c>
      <c r="EK32" s="25" t="s">
        <v>121</v>
      </c>
      <c r="EL32" s="25" t="s">
        <v>121</v>
      </c>
      <c r="EM32" s="25" t="s">
        <v>121</v>
      </c>
      <c r="EN32" s="25" t="s">
        <v>121</v>
      </c>
      <c r="EO32" s="25" t="s">
        <v>121</v>
      </c>
      <c r="EP32" s="25" t="s">
        <v>121</v>
      </c>
      <c r="EQ32" s="25" t="s">
        <v>121</v>
      </c>
      <c r="ER32" s="25" t="s">
        <v>121</v>
      </c>
      <c r="ES32" s="25" t="s">
        <v>121</v>
      </c>
      <c r="ET32" s="25" t="s">
        <v>121</v>
      </c>
      <c r="EU32" s="25" t="s">
        <v>121</v>
      </c>
      <c r="EV32" s="25" t="s">
        <v>121</v>
      </c>
      <c r="EW32" s="25" t="s">
        <v>121</v>
      </c>
      <c r="EX32" s="25" t="s">
        <v>121</v>
      </c>
    </row>
    <row r="33" spans="1:154" s="25" customFormat="1" ht="15" customHeight="1" x14ac:dyDescent="0.25">
      <c r="A33" s="72">
        <v>33</v>
      </c>
      <c r="B33" s="375" t="s">
        <v>104</v>
      </c>
      <c r="C33" s="345"/>
      <c r="D33" s="275"/>
      <c r="E33" s="270"/>
      <c r="F33" s="22">
        <v>695</v>
      </c>
      <c r="G33" s="22">
        <v>775</v>
      </c>
      <c r="H33" s="22">
        <v>752</v>
      </c>
      <c r="I33" s="22">
        <v>19</v>
      </c>
      <c r="J33" s="22">
        <v>3</v>
      </c>
      <c r="K33" s="22">
        <v>6</v>
      </c>
      <c r="L33" s="22" t="s">
        <v>121</v>
      </c>
      <c r="M33" s="22">
        <v>620</v>
      </c>
      <c r="N33" s="22">
        <v>398</v>
      </c>
      <c r="O33" s="22">
        <v>407</v>
      </c>
      <c r="P33" s="22" t="s">
        <v>121</v>
      </c>
      <c r="Q33" s="405"/>
      <c r="R33" s="405"/>
      <c r="S33" s="405"/>
      <c r="T33" s="405"/>
      <c r="U33" s="22">
        <v>-707</v>
      </c>
      <c r="V33" s="22">
        <v>-625</v>
      </c>
      <c r="W33" s="22" t="s">
        <v>121</v>
      </c>
      <c r="X33" s="22" t="s">
        <v>121</v>
      </c>
      <c r="Y33" s="22">
        <v>-891</v>
      </c>
      <c r="Z33" s="22">
        <v>-820.04899999999998</v>
      </c>
      <c r="AA33" s="22">
        <v>-305.05799999999999</v>
      </c>
      <c r="AB33" s="22" t="s">
        <v>121</v>
      </c>
      <c r="AC33" s="22">
        <v>55.286000000000001</v>
      </c>
      <c r="AD33" s="22">
        <v>0.628</v>
      </c>
      <c r="AE33" s="22" t="s">
        <v>121</v>
      </c>
      <c r="AF33" s="22" t="s">
        <v>121</v>
      </c>
      <c r="AG33" s="22" t="s">
        <v>121</v>
      </c>
      <c r="AH33" s="22" t="s">
        <v>121</v>
      </c>
      <c r="AI33" s="22" t="s">
        <v>121</v>
      </c>
      <c r="AJ33" s="22" t="s">
        <v>121</v>
      </c>
      <c r="AK33" s="22" t="s">
        <v>121</v>
      </c>
      <c r="AL33" s="22" t="s">
        <v>121</v>
      </c>
      <c r="AM33" s="22" t="s">
        <v>121</v>
      </c>
      <c r="AN33" s="22" t="s">
        <v>121</v>
      </c>
      <c r="AO33" s="22" t="s">
        <v>121</v>
      </c>
      <c r="AP33" s="22" t="s">
        <v>121</v>
      </c>
      <c r="AQ33" s="22" t="s">
        <v>121</v>
      </c>
      <c r="AR33" s="22" t="s">
        <v>121</v>
      </c>
      <c r="AS33" s="22" t="s">
        <v>121</v>
      </c>
      <c r="AT33" s="22" t="s">
        <v>121</v>
      </c>
      <c r="AU33" s="22" t="s">
        <v>121</v>
      </c>
      <c r="AV33" s="22" t="s">
        <v>121</v>
      </c>
      <c r="AW33" s="22">
        <v>-53.442</v>
      </c>
      <c r="AX33" s="22" t="s">
        <v>121</v>
      </c>
      <c r="AY33" s="22" t="s">
        <v>121</v>
      </c>
      <c r="AZ33" s="22" t="s">
        <v>121</v>
      </c>
      <c r="BA33" s="22" t="s">
        <v>121</v>
      </c>
      <c r="BB33" s="22" t="s">
        <v>121</v>
      </c>
      <c r="BC33" s="22" t="s">
        <v>121</v>
      </c>
      <c r="BD33" s="22" t="s">
        <v>121</v>
      </c>
      <c r="BE33" s="22" t="s">
        <v>121</v>
      </c>
      <c r="BF33" s="22" t="s">
        <v>121</v>
      </c>
      <c r="BG33" s="22" t="s">
        <v>121</v>
      </c>
      <c r="BH33" s="22" t="s">
        <v>121</v>
      </c>
      <c r="BI33" s="22" t="s">
        <v>121</v>
      </c>
      <c r="BJ33" s="22" t="s">
        <v>121</v>
      </c>
      <c r="BK33" s="22" t="s">
        <v>121</v>
      </c>
      <c r="BL33" s="22" t="s">
        <v>121</v>
      </c>
      <c r="BM33" s="25" t="s">
        <v>121</v>
      </c>
      <c r="BN33" s="25" t="s">
        <v>121</v>
      </c>
      <c r="BO33" s="25" t="s">
        <v>121</v>
      </c>
      <c r="BP33" s="25" t="s">
        <v>121</v>
      </c>
      <c r="BQ33" s="25" t="s">
        <v>121</v>
      </c>
      <c r="BR33" s="25" t="s">
        <v>121</v>
      </c>
      <c r="BS33" s="25" t="s">
        <v>121</v>
      </c>
      <c r="BT33" s="25" t="s">
        <v>121</v>
      </c>
      <c r="BU33" s="25" t="s">
        <v>121</v>
      </c>
      <c r="BV33" s="25" t="s">
        <v>121</v>
      </c>
      <c r="BW33" s="25" t="s">
        <v>121</v>
      </c>
      <c r="BX33" s="25" t="s">
        <v>121</v>
      </c>
      <c r="BY33" s="25" t="s">
        <v>121</v>
      </c>
      <c r="BZ33" s="25" t="s">
        <v>121</v>
      </c>
      <c r="CA33" s="25" t="s">
        <v>121</v>
      </c>
      <c r="CB33" s="25" t="s">
        <v>121</v>
      </c>
      <c r="CC33" s="25" t="s">
        <v>121</v>
      </c>
      <c r="CD33" s="25" t="s">
        <v>121</v>
      </c>
      <c r="CE33" s="25" t="s">
        <v>121</v>
      </c>
      <c r="CF33" s="25" t="s">
        <v>121</v>
      </c>
      <c r="CG33" s="25" t="s">
        <v>121</v>
      </c>
      <c r="CH33" s="25" t="s">
        <v>121</v>
      </c>
      <c r="CI33" s="25" t="s">
        <v>121</v>
      </c>
      <c r="CJ33" s="25" t="s">
        <v>121</v>
      </c>
      <c r="CK33" s="25" t="s">
        <v>121</v>
      </c>
      <c r="CL33" s="25" t="s">
        <v>121</v>
      </c>
      <c r="CM33" s="25" t="s">
        <v>121</v>
      </c>
      <c r="CN33" s="25" t="s">
        <v>121</v>
      </c>
      <c r="CO33" s="25" t="s">
        <v>121</v>
      </c>
      <c r="CP33" s="25" t="s">
        <v>121</v>
      </c>
      <c r="CQ33" s="25" t="s">
        <v>121</v>
      </c>
      <c r="CR33" s="25" t="s">
        <v>121</v>
      </c>
      <c r="CS33" s="25" t="s">
        <v>121</v>
      </c>
      <c r="CT33" s="25" t="s">
        <v>121</v>
      </c>
      <c r="CU33" s="25" t="s">
        <v>121</v>
      </c>
      <c r="CV33" s="25" t="s">
        <v>121</v>
      </c>
      <c r="CW33" s="25" t="s">
        <v>121</v>
      </c>
      <c r="CX33" s="25" t="s">
        <v>121</v>
      </c>
      <c r="CY33" s="25" t="s">
        <v>121</v>
      </c>
      <c r="CZ33" s="25" t="s">
        <v>121</v>
      </c>
      <c r="DA33" s="25" t="s">
        <v>121</v>
      </c>
      <c r="DB33" s="25" t="s">
        <v>121</v>
      </c>
      <c r="DC33" s="25" t="s">
        <v>121</v>
      </c>
      <c r="DD33" s="25" t="s">
        <v>121</v>
      </c>
      <c r="DE33" s="25" t="s">
        <v>121</v>
      </c>
      <c r="DF33" s="25" t="s">
        <v>121</v>
      </c>
      <c r="DG33" s="25" t="s">
        <v>121</v>
      </c>
      <c r="DH33" s="25" t="s">
        <v>121</v>
      </c>
      <c r="DI33" s="25" t="s">
        <v>121</v>
      </c>
      <c r="DJ33" s="25" t="s">
        <v>121</v>
      </c>
      <c r="DK33" s="25" t="s">
        <v>121</v>
      </c>
      <c r="DL33" s="25" t="s">
        <v>121</v>
      </c>
      <c r="DM33" s="25" t="s">
        <v>121</v>
      </c>
      <c r="DN33" s="25" t="s">
        <v>121</v>
      </c>
      <c r="DO33" s="25" t="s">
        <v>121</v>
      </c>
      <c r="DP33" s="25" t="s">
        <v>121</v>
      </c>
      <c r="DQ33" s="25" t="s">
        <v>121</v>
      </c>
      <c r="DR33" s="25" t="s">
        <v>121</v>
      </c>
      <c r="DS33" s="25" t="s">
        <v>121</v>
      </c>
      <c r="DT33" s="25" t="s">
        <v>121</v>
      </c>
      <c r="DU33" s="25" t="s">
        <v>121</v>
      </c>
      <c r="DV33" s="25" t="s">
        <v>121</v>
      </c>
      <c r="DW33" s="25" t="s">
        <v>121</v>
      </c>
      <c r="DX33" s="25" t="s">
        <v>121</v>
      </c>
      <c r="DY33" s="25" t="s">
        <v>121</v>
      </c>
      <c r="DZ33" s="25" t="s">
        <v>121</v>
      </c>
      <c r="EA33" s="25" t="s">
        <v>121</v>
      </c>
      <c r="EB33" s="25" t="s">
        <v>121</v>
      </c>
      <c r="EC33" s="25" t="s">
        <v>121</v>
      </c>
      <c r="ED33" s="25" t="s">
        <v>121</v>
      </c>
      <c r="EE33" s="25" t="s">
        <v>121</v>
      </c>
      <c r="EF33" s="25" t="s">
        <v>121</v>
      </c>
      <c r="EG33" s="25" t="s">
        <v>121</v>
      </c>
      <c r="EH33" s="25" t="s">
        <v>121</v>
      </c>
      <c r="EI33" s="25" t="s">
        <v>121</v>
      </c>
      <c r="EJ33" s="25" t="s">
        <v>121</v>
      </c>
      <c r="EK33" s="25" t="s">
        <v>121</v>
      </c>
      <c r="EL33" s="25" t="s">
        <v>121</v>
      </c>
      <c r="EM33" s="25" t="s">
        <v>121</v>
      </c>
      <c r="EN33" s="25" t="s">
        <v>121</v>
      </c>
      <c r="EO33" s="25" t="s">
        <v>121</v>
      </c>
      <c r="EP33" s="25" t="s">
        <v>121</v>
      </c>
      <c r="EQ33" s="25" t="s">
        <v>121</v>
      </c>
      <c r="ER33" s="25" t="s">
        <v>121</v>
      </c>
      <c r="ES33" s="25" t="s">
        <v>121</v>
      </c>
      <c r="ET33" s="25" t="s">
        <v>121</v>
      </c>
      <c r="EU33" s="25" t="s">
        <v>121</v>
      </c>
      <c r="EV33" s="25" t="s">
        <v>121</v>
      </c>
      <c r="EW33" s="25" t="s">
        <v>121</v>
      </c>
      <c r="EX33" s="25" t="s">
        <v>121</v>
      </c>
    </row>
    <row r="34" spans="1:154" s="25" customFormat="1" ht="15" customHeight="1" x14ac:dyDescent="0.25">
      <c r="A34" s="72">
        <v>34</v>
      </c>
      <c r="B34" s="375" t="s">
        <v>105</v>
      </c>
      <c r="C34" s="345"/>
      <c r="D34" s="275"/>
      <c r="E34" s="270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405"/>
      <c r="R34" s="405"/>
      <c r="S34" s="405"/>
      <c r="T34" s="405"/>
      <c r="U34" s="22" t="s">
        <v>121</v>
      </c>
      <c r="V34" s="22" t="s">
        <v>121</v>
      </c>
      <c r="W34" s="22" t="s">
        <v>121</v>
      </c>
      <c r="X34" s="22" t="s">
        <v>121</v>
      </c>
      <c r="Y34" s="22" t="s">
        <v>121</v>
      </c>
      <c r="Z34" s="22" t="s">
        <v>121</v>
      </c>
      <c r="AA34" s="22" t="s">
        <v>121</v>
      </c>
      <c r="AB34" s="22" t="s">
        <v>121</v>
      </c>
      <c r="AC34" s="22" t="s">
        <v>121</v>
      </c>
      <c r="AD34" s="22" t="s">
        <v>121</v>
      </c>
      <c r="AE34" s="22" t="s">
        <v>121</v>
      </c>
      <c r="AF34" s="22" t="s">
        <v>121</v>
      </c>
      <c r="AG34" s="22" t="s">
        <v>121</v>
      </c>
      <c r="AH34" s="22" t="s">
        <v>121</v>
      </c>
      <c r="AI34" s="22" t="s">
        <v>121</v>
      </c>
      <c r="AJ34" s="22" t="s">
        <v>121</v>
      </c>
      <c r="AK34" s="22">
        <v>-29.486999999999998</v>
      </c>
      <c r="AL34" s="22" t="s">
        <v>121</v>
      </c>
      <c r="AM34" s="22" t="s">
        <v>121</v>
      </c>
      <c r="AN34" s="22" t="s">
        <v>121</v>
      </c>
      <c r="AO34" s="22" t="s">
        <v>121</v>
      </c>
      <c r="AP34" s="22" t="s">
        <v>121</v>
      </c>
      <c r="AQ34" s="22" t="s">
        <v>121</v>
      </c>
      <c r="AR34" s="22" t="s">
        <v>121</v>
      </c>
      <c r="AS34" s="22" t="s">
        <v>121</v>
      </c>
      <c r="AT34" s="22" t="s">
        <v>121</v>
      </c>
      <c r="AU34" s="22" t="s">
        <v>121</v>
      </c>
      <c r="AV34" s="22" t="s">
        <v>121</v>
      </c>
      <c r="AW34" s="22">
        <v>0.188</v>
      </c>
      <c r="AX34" s="22" t="s">
        <v>121</v>
      </c>
      <c r="AY34" s="22" t="s">
        <v>121</v>
      </c>
      <c r="AZ34" s="22" t="s">
        <v>121</v>
      </c>
      <c r="BA34" s="22" t="s">
        <v>121</v>
      </c>
      <c r="BB34" s="22" t="s">
        <v>121</v>
      </c>
      <c r="BC34" s="22" t="s">
        <v>121</v>
      </c>
      <c r="BD34" s="22" t="s">
        <v>121</v>
      </c>
      <c r="BE34" s="22" t="s">
        <v>121</v>
      </c>
      <c r="BF34" s="22" t="s">
        <v>121</v>
      </c>
      <c r="BG34" s="22" t="s">
        <v>121</v>
      </c>
      <c r="BH34" s="22" t="s">
        <v>121</v>
      </c>
      <c r="BI34" s="22" t="s">
        <v>121</v>
      </c>
      <c r="BJ34" s="22" t="s">
        <v>121</v>
      </c>
      <c r="BK34" s="22" t="s">
        <v>121</v>
      </c>
      <c r="BL34" s="22" t="s">
        <v>121</v>
      </c>
      <c r="BM34" s="25" t="s">
        <v>121</v>
      </c>
      <c r="BN34" s="25" t="s">
        <v>121</v>
      </c>
      <c r="BO34" s="25" t="s">
        <v>121</v>
      </c>
      <c r="BP34" s="25" t="s">
        <v>121</v>
      </c>
      <c r="BQ34" s="25" t="s">
        <v>121</v>
      </c>
      <c r="BR34" s="25" t="s">
        <v>121</v>
      </c>
      <c r="BS34" s="25" t="s">
        <v>121</v>
      </c>
      <c r="BT34" s="25" t="s">
        <v>121</v>
      </c>
      <c r="BU34" s="25" t="s">
        <v>121</v>
      </c>
      <c r="BV34" s="25" t="s">
        <v>121</v>
      </c>
      <c r="BW34" s="25" t="s">
        <v>121</v>
      </c>
      <c r="BX34" s="25" t="s">
        <v>121</v>
      </c>
      <c r="BY34" s="25" t="s">
        <v>121</v>
      </c>
      <c r="BZ34" s="25" t="s">
        <v>121</v>
      </c>
      <c r="CA34" s="25" t="s">
        <v>121</v>
      </c>
      <c r="CB34" s="25" t="s">
        <v>121</v>
      </c>
      <c r="CC34" s="25" t="s">
        <v>121</v>
      </c>
      <c r="CD34" s="25" t="s">
        <v>121</v>
      </c>
      <c r="CE34" s="25" t="s">
        <v>121</v>
      </c>
      <c r="CF34" s="25" t="s">
        <v>121</v>
      </c>
      <c r="CG34" s="25" t="s">
        <v>121</v>
      </c>
      <c r="CH34" s="25" t="s">
        <v>121</v>
      </c>
      <c r="CI34" s="25" t="s">
        <v>121</v>
      </c>
      <c r="CJ34" s="25" t="s">
        <v>121</v>
      </c>
      <c r="CK34" s="25" t="s">
        <v>121</v>
      </c>
      <c r="CL34" s="25" t="s">
        <v>121</v>
      </c>
      <c r="CM34" s="25" t="s">
        <v>121</v>
      </c>
      <c r="CN34" s="25" t="s">
        <v>121</v>
      </c>
      <c r="CO34" s="25" t="s">
        <v>121</v>
      </c>
      <c r="CP34" s="25" t="s">
        <v>121</v>
      </c>
      <c r="CQ34" s="25" t="s">
        <v>121</v>
      </c>
      <c r="CR34" s="25" t="s">
        <v>121</v>
      </c>
      <c r="CS34" s="25" t="s">
        <v>121</v>
      </c>
      <c r="CT34" s="25" t="s">
        <v>121</v>
      </c>
      <c r="CU34" s="25" t="s">
        <v>121</v>
      </c>
      <c r="CV34" s="25" t="s">
        <v>121</v>
      </c>
      <c r="CW34" s="25" t="s">
        <v>121</v>
      </c>
      <c r="CX34" s="25" t="s">
        <v>121</v>
      </c>
      <c r="CY34" s="25" t="s">
        <v>121</v>
      </c>
      <c r="CZ34" s="25" t="s">
        <v>121</v>
      </c>
      <c r="DA34" s="25" t="s">
        <v>121</v>
      </c>
      <c r="DB34" s="25" t="s">
        <v>121</v>
      </c>
      <c r="DC34" s="25" t="s">
        <v>121</v>
      </c>
      <c r="DD34" s="25" t="s">
        <v>121</v>
      </c>
      <c r="DE34" s="25" t="s">
        <v>121</v>
      </c>
      <c r="DF34" s="25" t="s">
        <v>121</v>
      </c>
      <c r="DG34" s="25" t="s">
        <v>121</v>
      </c>
      <c r="DH34" s="25" t="s">
        <v>121</v>
      </c>
      <c r="DI34" s="25" t="s">
        <v>121</v>
      </c>
      <c r="DJ34" s="25" t="s">
        <v>121</v>
      </c>
      <c r="DK34" s="25" t="s">
        <v>121</v>
      </c>
      <c r="DL34" s="25" t="s">
        <v>121</v>
      </c>
      <c r="DM34" s="25" t="s">
        <v>121</v>
      </c>
      <c r="DN34" s="25" t="s">
        <v>121</v>
      </c>
      <c r="DO34" s="25" t="s">
        <v>121</v>
      </c>
      <c r="DP34" s="25" t="s">
        <v>121</v>
      </c>
      <c r="DQ34" s="25" t="s">
        <v>121</v>
      </c>
      <c r="DR34" s="25" t="s">
        <v>121</v>
      </c>
      <c r="DS34" s="25" t="s">
        <v>121</v>
      </c>
      <c r="DT34" s="25" t="s">
        <v>121</v>
      </c>
      <c r="DU34" s="25" t="s">
        <v>121</v>
      </c>
      <c r="DV34" s="25" t="s">
        <v>121</v>
      </c>
      <c r="DW34" s="25" t="s">
        <v>121</v>
      </c>
      <c r="DX34" s="25" t="s">
        <v>121</v>
      </c>
      <c r="DY34" s="25" t="s">
        <v>121</v>
      </c>
      <c r="DZ34" s="25" t="s">
        <v>121</v>
      </c>
      <c r="EA34" s="25" t="s">
        <v>121</v>
      </c>
      <c r="EB34" s="25" t="s">
        <v>121</v>
      </c>
      <c r="EC34" s="25" t="s">
        <v>121</v>
      </c>
      <c r="ED34" s="25" t="s">
        <v>121</v>
      </c>
      <c r="EE34" s="25" t="s">
        <v>121</v>
      </c>
      <c r="EF34" s="25" t="s">
        <v>121</v>
      </c>
      <c r="EG34" s="25" t="s">
        <v>121</v>
      </c>
      <c r="EH34" s="25" t="s">
        <v>121</v>
      </c>
      <c r="EI34" s="25" t="s">
        <v>121</v>
      </c>
      <c r="EJ34" s="25" t="s">
        <v>121</v>
      </c>
      <c r="EK34" s="25" t="s">
        <v>121</v>
      </c>
      <c r="EL34" s="25" t="s">
        <v>121</v>
      </c>
      <c r="EM34" s="25" t="s">
        <v>121</v>
      </c>
      <c r="EN34" s="25" t="s">
        <v>121</v>
      </c>
      <c r="EO34" s="25" t="s">
        <v>121</v>
      </c>
      <c r="EP34" s="25" t="s">
        <v>121</v>
      </c>
      <c r="EQ34" s="25" t="s">
        <v>121</v>
      </c>
      <c r="ER34" s="25" t="s">
        <v>121</v>
      </c>
      <c r="ES34" s="25" t="s">
        <v>121</v>
      </c>
      <c r="ET34" s="25" t="s">
        <v>121</v>
      </c>
      <c r="EU34" s="25" t="s">
        <v>121</v>
      </c>
      <c r="EV34" s="25" t="s">
        <v>121</v>
      </c>
      <c r="EW34" s="25" t="s">
        <v>121</v>
      </c>
      <c r="EX34" s="25" t="s">
        <v>121</v>
      </c>
    </row>
    <row r="35" spans="1:154" s="25" customFormat="1" ht="15" customHeight="1" x14ac:dyDescent="0.25">
      <c r="A35" s="72">
        <v>35</v>
      </c>
      <c r="B35" s="375" t="s">
        <v>106</v>
      </c>
      <c r="C35" s="345"/>
      <c r="D35" s="275"/>
      <c r="E35" s="270"/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405"/>
      <c r="R35" s="405"/>
      <c r="S35" s="405"/>
      <c r="T35" s="405"/>
      <c r="U35" s="22" t="s">
        <v>121</v>
      </c>
      <c r="V35" s="22" t="s">
        <v>121</v>
      </c>
      <c r="W35" s="22" t="s">
        <v>121</v>
      </c>
      <c r="X35" s="22" t="s">
        <v>121</v>
      </c>
      <c r="Y35" s="22" t="s">
        <v>121</v>
      </c>
      <c r="Z35" s="22" t="s">
        <v>121</v>
      </c>
      <c r="AA35" s="22" t="s">
        <v>121</v>
      </c>
      <c r="AB35" s="22" t="s">
        <v>121</v>
      </c>
      <c r="AC35" s="22" t="s">
        <v>121</v>
      </c>
      <c r="AD35" s="22" t="s">
        <v>121</v>
      </c>
      <c r="AE35" s="22" t="s">
        <v>121</v>
      </c>
      <c r="AF35" s="22" t="s">
        <v>121</v>
      </c>
      <c r="AG35" s="22" t="s">
        <v>121</v>
      </c>
      <c r="AH35" s="22" t="s">
        <v>121</v>
      </c>
      <c r="AI35" s="22" t="s">
        <v>121</v>
      </c>
      <c r="AJ35" s="22" t="s">
        <v>121</v>
      </c>
      <c r="AK35" s="22" t="s">
        <v>121</v>
      </c>
      <c r="AL35" s="22" t="s">
        <v>121</v>
      </c>
      <c r="AM35" s="22" t="s">
        <v>121</v>
      </c>
      <c r="AN35" s="22" t="s">
        <v>121</v>
      </c>
      <c r="AO35" s="22" t="s">
        <v>121</v>
      </c>
      <c r="AP35" s="22" t="s">
        <v>121</v>
      </c>
      <c r="AQ35" s="22" t="s">
        <v>121</v>
      </c>
      <c r="AR35" s="22" t="s">
        <v>121</v>
      </c>
      <c r="AS35" s="22" t="s">
        <v>121</v>
      </c>
      <c r="AT35" s="22" t="s">
        <v>121</v>
      </c>
      <c r="AU35" s="22" t="s">
        <v>121</v>
      </c>
      <c r="AV35" s="22" t="s">
        <v>121</v>
      </c>
      <c r="AW35" s="22" t="s">
        <v>121</v>
      </c>
      <c r="AX35" s="22" t="s">
        <v>121</v>
      </c>
      <c r="AY35" s="22" t="s">
        <v>121</v>
      </c>
      <c r="AZ35" s="22" t="s">
        <v>121</v>
      </c>
      <c r="BA35" s="22" t="s">
        <v>121</v>
      </c>
      <c r="BB35" s="22" t="s">
        <v>121</v>
      </c>
      <c r="BC35" s="22" t="s">
        <v>121</v>
      </c>
      <c r="BD35" s="22" t="s">
        <v>121</v>
      </c>
      <c r="BE35" s="22" t="s">
        <v>121</v>
      </c>
      <c r="BF35" s="22" t="s">
        <v>121</v>
      </c>
      <c r="BG35" s="22" t="s">
        <v>121</v>
      </c>
      <c r="BH35" s="22">
        <v>1E-3</v>
      </c>
      <c r="BI35" s="22">
        <v>-7.0000000000000001E-3</v>
      </c>
      <c r="BJ35" s="22" t="s">
        <v>121</v>
      </c>
      <c r="BK35" s="22" t="s">
        <v>121</v>
      </c>
      <c r="BL35" s="22" t="s">
        <v>121</v>
      </c>
      <c r="BM35" s="25">
        <v>-67.343999999999994</v>
      </c>
      <c r="BN35" s="25">
        <v>5.2830000000000004</v>
      </c>
      <c r="BO35" s="25">
        <v>5.1050000000000004</v>
      </c>
      <c r="BP35" s="25" t="s">
        <v>121</v>
      </c>
      <c r="BQ35" s="25" t="s">
        <v>121</v>
      </c>
      <c r="BR35" s="25" t="s">
        <v>121</v>
      </c>
      <c r="BS35" s="25" t="s">
        <v>121</v>
      </c>
      <c r="BT35" s="25" t="s">
        <v>121</v>
      </c>
      <c r="BU35" s="25" t="s">
        <v>121</v>
      </c>
      <c r="BV35" s="25" t="s">
        <v>121</v>
      </c>
      <c r="BW35" s="25" t="s">
        <v>121</v>
      </c>
      <c r="BX35" s="25" t="s">
        <v>121</v>
      </c>
      <c r="BY35" s="25" t="s">
        <v>121</v>
      </c>
      <c r="BZ35" s="25" t="s">
        <v>121</v>
      </c>
      <c r="CA35" s="25" t="s">
        <v>121</v>
      </c>
      <c r="CB35" s="25" t="s">
        <v>121</v>
      </c>
      <c r="CC35" s="25" t="s">
        <v>121</v>
      </c>
      <c r="CD35" s="25" t="s">
        <v>121</v>
      </c>
      <c r="CE35" s="25" t="s">
        <v>121</v>
      </c>
      <c r="CF35" s="25" t="s">
        <v>121</v>
      </c>
      <c r="CG35" s="25" t="s">
        <v>121</v>
      </c>
      <c r="CH35" s="25" t="s">
        <v>121</v>
      </c>
      <c r="CI35" s="25" t="s">
        <v>121</v>
      </c>
      <c r="CJ35" s="25" t="s">
        <v>121</v>
      </c>
      <c r="CK35" s="25" t="s">
        <v>121</v>
      </c>
      <c r="CL35" s="25" t="s">
        <v>121</v>
      </c>
      <c r="CM35" s="25" t="s">
        <v>121</v>
      </c>
      <c r="CN35" s="25" t="s">
        <v>121</v>
      </c>
      <c r="CO35" s="25" t="s">
        <v>121</v>
      </c>
      <c r="CP35" s="25" t="s">
        <v>121</v>
      </c>
      <c r="CQ35" s="25" t="s">
        <v>121</v>
      </c>
      <c r="CR35" s="25" t="s">
        <v>121</v>
      </c>
      <c r="CS35" s="25" t="s">
        <v>121</v>
      </c>
      <c r="CT35" s="25" t="s">
        <v>121</v>
      </c>
      <c r="CU35" s="25" t="s">
        <v>121</v>
      </c>
      <c r="CV35" s="25" t="s">
        <v>121</v>
      </c>
      <c r="CW35" s="25" t="s">
        <v>121</v>
      </c>
      <c r="CX35" s="25" t="s">
        <v>121</v>
      </c>
      <c r="CY35" s="25" t="s">
        <v>121</v>
      </c>
      <c r="CZ35" s="25" t="s">
        <v>121</v>
      </c>
      <c r="DA35" s="25" t="s">
        <v>121</v>
      </c>
      <c r="DB35" s="25" t="s">
        <v>121</v>
      </c>
      <c r="DC35" s="25" t="s">
        <v>121</v>
      </c>
      <c r="DD35" s="25" t="s">
        <v>121</v>
      </c>
      <c r="DE35" s="25" t="s">
        <v>121</v>
      </c>
      <c r="DF35" s="25" t="s">
        <v>121</v>
      </c>
      <c r="DG35" s="25" t="s">
        <v>121</v>
      </c>
      <c r="DH35" s="25" t="s">
        <v>121</v>
      </c>
      <c r="DI35" s="25" t="s">
        <v>121</v>
      </c>
      <c r="DJ35" s="25" t="s">
        <v>121</v>
      </c>
      <c r="DK35" s="25" t="s">
        <v>121</v>
      </c>
      <c r="DL35" s="25" t="s">
        <v>121</v>
      </c>
      <c r="DM35" s="25" t="s">
        <v>121</v>
      </c>
      <c r="DN35" s="25" t="s">
        <v>121</v>
      </c>
      <c r="DO35" s="25" t="s">
        <v>121</v>
      </c>
      <c r="DP35" s="25" t="s">
        <v>121</v>
      </c>
      <c r="DQ35" s="25" t="s">
        <v>121</v>
      </c>
      <c r="DR35" s="25" t="s">
        <v>121</v>
      </c>
      <c r="DS35" s="25" t="s">
        <v>121</v>
      </c>
      <c r="DT35" s="25" t="s">
        <v>121</v>
      </c>
      <c r="DU35" s="25" t="s">
        <v>121</v>
      </c>
      <c r="DV35" s="25" t="s">
        <v>121</v>
      </c>
      <c r="DW35" s="25" t="s">
        <v>121</v>
      </c>
      <c r="DX35" s="25" t="s">
        <v>121</v>
      </c>
      <c r="DY35" s="25" t="s">
        <v>121</v>
      </c>
      <c r="DZ35" s="25" t="s">
        <v>121</v>
      </c>
      <c r="EA35" s="25" t="s">
        <v>121</v>
      </c>
      <c r="EB35" s="25" t="s">
        <v>121</v>
      </c>
      <c r="EC35" s="25" t="s">
        <v>121</v>
      </c>
      <c r="ED35" s="25" t="s">
        <v>121</v>
      </c>
      <c r="EE35" s="25" t="s">
        <v>121</v>
      </c>
      <c r="EF35" s="25" t="s">
        <v>121</v>
      </c>
      <c r="EG35" s="25" t="s">
        <v>121</v>
      </c>
      <c r="EH35" s="25" t="s">
        <v>121</v>
      </c>
      <c r="EI35" s="25" t="s">
        <v>121</v>
      </c>
      <c r="EJ35" s="25" t="s">
        <v>121</v>
      </c>
      <c r="EK35" s="25" t="s">
        <v>121</v>
      </c>
      <c r="EL35" s="25" t="s">
        <v>121</v>
      </c>
      <c r="EM35" s="25" t="s">
        <v>121</v>
      </c>
      <c r="EN35" s="25" t="s">
        <v>121</v>
      </c>
      <c r="EO35" s="25" t="s">
        <v>121</v>
      </c>
      <c r="EP35" s="25" t="s">
        <v>121</v>
      </c>
      <c r="EQ35" s="25" t="s">
        <v>121</v>
      </c>
      <c r="ER35" s="25" t="s">
        <v>121</v>
      </c>
      <c r="ES35" s="25" t="s">
        <v>121</v>
      </c>
      <c r="ET35" s="25" t="s">
        <v>121</v>
      </c>
      <c r="EU35" s="25" t="s">
        <v>121</v>
      </c>
      <c r="EV35" s="25" t="s">
        <v>121</v>
      </c>
      <c r="EW35" s="25" t="s">
        <v>121</v>
      </c>
      <c r="EX35" s="25" t="s">
        <v>121</v>
      </c>
    </row>
    <row r="36" spans="1:154" s="25" customFormat="1" ht="26.25" x14ac:dyDescent="0.25">
      <c r="A36" s="72">
        <v>36</v>
      </c>
      <c r="B36" s="375" t="s">
        <v>419</v>
      </c>
      <c r="C36" s="345" t="s">
        <v>121</v>
      </c>
      <c r="D36" s="275" t="s">
        <v>121</v>
      </c>
      <c r="E36" s="270" t="s">
        <v>121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405"/>
      <c r="R36" s="405"/>
      <c r="S36" s="405"/>
      <c r="T36" s="405"/>
      <c r="U36" s="22" t="s">
        <v>121</v>
      </c>
      <c r="V36" s="22" t="s">
        <v>121</v>
      </c>
      <c r="W36" s="22" t="s">
        <v>121</v>
      </c>
      <c r="X36" s="22" t="s">
        <v>121</v>
      </c>
      <c r="Y36" s="22" t="s">
        <v>121</v>
      </c>
      <c r="Z36" s="22" t="s">
        <v>121</v>
      </c>
      <c r="AA36" s="22" t="s">
        <v>121</v>
      </c>
      <c r="AB36" s="22" t="s">
        <v>121</v>
      </c>
      <c r="AC36" s="22" t="s">
        <v>121</v>
      </c>
      <c r="AD36" s="22" t="s">
        <v>121</v>
      </c>
      <c r="AE36" s="22" t="s">
        <v>121</v>
      </c>
      <c r="AF36" s="22" t="s">
        <v>121</v>
      </c>
      <c r="AG36" s="22" t="s">
        <v>121</v>
      </c>
      <c r="AH36" s="22" t="s">
        <v>121</v>
      </c>
      <c r="AI36" s="22" t="s">
        <v>121</v>
      </c>
      <c r="AJ36" s="22" t="s">
        <v>121</v>
      </c>
      <c r="AK36" s="22" t="s">
        <v>121</v>
      </c>
      <c r="AL36" s="22" t="s">
        <v>121</v>
      </c>
      <c r="AM36" s="22" t="s">
        <v>121</v>
      </c>
      <c r="AN36" s="22" t="s">
        <v>121</v>
      </c>
      <c r="AO36" s="22" t="s">
        <v>121</v>
      </c>
      <c r="AP36" s="22" t="s">
        <v>121</v>
      </c>
      <c r="AQ36" s="22" t="s">
        <v>121</v>
      </c>
      <c r="AR36" s="22" t="s">
        <v>121</v>
      </c>
      <c r="AS36" s="22" t="s">
        <v>121</v>
      </c>
      <c r="AT36" s="22" t="s">
        <v>121</v>
      </c>
      <c r="AU36" s="22" t="s">
        <v>121</v>
      </c>
      <c r="AV36" s="22" t="s">
        <v>121</v>
      </c>
      <c r="AW36" s="22" t="s">
        <v>121</v>
      </c>
      <c r="AX36" s="22" t="s">
        <v>121</v>
      </c>
      <c r="AY36" s="22" t="s">
        <v>121</v>
      </c>
      <c r="AZ36" s="22" t="s">
        <v>121</v>
      </c>
      <c r="BA36" s="22" t="s">
        <v>121</v>
      </c>
      <c r="BB36" s="22" t="s">
        <v>121</v>
      </c>
      <c r="BC36" s="22" t="s">
        <v>121</v>
      </c>
      <c r="BD36" s="22" t="s">
        <v>121</v>
      </c>
      <c r="BE36" s="22" t="s">
        <v>121</v>
      </c>
      <c r="BF36" s="22" t="s">
        <v>121</v>
      </c>
      <c r="BG36" s="22" t="s">
        <v>121</v>
      </c>
      <c r="BH36" s="22" t="s">
        <v>121</v>
      </c>
      <c r="BI36" s="22">
        <v>61.160999999999987</v>
      </c>
      <c r="BJ36" s="22">
        <v>5.8439999999999941</v>
      </c>
      <c r="BK36" s="22">
        <v>-2.9490000000000123</v>
      </c>
      <c r="BL36" s="22">
        <v>68.956999999999994</v>
      </c>
      <c r="BM36" s="25">
        <v>-525.06100000000004</v>
      </c>
      <c r="BN36" s="25" t="s">
        <v>121</v>
      </c>
      <c r="BO36" s="25" t="s">
        <v>121</v>
      </c>
      <c r="BP36" s="25">
        <v>5.1769999999999996</v>
      </c>
      <c r="BQ36" s="25" t="s">
        <v>121</v>
      </c>
      <c r="BR36" s="25" t="s">
        <v>121</v>
      </c>
      <c r="BS36" s="25" t="s">
        <v>121</v>
      </c>
      <c r="BT36" s="25" t="s">
        <v>121</v>
      </c>
      <c r="BU36" s="25" t="s">
        <v>121</v>
      </c>
      <c r="BV36" s="25" t="s">
        <v>121</v>
      </c>
      <c r="BW36" s="25" t="s">
        <v>121</v>
      </c>
      <c r="BX36" s="25" t="s">
        <v>121</v>
      </c>
      <c r="BY36" s="25" t="s">
        <v>121</v>
      </c>
      <c r="BZ36" s="25" t="s">
        <v>121</v>
      </c>
      <c r="CA36" s="25" t="s">
        <v>121</v>
      </c>
      <c r="CB36" s="25" t="s">
        <v>121</v>
      </c>
      <c r="CC36" s="25" t="s">
        <v>121</v>
      </c>
      <c r="CD36" s="25" t="s">
        <v>121</v>
      </c>
      <c r="CE36" s="25" t="s">
        <v>121</v>
      </c>
      <c r="CF36" s="25" t="s">
        <v>121</v>
      </c>
      <c r="CG36" s="25" t="s">
        <v>121</v>
      </c>
      <c r="CH36" s="25" t="s">
        <v>121</v>
      </c>
      <c r="CI36" s="25" t="s">
        <v>121</v>
      </c>
      <c r="CJ36" s="25" t="s">
        <v>121</v>
      </c>
      <c r="CK36" s="25" t="s">
        <v>121</v>
      </c>
      <c r="CL36" s="25" t="s">
        <v>121</v>
      </c>
      <c r="CM36" s="25" t="s">
        <v>121</v>
      </c>
      <c r="CN36" s="25" t="s">
        <v>121</v>
      </c>
      <c r="CO36" s="25" t="s">
        <v>121</v>
      </c>
      <c r="CP36" s="25" t="s">
        <v>121</v>
      </c>
      <c r="CQ36" s="25" t="s">
        <v>121</v>
      </c>
      <c r="CR36" s="25" t="s">
        <v>121</v>
      </c>
      <c r="CS36" s="25" t="s">
        <v>121</v>
      </c>
      <c r="CT36" s="25" t="s">
        <v>121</v>
      </c>
      <c r="CU36" s="25" t="s">
        <v>121</v>
      </c>
      <c r="CV36" s="25" t="s">
        <v>121</v>
      </c>
      <c r="CW36" s="25" t="s">
        <v>121</v>
      </c>
      <c r="CX36" s="25" t="s">
        <v>121</v>
      </c>
      <c r="CY36" s="25" t="s">
        <v>121</v>
      </c>
      <c r="CZ36" s="25" t="s">
        <v>121</v>
      </c>
      <c r="DA36" s="25" t="s">
        <v>121</v>
      </c>
      <c r="DB36" s="25" t="s">
        <v>121</v>
      </c>
      <c r="DC36" s="25" t="s">
        <v>121</v>
      </c>
      <c r="DD36" s="25" t="s">
        <v>121</v>
      </c>
      <c r="DE36" s="25" t="s">
        <v>121</v>
      </c>
      <c r="DF36" s="25" t="s">
        <v>121</v>
      </c>
      <c r="DG36" s="25" t="s">
        <v>121</v>
      </c>
      <c r="DH36" s="25" t="s">
        <v>121</v>
      </c>
      <c r="DI36" s="25" t="s">
        <v>121</v>
      </c>
      <c r="DJ36" s="25" t="s">
        <v>121</v>
      </c>
      <c r="DK36" s="25" t="s">
        <v>121</v>
      </c>
      <c r="DL36" s="25" t="s">
        <v>121</v>
      </c>
      <c r="DM36" s="25" t="s">
        <v>121</v>
      </c>
      <c r="DN36" s="25" t="s">
        <v>121</v>
      </c>
      <c r="DO36" s="25" t="s">
        <v>121</v>
      </c>
      <c r="DP36" s="25" t="s">
        <v>121</v>
      </c>
      <c r="DQ36" s="25" t="s">
        <v>121</v>
      </c>
      <c r="DR36" s="25" t="s">
        <v>121</v>
      </c>
      <c r="DS36" s="25" t="s">
        <v>121</v>
      </c>
      <c r="DT36" s="25" t="s">
        <v>121</v>
      </c>
      <c r="DU36" s="25" t="s">
        <v>121</v>
      </c>
      <c r="DV36" s="25" t="s">
        <v>121</v>
      </c>
      <c r="DW36" s="25" t="s">
        <v>121</v>
      </c>
      <c r="DX36" s="25" t="s">
        <v>121</v>
      </c>
      <c r="DY36" s="25" t="s">
        <v>121</v>
      </c>
      <c r="DZ36" s="25" t="s">
        <v>121</v>
      </c>
      <c r="EA36" s="25" t="s">
        <v>121</v>
      </c>
      <c r="EB36" s="25" t="s">
        <v>121</v>
      </c>
      <c r="EC36" s="25" t="s">
        <v>121</v>
      </c>
      <c r="ED36" s="25" t="s">
        <v>121</v>
      </c>
      <c r="EE36" s="25" t="s">
        <v>121</v>
      </c>
      <c r="EF36" s="25" t="s">
        <v>121</v>
      </c>
      <c r="EG36" s="25" t="s">
        <v>121</v>
      </c>
      <c r="EH36" s="25" t="s">
        <v>121</v>
      </c>
      <c r="EI36" s="25" t="s">
        <v>121</v>
      </c>
      <c r="EJ36" s="25" t="s">
        <v>121</v>
      </c>
      <c r="EK36" s="25" t="s">
        <v>121</v>
      </c>
      <c r="EL36" s="25" t="s">
        <v>121</v>
      </c>
      <c r="EM36" s="25" t="s">
        <v>121</v>
      </c>
      <c r="EN36" s="25" t="s">
        <v>121</v>
      </c>
      <c r="EO36" s="25" t="s">
        <v>121</v>
      </c>
      <c r="EP36" s="25" t="s">
        <v>121</v>
      </c>
      <c r="EQ36" s="25" t="s">
        <v>121</v>
      </c>
      <c r="ER36" s="25" t="s">
        <v>121</v>
      </c>
      <c r="ES36" s="25" t="s">
        <v>121</v>
      </c>
      <c r="ET36" s="25" t="s">
        <v>121</v>
      </c>
      <c r="EU36" s="25" t="s">
        <v>121</v>
      </c>
      <c r="EV36" s="25" t="s">
        <v>121</v>
      </c>
      <c r="EW36" s="25" t="s">
        <v>121</v>
      </c>
      <c r="EX36" s="25" t="s">
        <v>121</v>
      </c>
    </row>
    <row r="37" spans="1:154" s="25" customFormat="1" x14ac:dyDescent="0.25">
      <c r="A37" s="72">
        <v>37</v>
      </c>
      <c r="B37" s="305" t="s">
        <v>107</v>
      </c>
      <c r="C37" s="345"/>
      <c r="D37" s="275"/>
      <c r="E37" s="270"/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52</v>
      </c>
      <c r="O37" s="22">
        <v>88</v>
      </c>
      <c r="P37" s="22">
        <v>89</v>
      </c>
      <c r="Q37" s="405"/>
      <c r="R37" s="405"/>
      <c r="S37" s="405"/>
      <c r="T37" s="405"/>
      <c r="U37" s="22" t="s">
        <v>121</v>
      </c>
      <c r="V37" s="22" t="s">
        <v>121</v>
      </c>
      <c r="W37" s="22" t="s">
        <v>121</v>
      </c>
      <c r="X37" s="22" t="s">
        <v>121</v>
      </c>
      <c r="Y37" s="22">
        <v>336</v>
      </c>
      <c r="Z37" s="22">
        <v>355.10300000000001</v>
      </c>
      <c r="AA37" s="22">
        <v>355.10300000000001</v>
      </c>
      <c r="AB37" s="22">
        <v>350.95699999999999</v>
      </c>
      <c r="AC37" s="22" t="s">
        <v>121</v>
      </c>
      <c r="AD37" s="22" t="s">
        <v>121</v>
      </c>
      <c r="AE37" s="22" t="s">
        <v>121</v>
      </c>
      <c r="AF37" s="22" t="s">
        <v>121</v>
      </c>
      <c r="AG37" s="22" t="s">
        <v>121</v>
      </c>
      <c r="AH37" s="22" t="s">
        <v>121</v>
      </c>
      <c r="AI37" s="22" t="s">
        <v>121</v>
      </c>
      <c r="AJ37" s="22" t="s">
        <v>121</v>
      </c>
      <c r="AK37" s="22" t="s">
        <v>121</v>
      </c>
      <c r="AL37" s="22" t="s">
        <v>121</v>
      </c>
      <c r="AM37" s="22" t="s">
        <v>121</v>
      </c>
      <c r="AN37" s="22" t="s">
        <v>121</v>
      </c>
      <c r="AO37" s="22" t="s">
        <v>121</v>
      </c>
      <c r="AP37" s="22" t="s">
        <v>121</v>
      </c>
      <c r="AQ37" s="22" t="s">
        <v>121</v>
      </c>
      <c r="AR37" s="22" t="s">
        <v>121</v>
      </c>
      <c r="AS37" s="22" t="s">
        <v>121</v>
      </c>
      <c r="AT37" s="22" t="s">
        <v>121</v>
      </c>
      <c r="AU37" s="22" t="s">
        <v>121</v>
      </c>
      <c r="AV37" s="22" t="s">
        <v>121</v>
      </c>
      <c r="AW37" s="22">
        <v>488.58699999999999</v>
      </c>
      <c r="AX37" s="22">
        <v>488.58699999999999</v>
      </c>
      <c r="AY37" s="22">
        <v>488.58699999999999</v>
      </c>
      <c r="AZ37" s="22">
        <v>488.58699999999999</v>
      </c>
      <c r="BA37" s="22" t="s">
        <v>121</v>
      </c>
      <c r="BB37" s="22" t="s">
        <v>121</v>
      </c>
      <c r="BC37" s="22" t="s">
        <v>121</v>
      </c>
      <c r="BD37" s="22" t="s">
        <v>121</v>
      </c>
      <c r="BE37" s="22" t="s">
        <v>121</v>
      </c>
      <c r="BF37" s="22" t="s">
        <v>121</v>
      </c>
      <c r="BG37" s="22" t="s">
        <v>121</v>
      </c>
      <c r="BH37" s="22" t="s">
        <v>121</v>
      </c>
      <c r="BI37" s="22" t="s">
        <v>121</v>
      </c>
      <c r="BJ37" s="22" t="s">
        <v>121</v>
      </c>
      <c r="BK37" s="22" t="s">
        <v>121</v>
      </c>
      <c r="BL37" s="22" t="s">
        <v>121</v>
      </c>
      <c r="BM37" s="25" t="s">
        <v>121</v>
      </c>
      <c r="BN37" s="25" t="s">
        <v>121</v>
      </c>
      <c r="BO37" s="25" t="s">
        <v>121</v>
      </c>
      <c r="BP37" s="25" t="s">
        <v>121</v>
      </c>
      <c r="BQ37" s="25" t="s">
        <v>121</v>
      </c>
      <c r="BR37" s="25" t="s">
        <v>121</v>
      </c>
      <c r="BS37" s="25" t="s">
        <v>121</v>
      </c>
      <c r="BT37" s="25" t="s">
        <v>121</v>
      </c>
      <c r="BU37" s="25" t="s">
        <v>121</v>
      </c>
      <c r="BV37" s="25" t="s">
        <v>121</v>
      </c>
      <c r="BW37" s="25" t="s">
        <v>121</v>
      </c>
      <c r="BX37" s="25" t="s">
        <v>121</v>
      </c>
      <c r="BY37" s="25" t="s">
        <v>121</v>
      </c>
      <c r="BZ37" s="25" t="s">
        <v>121</v>
      </c>
      <c r="CA37" s="25" t="s">
        <v>121</v>
      </c>
      <c r="CB37" s="25" t="s">
        <v>121</v>
      </c>
      <c r="CC37" s="25" t="s">
        <v>121</v>
      </c>
      <c r="CD37" s="25" t="s">
        <v>121</v>
      </c>
      <c r="CE37" s="25" t="s">
        <v>121</v>
      </c>
      <c r="CF37" s="25" t="s">
        <v>121</v>
      </c>
      <c r="CG37" s="25" t="s">
        <v>121</v>
      </c>
      <c r="CH37" s="25" t="s">
        <v>121</v>
      </c>
      <c r="CI37" s="25" t="s">
        <v>121</v>
      </c>
      <c r="CJ37" s="25" t="s">
        <v>121</v>
      </c>
      <c r="CK37" s="25" t="s">
        <v>121</v>
      </c>
      <c r="CL37" s="25" t="s">
        <v>121</v>
      </c>
      <c r="CM37" s="25" t="s">
        <v>121</v>
      </c>
      <c r="CN37" s="25" t="s">
        <v>121</v>
      </c>
      <c r="CO37" s="25" t="s">
        <v>121</v>
      </c>
      <c r="CP37" s="25" t="s">
        <v>121</v>
      </c>
      <c r="CQ37" s="25" t="s">
        <v>121</v>
      </c>
      <c r="CR37" s="25" t="s">
        <v>121</v>
      </c>
      <c r="CS37" s="25" t="s">
        <v>121</v>
      </c>
      <c r="CT37" s="25" t="s">
        <v>121</v>
      </c>
      <c r="CU37" s="25" t="s">
        <v>121</v>
      </c>
      <c r="CV37" s="25" t="s">
        <v>121</v>
      </c>
      <c r="CW37" s="25" t="s">
        <v>121</v>
      </c>
      <c r="CX37" s="25" t="s">
        <v>121</v>
      </c>
      <c r="CY37" s="25" t="s">
        <v>121</v>
      </c>
      <c r="CZ37" s="25" t="s">
        <v>121</v>
      </c>
      <c r="DA37" s="25" t="s">
        <v>121</v>
      </c>
      <c r="DB37" s="25" t="s">
        <v>121</v>
      </c>
      <c r="DC37" s="25" t="s">
        <v>121</v>
      </c>
      <c r="DD37" s="25" t="s">
        <v>121</v>
      </c>
      <c r="DE37" s="25" t="s">
        <v>121</v>
      </c>
      <c r="DF37" s="25" t="s">
        <v>121</v>
      </c>
      <c r="DG37" s="25" t="s">
        <v>121</v>
      </c>
      <c r="DH37" s="25" t="s">
        <v>121</v>
      </c>
      <c r="DI37" s="25" t="s">
        <v>121</v>
      </c>
      <c r="DJ37" s="25" t="s">
        <v>121</v>
      </c>
      <c r="DK37" s="25" t="s">
        <v>121</v>
      </c>
      <c r="DL37" s="25" t="s">
        <v>121</v>
      </c>
      <c r="DM37" s="25" t="s">
        <v>121</v>
      </c>
      <c r="DN37" s="25" t="s">
        <v>121</v>
      </c>
      <c r="DO37" s="25" t="s">
        <v>121</v>
      </c>
      <c r="DP37" s="25" t="s">
        <v>121</v>
      </c>
      <c r="DQ37" s="25" t="s">
        <v>121</v>
      </c>
      <c r="DR37" s="25" t="s">
        <v>121</v>
      </c>
      <c r="DS37" s="25" t="s">
        <v>121</v>
      </c>
      <c r="DT37" s="25" t="s">
        <v>121</v>
      </c>
      <c r="DU37" s="25" t="s">
        <v>121</v>
      </c>
      <c r="DV37" s="25" t="s">
        <v>121</v>
      </c>
      <c r="DW37" s="25" t="s">
        <v>121</v>
      </c>
      <c r="DX37" s="25" t="s">
        <v>121</v>
      </c>
      <c r="DY37" s="25" t="s">
        <v>121</v>
      </c>
      <c r="DZ37" s="25" t="s">
        <v>121</v>
      </c>
      <c r="EA37" s="25" t="s">
        <v>121</v>
      </c>
      <c r="EB37" s="25" t="s">
        <v>121</v>
      </c>
      <c r="EC37" s="25" t="s">
        <v>121</v>
      </c>
      <c r="ED37" s="25" t="s">
        <v>121</v>
      </c>
      <c r="EE37" s="25" t="s">
        <v>121</v>
      </c>
      <c r="EF37" s="25" t="s">
        <v>121</v>
      </c>
      <c r="EG37" s="25" t="s">
        <v>121</v>
      </c>
      <c r="EH37" s="25" t="s">
        <v>121</v>
      </c>
      <c r="EI37" s="25" t="s">
        <v>121</v>
      </c>
      <c r="EJ37" s="25" t="s">
        <v>121</v>
      </c>
      <c r="EK37" s="25" t="s">
        <v>121</v>
      </c>
      <c r="EL37" s="25" t="s">
        <v>121</v>
      </c>
      <c r="EM37" s="25" t="s">
        <v>121</v>
      </c>
      <c r="EN37" s="25" t="s">
        <v>121</v>
      </c>
      <c r="EO37" s="25" t="s">
        <v>121</v>
      </c>
      <c r="EP37" s="25" t="s">
        <v>121</v>
      </c>
      <c r="EQ37" s="25" t="s">
        <v>121</v>
      </c>
      <c r="ER37" s="25" t="s">
        <v>121</v>
      </c>
      <c r="ES37" s="25" t="s">
        <v>121</v>
      </c>
      <c r="ET37" s="25" t="s">
        <v>121</v>
      </c>
      <c r="EU37" s="25" t="s">
        <v>121</v>
      </c>
      <c r="EV37" s="25" t="s">
        <v>121</v>
      </c>
      <c r="EW37" s="25" t="s">
        <v>121</v>
      </c>
      <c r="EX37" s="25" t="s">
        <v>121</v>
      </c>
    </row>
    <row r="38" spans="1:154" s="25" customFormat="1" ht="26.25" x14ac:dyDescent="0.25">
      <c r="A38" s="72">
        <v>38</v>
      </c>
      <c r="B38" s="305" t="s">
        <v>420</v>
      </c>
      <c r="C38" s="345" t="s">
        <v>121</v>
      </c>
      <c r="D38" s="275" t="s">
        <v>121</v>
      </c>
      <c r="E38" s="270" t="s">
        <v>121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405"/>
      <c r="R38" s="405"/>
      <c r="S38" s="405"/>
      <c r="T38" s="405"/>
      <c r="U38" s="22" t="s">
        <v>121</v>
      </c>
      <c r="V38" s="22" t="s">
        <v>121</v>
      </c>
      <c r="W38" s="22" t="s">
        <v>121</v>
      </c>
      <c r="X38" s="22" t="s">
        <v>121</v>
      </c>
      <c r="Y38" s="22">
        <v>810</v>
      </c>
      <c r="Z38" s="22">
        <v>809.697</v>
      </c>
      <c r="AA38" s="22">
        <v>420.2</v>
      </c>
      <c r="AB38" s="22">
        <v>81.745999999999995</v>
      </c>
      <c r="AC38" s="22" t="s">
        <v>121</v>
      </c>
      <c r="AD38" s="22" t="s">
        <v>121</v>
      </c>
      <c r="AE38" s="22" t="s">
        <v>121</v>
      </c>
      <c r="AF38" s="22" t="s">
        <v>121</v>
      </c>
      <c r="AG38" s="22" t="s">
        <v>121</v>
      </c>
      <c r="AH38" s="22" t="s">
        <v>121</v>
      </c>
      <c r="AI38" s="22" t="s">
        <v>121</v>
      </c>
      <c r="AJ38" s="22" t="s">
        <v>121</v>
      </c>
      <c r="AK38" s="22" t="s">
        <v>121</v>
      </c>
      <c r="AL38" s="22" t="s">
        <v>121</v>
      </c>
      <c r="AM38" s="22" t="s">
        <v>121</v>
      </c>
      <c r="AN38" s="22" t="s">
        <v>121</v>
      </c>
      <c r="AO38" s="22" t="s">
        <v>121</v>
      </c>
      <c r="AP38" s="22" t="s">
        <v>121</v>
      </c>
      <c r="AQ38" s="22" t="s">
        <v>121</v>
      </c>
      <c r="AR38" s="22" t="s">
        <v>121</v>
      </c>
      <c r="AS38" s="22" t="s">
        <v>121</v>
      </c>
      <c r="AT38" s="22" t="s">
        <v>121</v>
      </c>
      <c r="AU38" s="22" t="s">
        <v>121</v>
      </c>
      <c r="AV38" s="22" t="s">
        <v>121</v>
      </c>
      <c r="AW38" s="22" t="s">
        <v>121</v>
      </c>
      <c r="AX38" s="22" t="s">
        <v>121</v>
      </c>
      <c r="AY38" s="22" t="s">
        <v>121</v>
      </c>
      <c r="AZ38" s="22" t="s">
        <v>121</v>
      </c>
      <c r="BA38" s="22" t="s">
        <v>121</v>
      </c>
      <c r="BB38" s="22" t="s">
        <v>121</v>
      </c>
      <c r="BC38" s="22" t="s">
        <v>121</v>
      </c>
      <c r="BD38" s="22" t="s">
        <v>121</v>
      </c>
      <c r="BE38" s="22" t="s">
        <v>121</v>
      </c>
      <c r="BF38" s="22" t="s">
        <v>121</v>
      </c>
      <c r="BG38" s="22" t="s">
        <v>121</v>
      </c>
      <c r="BH38" s="22" t="s">
        <v>121</v>
      </c>
      <c r="BI38" s="22" t="s">
        <v>121</v>
      </c>
      <c r="BJ38" s="22" t="s">
        <v>121</v>
      </c>
      <c r="BK38" s="22" t="s">
        <v>121</v>
      </c>
      <c r="BL38" s="22" t="s">
        <v>121</v>
      </c>
      <c r="BM38" s="25" t="s">
        <v>121</v>
      </c>
      <c r="BN38" s="25" t="s">
        <v>121</v>
      </c>
      <c r="BO38" s="25" t="s">
        <v>121</v>
      </c>
      <c r="BP38" s="25" t="s">
        <v>121</v>
      </c>
      <c r="BQ38" s="25" t="s">
        <v>121</v>
      </c>
      <c r="BR38" s="25" t="s">
        <v>121</v>
      </c>
      <c r="BS38" s="25" t="s">
        <v>121</v>
      </c>
      <c r="BT38" s="25" t="s">
        <v>121</v>
      </c>
      <c r="BU38" s="25" t="s">
        <v>121</v>
      </c>
      <c r="BV38" s="25" t="s">
        <v>121</v>
      </c>
      <c r="BW38" s="25" t="s">
        <v>121</v>
      </c>
      <c r="BX38" s="25" t="s">
        <v>121</v>
      </c>
      <c r="BY38" s="25" t="s">
        <v>121</v>
      </c>
      <c r="BZ38" s="25" t="s">
        <v>121</v>
      </c>
      <c r="CA38" s="25" t="s">
        <v>121</v>
      </c>
      <c r="CB38" s="25" t="s">
        <v>121</v>
      </c>
      <c r="CC38" s="25" t="s">
        <v>121</v>
      </c>
      <c r="CD38" s="25" t="s">
        <v>121</v>
      </c>
      <c r="CE38" s="25" t="s">
        <v>121</v>
      </c>
      <c r="CF38" s="25" t="s">
        <v>121</v>
      </c>
      <c r="CG38" s="25" t="s">
        <v>121</v>
      </c>
      <c r="CH38" s="25" t="s">
        <v>121</v>
      </c>
      <c r="CI38" s="25" t="s">
        <v>121</v>
      </c>
      <c r="CJ38" s="25" t="s">
        <v>121</v>
      </c>
      <c r="CK38" s="25" t="s">
        <v>121</v>
      </c>
      <c r="CL38" s="25" t="s">
        <v>121</v>
      </c>
      <c r="CM38" s="25" t="s">
        <v>121</v>
      </c>
      <c r="CN38" s="25" t="s">
        <v>121</v>
      </c>
      <c r="CO38" s="25" t="s">
        <v>121</v>
      </c>
      <c r="CP38" s="25" t="s">
        <v>121</v>
      </c>
      <c r="CQ38" s="25" t="s">
        <v>121</v>
      </c>
      <c r="CR38" s="25" t="s">
        <v>121</v>
      </c>
      <c r="CS38" s="25" t="s">
        <v>121</v>
      </c>
      <c r="CT38" s="25" t="s">
        <v>121</v>
      </c>
      <c r="CU38" s="25" t="s">
        <v>121</v>
      </c>
      <c r="CV38" s="25" t="s">
        <v>121</v>
      </c>
      <c r="CW38" s="25" t="s">
        <v>121</v>
      </c>
      <c r="CX38" s="25" t="s">
        <v>121</v>
      </c>
      <c r="CY38" s="25" t="s">
        <v>121</v>
      </c>
      <c r="CZ38" s="25" t="s">
        <v>121</v>
      </c>
      <c r="DA38" s="25" t="s">
        <v>121</v>
      </c>
      <c r="DB38" s="25" t="s">
        <v>121</v>
      </c>
      <c r="DC38" s="25" t="s">
        <v>121</v>
      </c>
      <c r="DD38" s="25" t="s">
        <v>121</v>
      </c>
      <c r="DE38" s="25" t="s">
        <v>121</v>
      </c>
      <c r="DF38" s="25" t="s">
        <v>121</v>
      </c>
      <c r="DG38" s="25" t="s">
        <v>121</v>
      </c>
      <c r="DH38" s="25" t="s">
        <v>121</v>
      </c>
      <c r="DI38" s="25" t="s">
        <v>121</v>
      </c>
      <c r="DJ38" s="25" t="s">
        <v>121</v>
      </c>
      <c r="DK38" s="25" t="s">
        <v>121</v>
      </c>
      <c r="DL38" s="25" t="s">
        <v>121</v>
      </c>
      <c r="DM38" s="25" t="s">
        <v>121</v>
      </c>
      <c r="DN38" s="25" t="s">
        <v>121</v>
      </c>
      <c r="DO38" s="25" t="s">
        <v>121</v>
      </c>
      <c r="DP38" s="25" t="s">
        <v>121</v>
      </c>
      <c r="DQ38" s="25" t="s">
        <v>121</v>
      </c>
      <c r="DR38" s="25" t="s">
        <v>121</v>
      </c>
      <c r="DS38" s="25" t="s">
        <v>121</v>
      </c>
      <c r="DT38" s="25" t="s">
        <v>121</v>
      </c>
      <c r="DU38" s="25" t="s">
        <v>121</v>
      </c>
      <c r="DV38" s="25" t="s">
        <v>121</v>
      </c>
      <c r="DW38" s="25" t="s">
        <v>121</v>
      </c>
      <c r="DX38" s="25" t="s">
        <v>121</v>
      </c>
      <c r="DY38" s="25" t="s">
        <v>121</v>
      </c>
      <c r="DZ38" s="25" t="s">
        <v>121</v>
      </c>
      <c r="EA38" s="25" t="s">
        <v>121</v>
      </c>
      <c r="EB38" s="25" t="s">
        <v>121</v>
      </c>
      <c r="EC38" s="25" t="s">
        <v>121</v>
      </c>
      <c r="ED38" s="25" t="s">
        <v>121</v>
      </c>
      <c r="EE38" s="25" t="s">
        <v>121</v>
      </c>
      <c r="EF38" s="25" t="s">
        <v>121</v>
      </c>
      <c r="EG38" s="25" t="s">
        <v>121</v>
      </c>
      <c r="EH38" s="25" t="s">
        <v>121</v>
      </c>
      <c r="EI38" s="25" t="s">
        <v>121</v>
      </c>
      <c r="EJ38" s="25" t="s">
        <v>121</v>
      </c>
      <c r="EK38" s="25" t="s">
        <v>121</v>
      </c>
      <c r="EL38" s="25" t="s">
        <v>121</v>
      </c>
      <c r="EM38" s="25" t="s">
        <v>121</v>
      </c>
      <c r="EN38" s="25" t="s">
        <v>121</v>
      </c>
      <c r="EO38" s="25" t="s">
        <v>121</v>
      </c>
      <c r="EP38" s="25" t="s">
        <v>121</v>
      </c>
      <c r="EQ38" s="25" t="s">
        <v>121</v>
      </c>
      <c r="ER38" s="25" t="s">
        <v>121</v>
      </c>
      <c r="ES38" s="25" t="s">
        <v>121</v>
      </c>
      <c r="ET38" s="25" t="s">
        <v>121</v>
      </c>
      <c r="EU38" s="25" t="s">
        <v>121</v>
      </c>
      <c r="EV38" s="25" t="s">
        <v>121</v>
      </c>
      <c r="EW38" s="25" t="s">
        <v>121</v>
      </c>
      <c r="EX38" s="25" t="s">
        <v>121</v>
      </c>
    </row>
    <row r="39" spans="1:154" s="25" customFormat="1" x14ac:dyDescent="0.25">
      <c r="A39" s="72">
        <v>39</v>
      </c>
      <c r="B39" s="305" t="s">
        <v>69</v>
      </c>
      <c r="C39" s="345"/>
      <c r="D39" s="275"/>
      <c r="E39" s="270"/>
      <c r="F39" s="22">
        <v>1193</v>
      </c>
      <c r="G39" s="22">
        <v>601</v>
      </c>
      <c r="H39" s="22">
        <v>379</v>
      </c>
      <c r="I39" s="22">
        <v>1307</v>
      </c>
      <c r="J39" s="22">
        <v>876</v>
      </c>
      <c r="K39" s="22">
        <v>549</v>
      </c>
      <c r="L39" s="22">
        <v>246</v>
      </c>
      <c r="M39" s="22">
        <v>997</v>
      </c>
      <c r="N39" s="22">
        <v>632</v>
      </c>
      <c r="O39" s="22">
        <v>390</v>
      </c>
      <c r="P39" s="22">
        <v>153</v>
      </c>
      <c r="Q39" s="405"/>
      <c r="R39" s="405"/>
      <c r="S39" s="405"/>
      <c r="T39" s="405"/>
      <c r="U39" s="22">
        <v>2096</v>
      </c>
      <c r="V39" s="22">
        <v>1018</v>
      </c>
      <c r="W39" s="22">
        <v>675</v>
      </c>
      <c r="X39" s="22">
        <v>285</v>
      </c>
      <c r="Y39" s="22">
        <v>1489</v>
      </c>
      <c r="Z39" s="22">
        <v>1242.998</v>
      </c>
      <c r="AA39" s="22">
        <v>569.803</v>
      </c>
      <c r="AB39" s="22">
        <v>334.38099999999997</v>
      </c>
      <c r="AC39" s="22">
        <v>1522.751</v>
      </c>
      <c r="AD39" s="22">
        <v>1106.559</v>
      </c>
      <c r="AE39" s="22">
        <v>798.88799999999992</v>
      </c>
      <c r="AF39" s="22">
        <v>480.87799999999999</v>
      </c>
      <c r="AG39" s="22">
        <v>1685.508</v>
      </c>
      <c r="AH39" s="22">
        <v>1235.7604999999999</v>
      </c>
      <c r="AI39" s="22">
        <v>895.31600000000003</v>
      </c>
      <c r="AJ39" s="22">
        <v>466.79449999999997</v>
      </c>
      <c r="AK39" s="22">
        <v>979.66999999999985</v>
      </c>
      <c r="AL39" s="22">
        <v>804.87599999999998</v>
      </c>
      <c r="AM39" s="22">
        <v>450.072</v>
      </c>
      <c r="AN39" s="22">
        <v>107.61799999999999</v>
      </c>
      <c r="AO39" s="22">
        <v>335.46100000000001</v>
      </c>
      <c r="AP39" s="22">
        <v>217.82100000000003</v>
      </c>
      <c r="AQ39" s="22">
        <v>155.33099999999999</v>
      </c>
      <c r="AR39" s="22">
        <v>79.42</v>
      </c>
      <c r="AS39" s="22">
        <v>317.43799999999999</v>
      </c>
      <c r="AT39" s="22">
        <v>248.334</v>
      </c>
      <c r="AU39" s="22">
        <v>164.74</v>
      </c>
      <c r="AV39" s="22">
        <v>78.215999999999994</v>
      </c>
      <c r="AW39" s="22">
        <v>440.57500000000005</v>
      </c>
      <c r="AX39" s="22">
        <v>302.21800000000002</v>
      </c>
      <c r="AY39" s="22">
        <v>155.31299999999999</v>
      </c>
      <c r="AZ39" s="22">
        <v>95.206000000000003</v>
      </c>
      <c r="BA39" s="22">
        <v>73.935999999999993</v>
      </c>
      <c r="BB39" s="22">
        <v>11.371999999999993</v>
      </c>
      <c r="BC39" s="22">
        <v>120.125</v>
      </c>
      <c r="BD39" s="22">
        <v>54.93</v>
      </c>
      <c r="BE39" s="22">
        <v>-57.436999999999991</v>
      </c>
      <c r="BF39" s="22">
        <v>11.21</v>
      </c>
      <c r="BG39" s="22">
        <v>-35.022999999999996</v>
      </c>
      <c r="BH39" s="22">
        <v>-54.104999999999997</v>
      </c>
      <c r="BI39" s="22">
        <v>495.96000000000004</v>
      </c>
      <c r="BJ39" s="22">
        <v>883.86300000000006</v>
      </c>
      <c r="BK39" s="22">
        <v>179.322</v>
      </c>
      <c r="BL39" s="22">
        <v>45.975999999999999</v>
      </c>
      <c r="BM39" s="25">
        <v>107.29600000000001</v>
      </c>
      <c r="BN39" s="25">
        <v>99.841000000000008</v>
      </c>
      <c r="BO39" s="25">
        <v>90.682000000000002</v>
      </c>
      <c r="BP39" s="25">
        <v>12.166</v>
      </c>
      <c r="BQ39" s="25" t="s">
        <v>121</v>
      </c>
      <c r="BR39" s="25" t="s">
        <v>121</v>
      </c>
      <c r="BS39" s="25" t="s">
        <v>121</v>
      </c>
      <c r="BT39" s="25" t="s">
        <v>121</v>
      </c>
      <c r="BU39" s="25" t="s">
        <v>121</v>
      </c>
      <c r="BV39" s="25" t="s">
        <v>121</v>
      </c>
      <c r="BW39" s="25" t="s">
        <v>121</v>
      </c>
      <c r="BX39" s="25" t="s">
        <v>121</v>
      </c>
      <c r="BY39" s="25" t="s">
        <v>121</v>
      </c>
      <c r="BZ39" s="25" t="s">
        <v>121</v>
      </c>
      <c r="CA39" s="25" t="s">
        <v>121</v>
      </c>
      <c r="CB39" s="25" t="s">
        <v>121</v>
      </c>
      <c r="CC39" s="25" t="s">
        <v>121</v>
      </c>
      <c r="CD39" s="25" t="s">
        <v>121</v>
      </c>
      <c r="CE39" s="25" t="s">
        <v>121</v>
      </c>
      <c r="CF39" s="25" t="s">
        <v>121</v>
      </c>
      <c r="CG39" s="25" t="s">
        <v>121</v>
      </c>
      <c r="CH39" s="25" t="s">
        <v>121</v>
      </c>
      <c r="CI39" s="25" t="s">
        <v>121</v>
      </c>
      <c r="CJ39" s="25" t="s">
        <v>121</v>
      </c>
      <c r="CK39" s="25" t="s">
        <v>121</v>
      </c>
      <c r="CL39" s="25" t="s">
        <v>121</v>
      </c>
      <c r="CM39" s="25" t="s">
        <v>121</v>
      </c>
      <c r="CN39" s="25" t="s">
        <v>121</v>
      </c>
      <c r="CO39" s="25" t="s">
        <v>121</v>
      </c>
      <c r="CP39" s="25" t="s">
        <v>121</v>
      </c>
      <c r="CQ39" s="25" t="s">
        <v>121</v>
      </c>
      <c r="CR39" s="25" t="s">
        <v>121</v>
      </c>
      <c r="CS39" s="25" t="s">
        <v>121</v>
      </c>
      <c r="CT39" s="25" t="s">
        <v>121</v>
      </c>
      <c r="CU39" s="25" t="s">
        <v>121</v>
      </c>
      <c r="CV39" s="25" t="s">
        <v>121</v>
      </c>
      <c r="CW39" s="25" t="s">
        <v>121</v>
      </c>
      <c r="CX39" s="25" t="s">
        <v>121</v>
      </c>
      <c r="CY39" s="25" t="s">
        <v>121</v>
      </c>
      <c r="CZ39" s="25" t="s">
        <v>121</v>
      </c>
      <c r="DA39" s="25" t="s">
        <v>121</v>
      </c>
      <c r="DB39" s="25" t="s">
        <v>121</v>
      </c>
      <c r="DC39" s="25" t="s">
        <v>121</v>
      </c>
      <c r="DD39" s="25" t="s">
        <v>121</v>
      </c>
      <c r="DE39" s="25" t="s">
        <v>121</v>
      </c>
      <c r="DF39" s="25" t="s">
        <v>121</v>
      </c>
      <c r="DG39" s="25" t="s">
        <v>121</v>
      </c>
      <c r="DH39" s="25" t="s">
        <v>121</v>
      </c>
      <c r="DI39" s="25" t="s">
        <v>121</v>
      </c>
      <c r="DJ39" s="25" t="s">
        <v>121</v>
      </c>
      <c r="DK39" s="25" t="s">
        <v>121</v>
      </c>
      <c r="DL39" s="25" t="s">
        <v>121</v>
      </c>
      <c r="DM39" s="25" t="s">
        <v>121</v>
      </c>
      <c r="DN39" s="25" t="s">
        <v>121</v>
      </c>
      <c r="DO39" s="25" t="s">
        <v>121</v>
      </c>
      <c r="DP39" s="25" t="s">
        <v>121</v>
      </c>
      <c r="DQ39" s="25" t="s">
        <v>121</v>
      </c>
      <c r="DR39" s="25" t="s">
        <v>121</v>
      </c>
      <c r="DS39" s="25" t="s">
        <v>121</v>
      </c>
      <c r="DT39" s="25" t="s">
        <v>121</v>
      </c>
      <c r="DU39" s="25" t="s">
        <v>121</v>
      </c>
      <c r="DV39" s="25" t="s">
        <v>121</v>
      </c>
      <c r="DW39" s="25" t="s">
        <v>121</v>
      </c>
      <c r="DX39" s="25" t="s">
        <v>121</v>
      </c>
      <c r="DY39" s="25" t="s">
        <v>121</v>
      </c>
      <c r="DZ39" s="25" t="s">
        <v>121</v>
      </c>
      <c r="EA39" s="25" t="s">
        <v>121</v>
      </c>
      <c r="EB39" s="25" t="s">
        <v>121</v>
      </c>
      <c r="EC39" s="25" t="s">
        <v>121</v>
      </c>
      <c r="ED39" s="25" t="s">
        <v>121</v>
      </c>
      <c r="EE39" s="25" t="s">
        <v>121</v>
      </c>
      <c r="EF39" s="25" t="s">
        <v>121</v>
      </c>
      <c r="EG39" s="25" t="s">
        <v>121</v>
      </c>
      <c r="EH39" s="25" t="s">
        <v>121</v>
      </c>
      <c r="EI39" s="25" t="s">
        <v>121</v>
      </c>
      <c r="EJ39" s="25" t="s">
        <v>121</v>
      </c>
      <c r="EK39" s="25" t="s">
        <v>121</v>
      </c>
      <c r="EL39" s="25" t="s">
        <v>121</v>
      </c>
      <c r="EM39" s="25" t="s">
        <v>121</v>
      </c>
      <c r="EN39" s="25" t="s">
        <v>121</v>
      </c>
      <c r="EO39" s="25" t="s">
        <v>121</v>
      </c>
      <c r="EP39" s="25" t="s">
        <v>121</v>
      </c>
      <c r="EQ39" s="25" t="s">
        <v>121</v>
      </c>
      <c r="ER39" s="25" t="s">
        <v>121</v>
      </c>
      <c r="ES39" s="25" t="s">
        <v>121</v>
      </c>
      <c r="ET39" s="25" t="s">
        <v>121</v>
      </c>
      <c r="EU39" s="25" t="s">
        <v>121</v>
      </c>
      <c r="EV39" s="25" t="s">
        <v>121</v>
      </c>
      <c r="EW39" s="25" t="s">
        <v>121</v>
      </c>
      <c r="EX39" s="25" t="s">
        <v>121</v>
      </c>
    </row>
    <row r="40" spans="1:154" s="66" customFormat="1" ht="15" customHeight="1" x14ac:dyDescent="0.25">
      <c r="A40" s="72">
        <v>40</v>
      </c>
      <c r="B40" s="64" t="s">
        <v>421</v>
      </c>
      <c r="C40" s="91" t="s">
        <v>121</v>
      </c>
      <c r="D40" s="86" t="s">
        <v>121</v>
      </c>
      <c r="E40" s="94">
        <v>-1.4927457521917931E-2</v>
      </c>
      <c r="F40" s="65">
        <v>63483</v>
      </c>
      <c r="G40" s="65">
        <v>44730</v>
      </c>
      <c r="H40" s="65">
        <v>26171</v>
      </c>
      <c r="I40" s="65">
        <v>88651</v>
      </c>
      <c r="J40" s="65">
        <v>64445</v>
      </c>
      <c r="K40" s="65">
        <v>41476</v>
      </c>
      <c r="L40" s="65">
        <v>22065</v>
      </c>
      <c r="M40" s="65">
        <v>84829</v>
      </c>
      <c r="N40" s="65">
        <v>64394</v>
      </c>
      <c r="O40" s="65">
        <v>47386</v>
      </c>
      <c r="P40" s="65">
        <v>24262</v>
      </c>
      <c r="Q40" s="405"/>
      <c r="R40" s="405"/>
      <c r="S40" s="405"/>
      <c r="T40" s="405"/>
      <c r="U40" s="65">
        <v>39435</v>
      </c>
      <c r="V40" s="65">
        <v>25813</v>
      </c>
      <c r="W40" s="65">
        <v>16898</v>
      </c>
      <c r="X40" s="65">
        <v>7300</v>
      </c>
      <c r="Y40" s="65">
        <v>28717</v>
      </c>
      <c r="Z40" s="65">
        <v>19090.161999999997</v>
      </c>
      <c r="AA40" s="65">
        <v>11964.935000000001</v>
      </c>
      <c r="AB40" s="65">
        <v>6224.7159999999994</v>
      </c>
      <c r="AC40" s="65">
        <v>23803.718000000004</v>
      </c>
      <c r="AD40" s="65">
        <v>17012.401000000002</v>
      </c>
      <c r="AE40" s="65">
        <v>11234.031999999999</v>
      </c>
      <c r="AF40" s="167">
        <v>5094.0820000000003</v>
      </c>
      <c r="AG40" s="65">
        <v>24254.538</v>
      </c>
      <c r="AH40" s="65">
        <v>17718.251999999993</v>
      </c>
      <c r="AI40" s="65">
        <v>12190.800999999999</v>
      </c>
      <c r="AJ40" s="65">
        <v>5224.1459999999988</v>
      </c>
      <c r="AK40" s="65">
        <v>21719.980999999992</v>
      </c>
      <c r="AL40" s="65">
        <v>16309.508</v>
      </c>
      <c r="AM40" s="65">
        <v>10120.547999999999</v>
      </c>
      <c r="AN40" s="65">
        <v>4603.8060000000005</v>
      </c>
      <c r="AO40" s="65">
        <v>17084.55</v>
      </c>
      <c r="AP40" s="65">
        <v>12238.488999999998</v>
      </c>
      <c r="AQ40" s="65">
        <v>8063.4169999999986</v>
      </c>
      <c r="AR40" s="65">
        <v>4214.996000000001</v>
      </c>
      <c r="AS40" s="65">
        <v>14980.759999999997</v>
      </c>
      <c r="AT40" s="65">
        <v>10389.237999999998</v>
      </c>
      <c r="AU40" s="65">
        <v>6691.6000000000022</v>
      </c>
      <c r="AV40" s="65">
        <v>2839.5749999999998</v>
      </c>
      <c r="AW40" s="65">
        <v>15196.544000000005</v>
      </c>
      <c r="AX40" s="65">
        <v>11547.609</v>
      </c>
      <c r="AY40" s="65">
        <v>7819.7909999999993</v>
      </c>
      <c r="AZ40" s="65">
        <v>3852.3650000000007</v>
      </c>
      <c r="BA40" s="65">
        <v>15733.200000000003</v>
      </c>
      <c r="BB40" s="65">
        <v>9713.2979999999989</v>
      </c>
      <c r="BC40" s="65">
        <v>5809.0560000000005</v>
      </c>
      <c r="BD40" s="65">
        <v>2925.4609999999998</v>
      </c>
      <c r="BE40" s="65">
        <v>8636.7279999999992</v>
      </c>
      <c r="BF40" s="65">
        <v>6117.1130000000003</v>
      </c>
      <c r="BG40" s="65">
        <v>3582.8369999999982</v>
      </c>
      <c r="BH40" s="65">
        <v>1796.9929999999999</v>
      </c>
      <c r="BI40" s="65">
        <v>13117.083000000002</v>
      </c>
      <c r="BJ40" s="65">
        <v>11011.208999999997</v>
      </c>
      <c r="BK40" s="65">
        <v>8075.143</v>
      </c>
      <c r="BL40" s="65">
        <v>3588.6140000000005</v>
      </c>
      <c r="BM40" s="66">
        <v>9332.1</v>
      </c>
      <c r="BN40" s="66">
        <v>5808.4289999999983</v>
      </c>
      <c r="BO40" s="66">
        <v>3249.583000000001</v>
      </c>
      <c r="BP40" s="66">
        <v>1283.7600000000002</v>
      </c>
      <c r="BQ40" s="66" t="s">
        <v>121</v>
      </c>
      <c r="BR40" s="66" t="s">
        <v>121</v>
      </c>
      <c r="BS40" s="66" t="s">
        <v>121</v>
      </c>
      <c r="BT40" s="66" t="s">
        <v>121</v>
      </c>
      <c r="BU40" s="66" t="s">
        <v>121</v>
      </c>
      <c r="BV40" s="66" t="s">
        <v>121</v>
      </c>
      <c r="BW40" s="66" t="s">
        <v>121</v>
      </c>
      <c r="BX40" s="66" t="s">
        <v>121</v>
      </c>
      <c r="BY40" s="66" t="s">
        <v>121</v>
      </c>
      <c r="BZ40" s="66" t="s">
        <v>121</v>
      </c>
      <c r="CA40" s="66" t="s">
        <v>121</v>
      </c>
      <c r="CB40" s="66" t="s">
        <v>121</v>
      </c>
      <c r="CC40" s="66" t="s">
        <v>121</v>
      </c>
      <c r="CD40" s="66" t="s">
        <v>121</v>
      </c>
      <c r="CE40" s="66" t="s">
        <v>121</v>
      </c>
      <c r="CF40" s="66" t="s">
        <v>121</v>
      </c>
      <c r="CG40" s="66" t="s">
        <v>121</v>
      </c>
      <c r="CH40" s="66" t="s">
        <v>121</v>
      </c>
      <c r="CI40" s="66" t="s">
        <v>121</v>
      </c>
      <c r="CJ40" s="66" t="s">
        <v>121</v>
      </c>
      <c r="CK40" s="66" t="s">
        <v>121</v>
      </c>
      <c r="CL40" s="66" t="s">
        <v>121</v>
      </c>
      <c r="CM40" s="66" t="s">
        <v>121</v>
      </c>
      <c r="CN40" s="66" t="s">
        <v>121</v>
      </c>
      <c r="CO40" s="66" t="s">
        <v>121</v>
      </c>
      <c r="CP40" s="66" t="s">
        <v>121</v>
      </c>
      <c r="CQ40" s="66" t="s">
        <v>121</v>
      </c>
      <c r="CR40" s="66" t="s">
        <v>121</v>
      </c>
      <c r="CS40" s="66" t="s">
        <v>121</v>
      </c>
      <c r="CT40" s="66" t="s">
        <v>121</v>
      </c>
      <c r="CU40" s="66" t="s">
        <v>121</v>
      </c>
      <c r="CV40" s="66" t="s">
        <v>121</v>
      </c>
      <c r="CW40" s="66" t="s">
        <v>121</v>
      </c>
      <c r="CX40" s="66" t="s">
        <v>121</v>
      </c>
      <c r="CY40" s="66" t="s">
        <v>121</v>
      </c>
      <c r="CZ40" s="66" t="s">
        <v>121</v>
      </c>
      <c r="DA40" s="66" t="s">
        <v>121</v>
      </c>
      <c r="DB40" s="66" t="s">
        <v>121</v>
      </c>
      <c r="DC40" s="66" t="s">
        <v>121</v>
      </c>
      <c r="DD40" s="66" t="s">
        <v>121</v>
      </c>
      <c r="DE40" s="66" t="s">
        <v>121</v>
      </c>
      <c r="DF40" s="66" t="s">
        <v>121</v>
      </c>
      <c r="DG40" s="66" t="s">
        <v>121</v>
      </c>
      <c r="DH40" s="66" t="s">
        <v>121</v>
      </c>
      <c r="DI40" s="66" t="s">
        <v>121</v>
      </c>
      <c r="DJ40" s="66" t="s">
        <v>121</v>
      </c>
      <c r="DK40" s="66" t="s">
        <v>121</v>
      </c>
      <c r="DL40" s="66" t="s">
        <v>121</v>
      </c>
      <c r="DM40" s="66" t="s">
        <v>121</v>
      </c>
      <c r="DN40" s="66" t="s">
        <v>121</v>
      </c>
      <c r="DO40" s="66" t="s">
        <v>121</v>
      </c>
      <c r="DP40" s="66" t="s">
        <v>121</v>
      </c>
      <c r="DQ40" s="66" t="s">
        <v>121</v>
      </c>
      <c r="DR40" s="66" t="s">
        <v>121</v>
      </c>
      <c r="DS40" s="66" t="s">
        <v>121</v>
      </c>
      <c r="DT40" s="66" t="s">
        <v>121</v>
      </c>
      <c r="DU40" s="66" t="s">
        <v>121</v>
      </c>
      <c r="DV40" s="66" t="s">
        <v>121</v>
      </c>
      <c r="DW40" s="66" t="s">
        <v>121</v>
      </c>
      <c r="DX40" s="66" t="s">
        <v>121</v>
      </c>
      <c r="DY40" s="66" t="s">
        <v>121</v>
      </c>
      <c r="DZ40" s="66" t="s">
        <v>121</v>
      </c>
      <c r="EA40" s="66" t="s">
        <v>121</v>
      </c>
      <c r="EB40" s="66" t="s">
        <v>121</v>
      </c>
      <c r="EC40" s="66" t="s">
        <v>121</v>
      </c>
      <c r="ED40" s="66" t="s">
        <v>121</v>
      </c>
      <c r="EE40" s="66" t="s">
        <v>121</v>
      </c>
      <c r="EF40" s="66" t="s">
        <v>121</v>
      </c>
      <c r="EG40" s="66" t="s">
        <v>121</v>
      </c>
      <c r="EH40" s="66" t="s">
        <v>121</v>
      </c>
      <c r="EI40" s="66" t="s">
        <v>121</v>
      </c>
      <c r="EJ40" s="66" t="s">
        <v>121</v>
      </c>
      <c r="EK40" s="66" t="s">
        <v>121</v>
      </c>
      <c r="EL40" s="66" t="s">
        <v>121</v>
      </c>
      <c r="EM40" s="66" t="s">
        <v>121</v>
      </c>
      <c r="EN40" s="66" t="s">
        <v>121</v>
      </c>
      <c r="EO40" s="66" t="s">
        <v>121</v>
      </c>
      <c r="EP40" s="66" t="s">
        <v>121</v>
      </c>
      <c r="EQ40" s="66" t="s">
        <v>121</v>
      </c>
      <c r="ER40" s="66" t="s">
        <v>121</v>
      </c>
      <c r="ES40" s="66" t="s">
        <v>121</v>
      </c>
      <c r="ET40" s="66" t="s">
        <v>121</v>
      </c>
      <c r="EU40" s="66" t="s">
        <v>121</v>
      </c>
      <c r="EV40" s="66" t="s">
        <v>121</v>
      </c>
      <c r="EW40" s="66" t="s">
        <v>121</v>
      </c>
      <c r="EX40" s="66" t="s">
        <v>121</v>
      </c>
    </row>
    <row r="41" spans="1:154" s="352" customFormat="1" x14ac:dyDescent="0.25">
      <c r="A41" s="273">
        <v>41</v>
      </c>
      <c r="B41" s="380" t="s">
        <v>422</v>
      </c>
      <c r="C41" s="381" t="s">
        <v>121</v>
      </c>
      <c r="D41" s="382" t="s">
        <v>121</v>
      </c>
      <c r="E41" s="383">
        <v>8.3490723252971799E-2</v>
      </c>
      <c r="F41" s="256">
        <v>-19505</v>
      </c>
      <c r="G41" s="256">
        <v>-12312</v>
      </c>
      <c r="H41" s="256">
        <v>-5715</v>
      </c>
      <c r="I41" s="256">
        <v>-25935</v>
      </c>
      <c r="J41" s="256">
        <v>-18002</v>
      </c>
      <c r="K41" s="256">
        <v>-11443</v>
      </c>
      <c r="L41" s="256">
        <v>-5975</v>
      </c>
      <c r="M41" s="256">
        <v>-23614</v>
      </c>
      <c r="N41" s="256">
        <v>-18281</v>
      </c>
      <c r="O41" s="256">
        <v>-11962</v>
      </c>
      <c r="P41" s="256">
        <v>-6018</v>
      </c>
      <c r="Q41" s="405"/>
      <c r="R41" s="405"/>
      <c r="S41" s="405"/>
      <c r="T41" s="405"/>
      <c r="U41" s="256">
        <v>-16812</v>
      </c>
      <c r="V41" s="256">
        <v>-11556</v>
      </c>
      <c r="W41" s="256">
        <v>-7812</v>
      </c>
      <c r="X41" s="256">
        <v>-4210</v>
      </c>
      <c r="Y41" s="256">
        <v>-15207</v>
      </c>
      <c r="Z41" s="256">
        <v>-10891.248</v>
      </c>
      <c r="AA41" s="256">
        <v>-7545.9970000000003</v>
      </c>
      <c r="AB41" s="256">
        <v>-4133.4210000000003</v>
      </c>
      <c r="AC41" s="256">
        <v>-14085.782999999999</v>
      </c>
      <c r="AD41" s="256">
        <v>-10256.893</v>
      </c>
      <c r="AE41" s="256">
        <v>-6957.0450000000001</v>
      </c>
      <c r="AF41" s="256">
        <v>-3551.4989999999998</v>
      </c>
      <c r="AG41" s="256">
        <v>-13047.489</v>
      </c>
      <c r="AH41" s="256">
        <v>-9777.0689999999995</v>
      </c>
      <c r="AI41" s="256">
        <v>-6676.8310000000001</v>
      </c>
      <c r="AJ41" s="256">
        <v>-2953.2669999999998</v>
      </c>
      <c r="AK41" s="256">
        <v>-12364.661999999998</v>
      </c>
      <c r="AL41" s="256">
        <v>-9156.8559999999998</v>
      </c>
      <c r="AM41" s="256">
        <v>-5986.2039999999997</v>
      </c>
      <c r="AN41" s="256">
        <v>-2767.43</v>
      </c>
      <c r="AO41" s="256">
        <v>-11951.294999999998</v>
      </c>
      <c r="AP41" s="256">
        <v>-8553.9770000000008</v>
      </c>
      <c r="AQ41" s="256">
        <v>-5640.13</v>
      </c>
      <c r="AR41" s="256">
        <v>-2700.2290000000003</v>
      </c>
      <c r="AS41" s="256">
        <v>-10233.736000000001</v>
      </c>
      <c r="AT41" s="256">
        <v>-7026.4920000000002</v>
      </c>
      <c r="AU41" s="256">
        <v>-4672.0959999999995</v>
      </c>
      <c r="AV41" s="256">
        <v>-2123.9540000000002</v>
      </c>
      <c r="AW41" s="256">
        <v>-9147.9180000000015</v>
      </c>
      <c r="AX41" s="256">
        <v>-6425.2340000000004</v>
      </c>
      <c r="AY41" s="256">
        <v>-4228.6769999999997</v>
      </c>
      <c r="AZ41" s="256">
        <v>-1905.8420000000001</v>
      </c>
      <c r="BA41" s="256">
        <v>-7249.7340000000004</v>
      </c>
      <c r="BB41" s="256">
        <v>-5103.3799999999992</v>
      </c>
      <c r="BC41" s="256">
        <v>-3247.67</v>
      </c>
      <c r="BD41" s="256">
        <v>-1551.1420000000003</v>
      </c>
      <c r="BE41" s="256">
        <v>-6853.7150000000001</v>
      </c>
      <c r="BF41" s="256">
        <v>-4895.6470000000008</v>
      </c>
      <c r="BG41" s="256">
        <v>-3236.4229999999998</v>
      </c>
      <c r="BH41" s="256">
        <v>-1605.1480000000001</v>
      </c>
      <c r="BI41" s="256">
        <v>-5829.9570000000003</v>
      </c>
      <c r="BJ41" s="256">
        <v>-4062.7569999999996</v>
      </c>
      <c r="BK41" s="256">
        <v>-2541.953</v>
      </c>
      <c r="BL41" s="256">
        <v>-1118.546</v>
      </c>
      <c r="BM41" s="352">
        <v>-4195.0840000000007</v>
      </c>
      <c r="BN41" s="352">
        <v>-2958.3670000000002</v>
      </c>
      <c r="BO41" s="352">
        <v>-1686.6790000000001</v>
      </c>
      <c r="BP41" s="352">
        <v>-798.61599999999999</v>
      </c>
      <c r="BQ41" s="352" t="s">
        <v>121</v>
      </c>
      <c r="BR41" s="352" t="s">
        <v>121</v>
      </c>
      <c r="BS41" s="352" t="s">
        <v>121</v>
      </c>
      <c r="BT41" s="352" t="s">
        <v>121</v>
      </c>
      <c r="BU41" s="352" t="s">
        <v>121</v>
      </c>
      <c r="BV41" s="352" t="s">
        <v>121</v>
      </c>
      <c r="BW41" s="352" t="s">
        <v>121</v>
      </c>
      <c r="BX41" s="352" t="s">
        <v>121</v>
      </c>
      <c r="BY41" s="352" t="s">
        <v>121</v>
      </c>
      <c r="BZ41" s="352" t="s">
        <v>121</v>
      </c>
      <c r="CA41" s="352" t="s">
        <v>121</v>
      </c>
      <c r="CB41" s="352" t="s">
        <v>121</v>
      </c>
      <c r="CC41" s="352" t="s">
        <v>121</v>
      </c>
      <c r="CD41" s="352" t="s">
        <v>121</v>
      </c>
      <c r="CE41" s="352" t="s">
        <v>121</v>
      </c>
      <c r="CF41" s="352" t="s">
        <v>121</v>
      </c>
      <c r="CG41" s="352" t="s">
        <v>121</v>
      </c>
      <c r="CH41" s="352" t="s">
        <v>121</v>
      </c>
      <c r="CI41" s="352" t="s">
        <v>121</v>
      </c>
      <c r="CJ41" s="352" t="s">
        <v>121</v>
      </c>
      <c r="CK41" s="352" t="s">
        <v>121</v>
      </c>
      <c r="CL41" s="352" t="s">
        <v>121</v>
      </c>
      <c r="CM41" s="352" t="s">
        <v>121</v>
      </c>
      <c r="CN41" s="352" t="s">
        <v>121</v>
      </c>
      <c r="CO41" s="352" t="s">
        <v>121</v>
      </c>
      <c r="CP41" s="352" t="s">
        <v>121</v>
      </c>
      <c r="CQ41" s="352" t="s">
        <v>121</v>
      </c>
      <c r="CR41" s="352" t="s">
        <v>121</v>
      </c>
      <c r="CS41" s="352" t="s">
        <v>121</v>
      </c>
      <c r="CT41" s="352" t="s">
        <v>121</v>
      </c>
      <c r="CU41" s="352" t="s">
        <v>121</v>
      </c>
      <c r="CV41" s="352" t="s">
        <v>121</v>
      </c>
      <c r="CW41" s="352" t="s">
        <v>121</v>
      </c>
      <c r="CX41" s="352" t="s">
        <v>121</v>
      </c>
      <c r="CY41" s="352" t="s">
        <v>121</v>
      </c>
      <c r="CZ41" s="352" t="s">
        <v>121</v>
      </c>
      <c r="DA41" s="352" t="s">
        <v>121</v>
      </c>
      <c r="DB41" s="352" t="s">
        <v>121</v>
      </c>
      <c r="DC41" s="352" t="s">
        <v>121</v>
      </c>
      <c r="DD41" s="352" t="s">
        <v>121</v>
      </c>
      <c r="DE41" s="352" t="s">
        <v>121</v>
      </c>
      <c r="DF41" s="352" t="s">
        <v>121</v>
      </c>
      <c r="DG41" s="352" t="s">
        <v>121</v>
      </c>
      <c r="DH41" s="352" t="s">
        <v>121</v>
      </c>
      <c r="DI41" s="352" t="s">
        <v>121</v>
      </c>
      <c r="DJ41" s="352" t="s">
        <v>121</v>
      </c>
      <c r="DK41" s="352" t="s">
        <v>121</v>
      </c>
      <c r="DL41" s="352" t="s">
        <v>121</v>
      </c>
      <c r="DM41" s="352" t="s">
        <v>121</v>
      </c>
      <c r="DN41" s="352" t="s">
        <v>121</v>
      </c>
      <c r="DO41" s="352" t="s">
        <v>121</v>
      </c>
      <c r="DP41" s="352" t="s">
        <v>121</v>
      </c>
      <c r="DQ41" s="352" t="s">
        <v>121</v>
      </c>
      <c r="DR41" s="352" t="s">
        <v>121</v>
      </c>
      <c r="DS41" s="352" t="s">
        <v>121</v>
      </c>
      <c r="DT41" s="352" t="s">
        <v>121</v>
      </c>
      <c r="DU41" s="352" t="s">
        <v>121</v>
      </c>
      <c r="DV41" s="352" t="s">
        <v>121</v>
      </c>
      <c r="DW41" s="352" t="s">
        <v>121</v>
      </c>
      <c r="DX41" s="352" t="s">
        <v>121</v>
      </c>
      <c r="DY41" s="352" t="s">
        <v>121</v>
      </c>
      <c r="DZ41" s="352" t="s">
        <v>121</v>
      </c>
      <c r="EA41" s="352" t="s">
        <v>121</v>
      </c>
      <c r="EB41" s="352" t="s">
        <v>121</v>
      </c>
      <c r="EC41" s="352" t="s">
        <v>121</v>
      </c>
      <c r="ED41" s="352" t="s">
        <v>121</v>
      </c>
      <c r="EE41" s="352" t="s">
        <v>121</v>
      </c>
      <c r="EF41" s="352" t="s">
        <v>121</v>
      </c>
      <c r="EG41" s="352" t="s">
        <v>121</v>
      </c>
      <c r="EH41" s="352" t="s">
        <v>121</v>
      </c>
      <c r="EI41" s="352" t="s">
        <v>121</v>
      </c>
      <c r="EJ41" s="352" t="s">
        <v>121</v>
      </c>
      <c r="EK41" s="352" t="s">
        <v>121</v>
      </c>
      <c r="EL41" s="352" t="s">
        <v>121</v>
      </c>
      <c r="EM41" s="352" t="s">
        <v>121</v>
      </c>
      <c r="EN41" s="352" t="s">
        <v>121</v>
      </c>
      <c r="EO41" s="352" t="s">
        <v>121</v>
      </c>
      <c r="EP41" s="352" t="s">
        <v>121</v>
      </c>
      <c r="EQ41" s="352" t="s">
        <v>121</v>
      </c>
      <c r="ER41" s="352" t="s">
        <v>121</v>
      </c>
      <c r="ES41" s="352" t="s">
        <v>121</v>
      </c>
      <c r="ET41" s="352" t="s">
        <v>121</v>
      </c>
      <c r="EU41" s="352" t="s">
        <v>121</v>
      </c>
      <c r="EV41" s="352" t="s">
        <v>121</v>
      </c>
      <c r="EW41" s="352" t="s">
        <v>121</v>
      </c>
      <c r="EX41" s="352" t="s">
        <v>121</v>
      </c>
    </row>
    <row r="42" spans="1:154" s="25" customFormat="1" ht="15" customHeight="1" x14ac:dyDescent="0.25">
      <c r="A42" s="72">
        <v>42</v>
      </c>
      <c r="B42" s="67" t="s">
        <v>423</v>
      </c>
      <c r="C42" s="91" t="s">
        <v>121</v>
      </c>
      <c r="D42" s="86" t="s">
        <v>121</v>
      </c>
      <c r="E42" s="92">
        <v>-4.1293126867699037E-2</v>
      </c>
      <c r="F42" s="22">
        <v>-10587</v>
      </c>
      <c r="G42" s="22">
        <v>-6895</v>
      </c>
      <c r="H42" s="22">
        <v>-3429</v>
      </c>
      <c r="I42" s="22">
        <v>-15360</v>
      </c>
      <c r="J42" s="22">
        <v>-11043</v>
      </c>
      <c r="K42" s="22">
        <v>-6927</v>
      </c>
      <c r="L42" s="22">
        <v>-4041</v>
      </c>
      <c r="M42" s="22">
        <v>-13847</v>
      </c>
      <c r="N42" s="22">
        <v>-11558</v>
      </c>
      <c r="O42" s="22">
        <v>-7544</v>
      </c>
      <c r="P42" s="22">
        <v>-4020</v>
      </c>
      <c r="Q42" s="405"/>
      <c r="R42" s="405"/>
      <c r="S42" s="405"/>
      <c r="T42" s="405"/>
      <c r="U42" s="22">
        <v>-8508</v>
      </c>
      <c r="V42" s="22">
        <v>-6012</v>
      </c>
      <c r="W42" s="22">
        <v>-4125</v>
      </c>
      <c r="X42" s="22">
        <v>-2502</v>
      </c>
      <c r="Y42" s="22">
        <v>-7576</v>
      </c>
      <c r="Z42" s="22">
        <v>-5557.7420000000002</v>
      </c>
      <c r="AA42" s="22">
        <v>-4069.3580000000002</v>
      </c>
      <c r="AB42" s="22">
        <v>-2295.9749999999999</v>
      </c>
      <c r="AC42" s="22">
        <v>-6453.9309999999996</v>
      </c>
      <c r="AD42" s="22">
        <v>-4883.2240000000002</v>
      </c>
      <c r="AE42" s="22">
        <v>-3383.08</v>
      </c>
      <c r="AF42" s="147">
        <v>-1767.37</v>
      </c>
      <c r="AG42" s="22">
        <v>-5942.0010000000002</v>
      </c>
      <c r="AH42" s="22">
        <v>-4661.1930000000002</v>
      </c>
      <c r="AI42" s="22">
        <v>-3276.3609999999999</v>
      </c>
      <c r="AJ42" s="22">
        <v>-1766.6030000000001</v>
      </c>
      <c r="AK42" s="22">
        <v>-5970.5569999999989</v>
      </c>
      <c r="AL42" s="22">
        <v>-4564.5469999999996</v>
      </c>
      <c r="AM42" s="22">
        <v>-2980.7060000000001</v>
      </c>
      <c r="AN42" s="22">
        <v>-1530.3009999999999</v>
      </c>
      <c r="AO42" s="22">
        <v>-5628.5609999999997</v>
      </c>
      <c r="AP42" s="22">
        <v>-4056.8470000000002</v>
      </c>
      <c r="AQ42" s="22">
        <v>-2693.0459999999998</v>
      </c>
      <c r="AR42" s="22">
        <v>-1382.9259999999999</v>
      </c>
      <c r="AS42" s="22">
        <v>-4473.777</v>
      </c>
      <c r="AT42" s="22">
        <v>-3463.1790000000001</v>
      </c>
      <c r="AU42" s="22">
        <v>-2404.66</v>
      </c>
      <c r="AV42" s="22">
        <v>-1107.0070000000001</v>
      </c>
      <c r="AW42" s="22">
        <v>-4477.1390000000001</v>
      </c>
      <c r="AX42" s="22">
        <v>-3309.82</v>
      </c>
      <c r="AY42" s="22">
        <v>-2160.2649999999999</v>
      </c>
      <c r="AZ42" s="22">
        <v>-1064.819</v>
      </c>
      <c r="BA42" s="63">
        <v>-3309.7750000000001</v>
      </c>
      <c r="BB42" s="22">
        <v>-2438.0819999999999</v>
      </c>
      <c r="BC42" s="22">
        <v>-1577.3240000000001</v>
      </c>
      <c r="BD42" s="22">
        <v>-809.58900000000006</v>
      </c>
      <c r="BE42" s="22">
        <v>-3059.0230000000001</v>
      </c>
      <c r="BF42" s="22">
        <v>-2275.9360000000001</v>
      </c>
      <c r="BG42" s="22">
        <v>-1467.567</v>
      </c>
      <c r="BH42" s="22">
        <v>-744.68600000000004</v>
      </c>
      <c r="BI42" s="22">
        <v>-2944.4560000000001</v>
      </c>
      <c r="BJ42" s="22">
        <v>-2171.0909999999999</v>
      </c>
      <c r="BK42" s="22">
        <v>-1401.0329999999999</v>
      </c>
      <c r="BL42" s="22">
        <v>-632.68700000000001</v>
      </c>
      <c r="BM42" s="25">
        <v>-2154.1800000000003</v>
      </c>
      <c r="BN42" s="25">
        <v>-1600.3019999999999</v>
      </c>
      <c r="BO42" s="25">
        <v>-962.31099999999992</v>
      </c>
      <c r="BP42" s="25">
        <v>-460.358</v>
      </c>
      <c r="BQ42" s="25" t="s">
        <v>121</v>
      </c>
      <c r="BR42" s="25" t="s">
        <v>121</v>
      </c>
      <c r="BS42" s="25" t="s">
        <v>121</v>
      </c>
      <c r="BT42" s="25" t="s">
        <v>121</v>
      </c>
      <c r="BU42" s="25" t="s">
        <v>121</v>
      </c>
      <c r="BV42" s="25" t="s">
        <v>121</v>
      </c>
      <c r="BW42" s="25" t="s">
        <v>121</v>
      </c>
      <c r="BX42" s="25" t="s">
        <v>121</v>
      </c>
      <c r="BY42" s="25" t="s">
        <v>121</v>
      </c>
      <c r="BZ42" s="25" t="s">
        <v>121</v>
      </c>
      <c r="CA42" s="25" t="s">
        <v>121</v>
      </c>
      <c r="CB42" s="25" t="s">
        <v>121</v>
      </c>
      <c r="CC42" s="25" t="s">
        <v>121</v>
      </c>
      <c r="CD42" s="25" t="s">
        <v>121</v>
      </c>
      <c r="CE42" s="25" t="s">
        <v>121</v>
      </c>
      <c r="CF42" s="25" t="s">
        <v>121</v>
      </c>
      <c r="CG42" s="25" t="s">
        <v>121</v>
      </c>
      <c r="CH42" s="25" t="s">
        <v>121</v>
      </c>
      <c r="CI42" s="25" t="s">
        <v>121</v>
      </c>
      <c r="CJ42" s="25" t="s">
        <v>121</v>
      </c>
      <c r="CK42" s="25" t="s">
        <v>121</v>
      </c>
      <c r="CL42" s="25" t="s">
        <v>121</v>
      </c>
      <c r="CM42" s="25" t="s">
        <v>121</v>
      </c>
      <c r="CN42" s="25" t="s">
        <v>121</v>
      </c>
      <c r="CO42" s="25" t="s">
        <v>121</v>
      </c>
      <c r="CP42" s="25" t="s">
        <v>121</v>
      </c>
      <c r="CQ42" s="25" t="s">
        <v>121</v>
      </c>
      <c r="CR42" s="25" t="s">
        <v>121</v>
      </c>
      <c r="CS42" s="25" t="s">
        <v>121</v>
      </c>
      <c r="CT42" s="25" t="s">
        <v>121</v>
      </c>
      <c r="CU42" s="25" t="s">
        <v>121</v>
      </c>
      <c r="CV42" s="25" t="s">
        <v>121</v>
      </c>
      <c r="CW42" s="25" t="s">
        <v>121</v>
      </c>
      <c r="CX42" s="25" t="s">
        <v>121</v>
      </c>
      <c r="CY42" s="25" t="s">
        <v>121</v>
      </c>
      <c r="CZ42" s="25" t="s">
        <v>121</v>
      </c>
      <c r="DA42" s="25" t="s">
        <v>121</v>
      </c>
      <c r="DB42" s="25" t="s">
        <v>121</v>
      </c>
      <c r="DC42" s="25" t="s">
        <v>121</v>
      </c>
      <c r="DD42" s="25" t="s">
        <v>121</v>
      </c>
      <c r="DE42" s="25" t="s">
        <v>121</v>
      </c>
      <c r="DF42" s="25" t="s">
        <v>121</v>
      </c>
      <c r="DG42" s="25" t="s">
        <v>121</v>
      </c>
      <c r="DH42" s="25" t="s">
        <v>121</v>
      </c>
      <c r="DI42" s="25" t="s">
        <v>121</v>
      </c>
      <c r="DJ42" s="25" t="s">
        <v>121</v>
      </c>
      <c r="DK42" s="25" t="s">
        <v>121</v>
      </c>
      <c r="DL42" s="25" t="s">
        <v>121</v>
      </c>
      <c r="DM42" s="25" t="s">
        <v>121</v>
      </c>
      <c r="DN42" s="25" t="s">
        <v>121</v>
      </c>
      <c r="DO42" s="25" t="s">
        <v>121</v>
      </c>
      <c r="DP42" s="25" t="s">
        <v>121</v>
      </c>
      <c r="DQ42" s="25" t="s">
        <v>121</v>
      </c>
      <c r="DR42" s="25" t="s">
        <v>121</v>
      </c>
      <c r="DS42" s="25" t="s">
        <v>121</v>
      </c>
      <c r="DT42" s="25" t="s">
        <v>121</v>
      </c>
      <c r="DU42" s="25" t="s">
        <v>121</v>
      </c>
      <c r="DV42" s="25" t="s">
        <v>121</v>
      </c>
      <c r="DW42" s="25" t="s">
        <v>121</v>
      </c>
      <c r="DX42" s="25" t="s">
        <v>121</v>
      </c>
      <c r="DY42" s="25" t="s">
        <v>121</v>
      </c>
      <c r="DZ42" s="25" t="s">
        <v>121</v>
      </c>
      <c r="EA42" s="25" t="s">
        <v>121</v>
      </c>
      <c r="EB42" s="25" t="s">
        <v>121</v>
      </c>
      <c r="EC42" s="25" t="s">
        <v>121</v>
      </c>
      <c r="ED42" s="25" t="s">
        <v>121</v>
      </c>
      <c r="EE42" s="25" t="s">
        <v>121</v>
      </c>
      <c r="EF42" s="25" t="s">
        <v>121</v>
      </c>
      <c r="EG42" s="25" t="s">
        <v>121</v>
      </c>
      <c r="EH42" s="25" t="s">
        <v>121</v>
      </c>
      <c r="EI42" s="25" t="s">
        <v>121</v>
      </c>
      <c r="EJ42" s="25" t="s">
        <v>121</v>
      </c>
      <c r="EK42" s="25" t="s">
        <v>121</v>
      </c>
      <c r="EL42" s="25" t="s">
        <v>121</v>
      </c>
      <c r="EM42" s="25" t="s">
        <v>121</v>
      </c>
      <c r="EN42" s="25" t="s">
        <v>121</v>
      </c>
      <c r="EO42" s="25" t="s">
        <v>121</v>
      </c>
      <c r="EP42" s="25" t="s">
        <v>121</v>
      </c>
      <c r="EQ42" s="25" t="s">
        <v>121</v>
      </c>
      <c r="ER42" s="25" t="s">
        <v>121</v>
      </c>
      <c r="ES42" s="25" t="s">
        <v>121</v>
      </c>
      <c r="ET42" s="25" t="s">
        <v>121</v>
      </c>
      <c r="EU42" s="25" t="s">
        <v>121</v>
      </c>
      <c r="EV42" s="25" t="s">
        <v>121</v>
      </c>
      <c r="EW42" s="25" t="s">
        <v>121</v>
      </c>
      <c r="EX42" s="25" t="s">
        <v>121</v>
      </c>
    </row>
    <row r="43" spans="1:154" s="25" customFormat="1" ht="15" customHeight="1" x14ac:dyDescent="0.25">
      <c r="A43" s="72">
        <v>43</v>
      </c>
      <c r="B43" s="67" t="s">
        <v>424</v>
      </c>
      <c r="C43" s="91" t="s">
        <v>121</v>
      </c>
      <c r="D43" s="86" t="s">
        <v>121</v>
      </c>
      <c r="E43" s="92">
        <v>0.28150596350050305</v>
      </c>
      <c r="F43" s="22">
        <v>-8918</v>
      </c>
      <c r="G43" s="22">
        <v>-5417</v>
      </c>
      <c r="H43" s="255">
        <v>-2286</v>
      </c>
      <c r="I43" s="22">
        <v>-10575</v>
      </c>
      <c r="J43" s="22">
        <v>-6959</v>
      </c>
      <c r="K43" s="22">
        <v>-4516</v>
      </c>
      <c r="L43" s="255">
        <v>-1934</v>
      </c>
      <c r="M43" s="22">
        <v>-9767</v>
      </c>
      <c r="N43" s="22">
        <v>-6723</v>
      </c>
      <c r="O43" s="22">
        <v>-4418</v>
      </c>
      <c r="P43" s="22">
        <v>-1998</v>
      </c>
      <c r="Q43" s="405"/>
      <c r="R43" s="405"/>
      <c r="S43" s="405"/>
      <c r="T43" s="405"/>
      <c r="U43" s="22">
        <v>-8304</v>
      </c>
      <c r="V43" s="22">
        <v>-5544</v>
      </c>
      <c r="W43" s="22">
        <v>-3687</v>
      </c>
      <c r="X43" s="22">
        <v>-1708</v>
      </c>
      <c r="Y43" s="22">
        <v>-7631</v>
      </c>
      <c r="Z43" s="22">
        <v>-5333.5059999999994</v>
      </c>
      <c r="AA43" s="22">
        <v>-3476.6390000000001</v>
      </c>
      <c r="AB43" s="22">
        <v>-1837.4459999999999</v>
      </c>
      <c r="AC43" s="22">
        <v>-7631.8520000000008</v>
      </c>
      <c r="AD43" s="22">
        <v>-5373.6689999999999</v>
      </c>
      <c r="AE43" s="22">
        <v>-3573.9650000000001</v>
      </c>
      <c r="AF43" s="147">
        <v>-1784.1289999999999</v>
      </c>
      <c r="AG43" s="22">
        <v>-7105.4879999999994</v>
      </c>
      <c r="AH43" s="22">
        <v>-5115.8760000000002</v>
      </c>
      <c r="AI43" s="22">
        <v>-3400.4700000000003</v>
      </c>
      <c r="AJ43" s="22">
        <v>-1186.664</v>
      </c>
      <c r="AK43" s="22">
        <v>-6394.1049999999996</v>
      </c>
      <c r="AL43" s="22">
        <v>-4592.3090000000002</v>
      </c>
      <c r="AM43" s="22">
        <v>-3005.4979999999996</v>
      </c>
      <c r="AN43" s="22">
        <v>-1237.1289999999999</v>
      </c>
      <c r="AO43" s="22">
        <v>-6322.7339999999995</v>
      </c>
      <c r="AP43" s="22">
        <v>-4497.13</v>
      </c>
      <c r="AQ43" s="22">
        <v>-2947.0840000000003</v>
      </c>
      <c r="AR43" s="22">
        <v>-1317.3030000000001</v>
      </c>
      <c r="AS43" s="22">
        <v>-5759.9589999999998</v>
      </c>
      <c r="AT43" s="22">
        <v>-3563.3130000000001</v>
      </c>
      <c r="AU43" s="22">
        <v>-2267.4360000000001</v>
      </c>
      <c r="AV43" s="22">
        <v>-1016.947</v>
      </c>
      <c r="AW43" s="22">
        <v>-4670.7790000000005</v>
      </c>
      <c r="AX43" s="22">
        <v>-3115.4140000000002</v>
      </c>
      <c r="AY43" s="22">
        <v>-2068.4120000000003</v>
      </c>
      <c r="AZ43" s="22">
        <v>-841.02300000000002</v>
      </c>
      <c r="BA43" s="63">
        <v>-3939.9590000000003</v>
      </c>
      <c r="BB43" s="22">
        <v>-2665.2979999999998</v>
      </c>
      <c r="BC43" s="22">
        <v>-1670.346</v>
      </c>
      <c r="BD43" s="22">
        <v>-741.55300000000011</v>
      </c>
      <c r="BE43" s="22">
        <v>-3794.692</v>
      </c>
      <c r="BF43" s="22">
        <v>-2619.7110000000002</v>
      </c>
      <c r="BG43" s="22">
        <v>-1768.856</v>
      </c>
      <c r="BH43" s="22">
        <v>-860.46199999999999</v>
      </c>
      <c r="BI43" s="22">
        <v>-2885.5009999999997</v>
      </c>
      <c r="BJ43" s="22">
        <v>-1891.6659999999997</v>
      </c>
      <c r="BK43" s="22">
        <v>-1140.92</v>
      </c>
      <c r="BL43" s="22">
        <v>-485.85900000000004</v>
      </c>
      <c r="BM43" s="25">
        <v>-2040.904</v>
      </c>
      <c r="BN43" s="25">
        <v>-1358.0650000000001</v>
      </c>
      <c r="BO43" s="25">
        <v>-724.36800000000005</v>
      </c>
      <c r="BP43" s="25">
        <v>-338.25800000000004</v>
      </c>
      <c r="BQ43" s="25" t="s">
        <v>121</v>
      </c>
      <c r="BR43" s="25" t="s">
        <v>121</v>
      </c>
      <c r="BS43" s="25" t="s">
        <v>121</v>
      </c>
      <c r="BT43" s="25" t="s">
        <v>121</v>
      </c>
      <c r="BU43" s="25" t="s">
        <v>121</v>
      </c>
      <c r="BV43" s="25" t="s">
        <v>121</v>
      </c>
      <c r="BW43" s="25" t="s">
        <v>121</v>
      </c>
      <c r="BX43" s="25" t="s">
        <v>121</v>
      </c>
      <c r="BY43" s="25" t="s">
        <v>121</v>
      </c>
      <c r="BZ43" s="25" t="s">
        <v>121</v>
      </c>
      <c r="CA43" s="25" t="s">
        <v>121</v>
      </c>
      <c r="CB43" s="25" t="s">
        <v>121</v>
      </c>
      <c r="CC43" s="25" t="s">
        <v>121</v>
      </c>
      <c r="CD43" s="25" t="s">
        <v>121</v>
      </c>
      <c r="CE43" s="25" t="s">
        <v>121</v>
      </c>
      <c r="CF43" s="25" t="s">
        <v>121</v>
      </c>
      <c r="CG43" s="25" t="s">
        <v>121</v>
      </c>
      <c r="CH43" s="25" t="s">
        <v>121</v>
      </c>
      <c r="CI43" s="25" t="s">
        <v>121</v>
      </c>
      <c r="CJ43" s="25" t="s">
        <v>121</v>
      </c>
      <c r="CK43" s="25" t="s">
        <v>121</v>
      </c>
      <c r="CL43" s="25" t="s">
        <v>121</v>
      </c>
      <c r="CM43" s="25" t="s">
        <v>121</v>
      </c>
      <c r="CN43" s="25" t="s">
        <v>121</v>
      </c>
      <c r="CO43" s="25" t="s">
        <v>121</v>
      </c>
      <c r="CP43" s="25" t="s">
        <v>121</v>
      </c>
      <c r="CQ43" s="25" t="s">
        <v>121</v>
      </c>
      <c r="CR43" s="25" t="s">
        <v>121</v>
      </c>
      <c r="CS43" s="25" t="s">
        <v>121</v>
      </c>
      <c r="CT43" s="25" t="s">
        <v>121</v>
      </c>
      <c r="CU43" s="25" t="s">
        <v>121</v>
      </c>
      <c r="CV43" s="25" t="s">
        <v>121</v>
      </c>
      <c r="CW43" s="25" t="s">
        <v>121</v>
      </c>
      <c r="CX43" s="25" t="s">
        <v>121</v>
      </c>
      <c r="CY43" s="25" t="s">
        <v>121</v>
      </c>
      <c r="CZ43" s="25" t="s">
        <v>121</v>
      </c>
      <c r="DA43" s="25" t="s">
        <v>121</v>
      </c>
      <c r="DB43" s="25" t="s">
        <v>121</v>
      </c>
      <c r="DC43" s="25" t="s">
        <v>121</v>
      </c>
      <c r="DD43" s="25" t="s">
        <v>121</v>
      </c>
      <c r="DE43" s="25" t="s">
        <v>121</v>
      </c>
      <c r="DF43" s="25" t="s">
        <v>121</v>
      </c>
      <c r="DG43" s="25" t="s">
        <v>121</v>
      </c>
      <c r="DH43" s="25" t="s">
        <v>121</v>
      </c>
      <c r="DI43" s="25" t="s">
        <v>121</v>
      </c>
      <c r="DJ43" s="25" t="s">
        <v>121</v>
      </c>
      <c r="DK43" s="25" t="s">
        <v>121</v>
      </c>
      <c r="DL43" s="25" t="s">
        <v>121</v>
      </c>
      <c r="DM43" s="25" t="s">
        <v>121</v>
      </c>
      <c r="DN43" s="25" t="s">
        <v>121</v>
      </c>
      <c r="DO43" s="25" t="s">
        <v>121</v>
      </c>
      <c r="DP43" s="25" t="s">
        <v>121</v>
      </c>
      <c r="DQ43" s="25" t="s">
        <v>121</v>
      </c>
      <c r="DR43" s="25" t="s">
        <v>121</v>
      </c>
      <c r="DS43" s="25" t="s">
        <v>121</v>
      </c>
      <c r="DT43" s="25" t="s">
        <v>121</v>
      </c>
      <c r="DU43" s="25" t="s">
        <v>121</v>
      </c>
      <c r="DV43" s="25" t="s">
        <v>121</v>
      </c>
      <c r="DW43" s="25" t="s">
        <v>121</v>
      </c>
      <c r="DX43" s="25" t="s">
        <v>121</v>
      </c>
      <c r="DY43" s="25" t="s">
        <v>121</v>
      </c>
      <c r="DZ43" s="25" t="s">
        <v>121</v>
      </c>
      <c r="EA43" s="25" t="s">
        <v>121</v>
      </c>
      <c r="EB43" s="25" t="s">
        <v>121</v>
      </c>
      <c r="EC43" s="25" t="s">
        <v>121</v>
      </c>
      <c r="ED43" s="25" t="s">
        <v>121</v>
      </c>
      <c r="EE43" s="25" t="s">
        <v>121</v>
      </c>
      <c r="EF43" s="25" t="s">
        <v>121</v>
      </c>
      <c r="EG43" s="25" t="s">
        <v>121</v>
      </c>
      <c r="EH43" s="25" t="s">
        <v>121</v>
      </c>
      <c r="EI43" s="25" t="s">
        <v>121</v>
      </c>
      <c r="EJ43" s="25" t="s">
        <v>121</v>
      </c>
      <c r="EK43" s="25" t="s">
        <v>121</v>
      </c>
      <c r="EL43" s="25" t="s">
        <v>121</v>
      </c>
      <c r="EM43" s="25" t="s">
        <v>121</v>
      </c>
      <c r="EN43" s="25" t="s">
        <v>121</v>
      </c>
      <c r="EO43" s="25" t="s">
        <v>121</v>
      </c>
      <c r="EP43" s="25" t="s">
        <v>121</v>
      </c>
      <c r="EQ43" s="25" t="s">
        <v>121</v>
      </c>
      <c r="ER43" s="25" t="s">
        <v>121</v>
      </c>
      <c r="ES43" s="25" t="s">
        <v>121</v>
      </c>
      <c r="ET43" s="25" t="s">
        <v>121</v>
      </c>
      <c r="EU43" s="25" t="s">
        <v>121</v>
      </c>
      <c r="EV43" s="25" t="s">
        <v>121</v>
      </c>
      <c r="EW43" s="25" t="s">
        <v>121</v>
      </c>
      <c r="EX43" s="25" t="s">
        <v>121</v>
      </c>
    </row>
    <row r="44" spans="1:154" s="19" customFormat="1" ht="26.1" customHeight="1" x14ac:dyDescent="0.25">
      <c r="A44" s="72">
        <v>44</v>
      </c>
      <c r="B44" s="54" t="s">
        <v>425</v>
      </c>
      <c r="C44" s="91" t="s">
        <v>121</v>
      </c>
      <c r="D44" s="86" t="s">
        <v>121</v>
      </c>
      <c r="E44" s="94">
        <v>-5.3075813362616575E-2</v>
      </c>
      <c r="F44" s="65">
        <v>43978</v>
      </c>
      <c r="G44" s="65">
        <v>32418</v>
      </c>
      <c r="H44" s="65">
        <v>20456</v>
      </c>
      <c r="I44" s="65">
        <v>62716</v>
      </c>
      <c r="J44" s="65">
        <v>46443</v>
      </c>
      <c r="K44" s="65">
        <v>30033</v>
      </c>
      <c r="L44" s="65">
        <v>16090</v>
      </c>
      <c r="M44" s="65">
        <v>61215</v>
      </c>
      <c r="N44" s="65">
        <v>46113</v>
      </c>
      <c r="O44" s="65">
        <v>35424</v>
      </c>
      <c r="P44" s="65">
        <v>18244</v>
      </c>
      <c r="Q44" s="405"/>
      <c r="R44" s="405"/>
      <c r="S44" s="405"/>
      <c r="T44" s="405"/>
      <c r="U44" s="65">
        <v>22623</v>
      </c>
      <c r="V44" s="65">
        <v>14257</v>
      </c>
      <c r="W44" s="65">
        <v>9086</v>
      </c>
      <c r="X44" s="65">
        <v>3090</v>
      </c>
      <c r="Y44" s="65">
        <v>13510</v>
      </c>
      <c r="Z44" s="65">
        <v>8198.913999999997</v>
      </c>
      <c r="AA44" s="65">
        <v>4418.938000000001</v>
      </c>
      <c r="AB44" s="65">
        <v>2091.2949999999996</v>
      </c>
      <c r="AC44" s="65">
        <v>9717.9350000000031</v>
      </c>
      <c r="AD44" s="65">
        <v>6755.5080000000016</v>
      </c>
      <c r="AE44" s="65">
        <v>4276.9869999999992</v>
      </c>
      <c r="AF44" s="65">
        <v>1542.5830000000005</v>
      </c>
      <c r="AG44" s="65">
        <v>11207.049000000001</v>
      </c>
      <c r="AH44" s="65">
        <v>7941.1829999999936</v>
      </c>
      <c r="AI44" s="65">
        <v>5513.9699999999984</v>
      </c>
      <c r="AJ44" s="65">
        <v>2270.878999999999</v>
      </c>
      <c r="AK44" s="65">
        <v>9355.318999999994</v>
      </c>
      <c r="AL44" s="65">
        <v>7152.6519999999991</v>
      </c>
      <c r="AM44" s="65">
        <v>4134.3439999999991</v>
      </c>
      <c r="AN44" s="65">
        <v>1836.3760000000007</v>
      </c>
      <c r="AO44" s="65">
        <v>5133.2550000000001</v>
      </c>
      <c r="AP44" s="65">
        <v>3684.5119999999979</v>
      </c>
      <c r="AQ44" s="65">
        <v>2423.2869999999989</v>
      </c>
      <c r="AR44" s="65">
        <v>1514.767000000001</v>
      </c>
      <c r="AS44" s="65">
        <v>4747.0239999999967</v>
      </c>
      <c r="AT44" s="65">
        <v>3362.7459999999974</v>
      </c>
      <c r="AU44" s="65">
        <v>2019.5040000000022</v>
      </c>
      <c r="AV44" s="65">
        <v>715.62099999999975</v>
      </c>
      <c r="AW44" s="65">
        <v>6048.6260000000057</v>
      </c>
      <c r="AX44" s="65">
        <v>5122.375</v>
      </c>
      <c r="AY44" s="65">
        <v>3591.1139999999996</v>
      </c>
      <c r="AZ44" s="65">
        <v>1946.5230000000006</v>
      </c>
      <c r="BA44" s="65">
        <v>8483.4660000000022</v>
      </c>
      <c r="BB44" s="65">
        <v>4609.9179999999988</v>
      </c>
      <c r="BC44" s="65">
        <v>2561.386</v>
      </c>
      <c r="BD44" s="65">
        <v>1374.3189999999997</v>
      </c>
      <c r="BE44" s="65">
        <v>1783.012999999999</v>
      </c>
      <c r="BF44" s="65">
        <v>1221.4659999999999</v>
      </c>
      <c r="BG44" s="65">
        <v>346.41399999999817</v>
      </c>
      <c r="BH44" s="65">
        <v>191.8449999999998</v>
      </c>
      <c r="BI44" s="65">
        <v>7287.126000000002</v>
      </c>
      <c r="BJ44" s="65">
        <v>6948.4519999999975</v>
      </c>
      <c r="BK44" s="65">
        <v>5533.1900000000005</v>
      </c>
      <c r="BL44" s="65">
        <v>2470.0680000000007</v>
      </c>
      <c r="BM44" s="19">
        <v>5137.0159999999996</v>
      </c>
      <c r="BN44" s="19">
        <v>2850.0619999999985</v>
      </c>
      <c r="BO44" s="19">
        <v>1562.9040000000009</v>
      </c>
      <c r="BP44" s="19">
        <v>485.14400000000023</v>
      </c>
      <c r="BQ44" s="19" t="s">
        <v>121</v>
      </c>
      <c r="BR44" s="19" t="s">
        <v>121</v>
      </c>
      <c r="BS44" s="19" t="s">
        <v>121</v>
      </c>
      <c r="BT44" s="19" t="s">
        <v>121</v>
      </c>
      <c r="BU44" s="19" t="s">
        <v>121</v>
      </c>
      <c r="BV44" s="19" t="s">
        <v>121</v>
      </c>
      <c r="BW44" s="19" t="s">
        <v>121</v>
      </c>
      <c r="BX44" s="19" t="s">
        <v>121</v>
      </c>
      <c r="BY44" s="19" t="s">
        <v>121</v>
      </c>
      <c r="BZ44" s="19" t="s">
        <v>121</v>
      </c>
      <c r="CA44" s="19" t="s">
        <v>121</v>
      </c>
      <c r="CB44" s="19" t="s">
        <v>121</v>
      </c>
      <c r="CC44" s="19" t="s">
        <v>121</v>
      </c>
      <c r="CD44" s="19" t="s">
        <v>121</v>
      </c>
      <c r="CE44" s="19" t="s">
        <v>121</v>
      </c>
      <c r="CF44" s="19" t="s">
        <v>121</v>
      </c>
      <c r="CG44" s="19" t="s">
        <v>121</v>
      </c>
      <c r="CH44" s="19" t="s">
        <v>121</v>
      </c>
      <c r="CI44" s="19" t="s">
        <v>121</v>
      </c>
      <c r="CJ44" s="19" t="s">
        <v>121</v>
      </c>
      <c r="CK44" s="19" t="s">
        <v>121</v>
      </c>
      <c r="CL44" s="19" t="s">
        <v>121</v>
      </c>
      <c r="CM44" s="19" t="s">
        <v>121</v>
      </c>
      <c r="CN44" s="19" t="s">
        <v>121</v>
      </c>
      <c r="CO44" s="19" t="s">
        <v>121</v>
      </c>
      <c r="CP44" s="19" t="s">
        <v>121</v>
      </c>
      <c r="CQ44" s="19" t="s">
        <v>121</v>
      </c>
      <c r="CR44" s="19" t="s">
        <v>121</v>
      </c>
      <c r="CS44" s="19" t="s">
        <v>121</v>
      </c>
      <c r="CT44" s="19" t="s">
        <v>121</v>
      </c>
      <c r="CU44" s="19" t="s">
        <v>121</v>
      </c>
      <c r="CV44" s="19" t="s">
        <v>121</v>
      </c>
      <c r="CW44" s="19" t="s">
        <v>121</v>
      </c>
      <c r="CX44" s="19" t="s">
        <v>121</v>
      </c>
      <c r="CY44" s="19" t="s">
        <v>121</v>
      </c>
      <c r="CZ44" s="19" t="s">
        <v>121</v>
      </c>
      <c r="DA44" s="19" t="s">
        <v>121</v>
      </c>
      <c r="DB44" s="19" t="s">
        <v>121</v>
      </c>
      <c r="DC44" s="19" t="s">
        <v>121</v>
      </c>
      <c r="DD44" s="19" t="s">
        <v>121</v>
      </c>
      <c r="DE44" s="19" t="s">
        <v>121</v>
      </c>
      <c r="DF44" s="19" t="s">
        <v>121</v>
      </c>
      <c r="DG44" s="19" t="s">
        <v>121</v>
      </c>
      <c r="DH44" s="19" t="s">
        <v>121</v>
      </c>
      <c r="DI44" s="19" t="s">
        <v>121</v>
      </c>
      <c r="DJ44" s="19" t="s">
        <v>121</v>
      </c>
      <c r="DK44" s="19" t="s">
        <v>121</v>
      </c>
      <c r="DL44" s="19" t="s">
        <v>121</v>
      </c>
      <c r="DM44" s="19" t="s">
        <v>121</v>
      </c>
      <c r="DN44" s="19" t="s">
        <v>121</v>
      </c>
      <c r="DO44" s="19" t="s">
        <v>121</v>
      </c>
      <c r="DP44" s="19" t="s">
        <v>121</v>
      </c>
      <c r="DQ44" s="19" t="s">
        <v>121</v>
      </c>
      <c r="DR44" s="19" t="s">
        <v>121</v>
      </c>
      <c r="DS44" s="19" t="s">
        <v>121</v>
      </c>
      <c r="DT44" s="19" t="s">
        <v>121</v>
      </c>
      <c r="DU44" s="19" t="s">
        <v>121</v>
      </c>
      <c r="DV44" s="19" t="s">
        <v>121</v>
      </c>
      <c r="DW44" s="19" t="s">
        <v>121</v>
      </c>
      <c r="DX44" s="19" t="s">
        <v>121</v>
      </c>
      <c r="DY44" s="19" t="s">
        <v>121</v>
      </c>
      <c r="DZ44" s="19" t="s">
        <v>121</v>
      </c>
      <c r="EA44" s="19" t="s">
        <v>121</v>
      </c>
      <c r="EB44" s="19" t="s">
        <v>121</v>
      </c>
      <c r="EC44" s="19" t="s">
        <v>121</v>
      </c>
      <c r="ED44" s="19" t="s">
        <v>121</v>
      </c>
      <c r="EE44" s="19" t="s">
        <v>121</v>
      </c>
      <c r="EF44" s="19" t="s">
        <v>121</v>
      </c>
      <c r="EG44" s="19" t="s">
        <v>121</v>
      </c>
      <c r="EH44" s="19" t="s">
        <v>121</v>
      </c>
      <c r="EI44" s="19" t="s">
        <v>121</v>
      </c>
      <c r="EJ44" s="19" t="s">
        <v>121</v>
      </c>
      <c r="EK44" s="19" t="s">
        <v>121</v>
      </c>
      <c r="EL44" s="19" t="s">
        <v>121</v>
      </c>
      <c r="EM44" s="19" t="s">
        <v>121</v>
      </c>
      <c r="EN44" s="19" t="s">
        <v>121</v>
      </c>
      <c r="EO44" s="19" t="s">
        <v>121</v>
      </c>
      <c r="EP44" s="19" t="s">
        <v>121</v>
      </c>
      <c r="EQ44" s="19" t="s">
        <v>121</v>
      </c>
      <c r="ER44" s="19" t="s">
        <v>121</v>
      </c>
      <c r="ES44" s="19" t="s">
        <v>121</v>
      </c>
      <c r="ET44" s="19" t="s">
        <v>121</v>
      </c>
      <c r="EU44" s="19" t="s">
        <v>121</v>
      </c>
      <c r="EV44" s="19" t="s">
        <v>121</v>
      </c>
      <c r="EW44" s="19" t="s">
        <v>121</v>
      </c>
      <c r="EX44" s="19" t="s">
        <v>121</v>
      </c>
    </row>
    <row r="45" spans="1:154" s="25" customFormat="1" ht="15" customHeight="1" x14ac:dyDescent="0.25">
      <c r="A45" s="72">
        <v>45</v>
      </c>
      <c r="B45" s="30" t="s">
        <v>426</v>
      </c>
      <c r="C45" s="91" t="s">
        <v>121</v>
      </c>
      <c r="D45" s="86" t="s">
        <v>121</v>
      </c>
      <c r="E45" s="92" t="s">
        <v>121</v>
      </c>
      <c r="F45" s="22">
        <v>-10563</v>
      </c>
      <c r="G45" s="22">
        <v>-7766</v>
      </c>
      <c r="H45" s="22">
        <v>-4929</v>
      </c>
      <c r="I45" s="255">
        <v>-11937</v>
      </c>
      <c r="J45" s="22">
        <v>-8873</v>
      </c>
      <c r="K45" s="22">
        <v>-5726</v>
      </c>
      <c r="L45" s="22">
        <v>-3070</v>
      </c>
      <c r="M45" s="255">
        <v>-13900</v>
      </c>
      <c r="N45" s="255">
        <v>-9233</v>
      </c>
      <c r="O45" s="22">
        <v>-7069</v>
      </c>
      <c r="P45" s="22">
        <v>-3623</v>
      </c>
      <c r="Q45" s="405"/>
      <c r="R45" s="405"/>
      <c r="S45" s="405"/>
      <c r="T45" s="405"/>
      <c r="U45" s="22">
        <v>-4540</v>
      </c>
      <c r="V45" s="22">
        <v>-2851</v>
      </c>
      <c r="W45" s="22">
        <v>-1817</v>
      </c>
      <c r="X45" s="22">
        <v>-697</v>
      </c>
      <c r="Y45" s="22">
        <v>-2683</v>
      </c>
      <c r="Z45" s="22">
        <v>-1850.374</v>
      </c>
      <c r="AA45" s="22">
        <v>-820.64200000000005</v>
      </c>
      <c r="AB45" s="22">
        <v>-510.13200000000001</v>
      </c>
      <c r="AC45" s="22">
        <v>-1812.0440000000001</v>
      </c>
      <c r="AD45" s="22">
        <v>-1253.424</v>
      </c>
      <c r="AE45" s="22">
        <v>-805.31</v>
      </c>
      <c r="AF45" s="147">
        <v>-260.92899999999997</v>
      </c>
      <c r="AG45" s="22">
        <v>-2160.1210000000001</v>
      </c>
      <c r="AH45" s="22">
        <v>-1469.2339999999999</v>
      </c>
      <c r="AI45" s="22">
        <v>-1124.018</v>
      </c>
      <c r="AJ45" s="22">
        <v>-423.80799999999999</v>
      </c>
      <c r="AK45" s="22">
        <v>-1864.2630000000001</v>
      </c>
      <c r="AL45" s="22">
        <v>-1415.519</v>
      </c>
      <c r="AM45" s="22">
        <v>-810.18</v>
      </c>
      <c r="AN45" s="22">
        <v>-359.54599999999999</v>
      </c>
      <c r="AO45" s="22">
        <v>-855.44500000000005</v>
      </c>
      <c r="AP45" s="22">
        <v>-653.84</v>
      </c>
      <c r="AQ45" s="22">
        <v>-427.48</v>
      </c>
      <c r="AR45" s="22">
        <v>-345.25700000000001</v>
      </c>
      <c r="AS45" s="22">
        <v>-1128.509</v>
      </c>
      <c r="AT45" s="22">
        <v>-675.18499999999995</v>
      </c>
      <c r="AU45" s="22">
        <v>-451.86700000000002</v>
      </c>
      <c r="AV45" s="22">
        <v>-146.68</v>
      </c>
      <c r="AW45" s="22">
        <v>-1252.952</v>
      </c>
      <c r="AX45" s="22">
        <v>-1017.8579999999999</v>
      </c>
      <c r="AY45" s="22">
        <v>-671.59799999999996</v>
      </c>
      <c r="AZ45" s="22">
        <v>-270.96100000000001</v>
      </c>
      <c r="BA45" s="22">
        <v>-1788.203</v>
      </c>
      <c r="BB45" s="22">
        <v>-994.03200000000004</v>
      </c>
      <c r="BC45" s="22">
        <v>-558.23900000000003</v>
      </c>
      <c r="BD45" s="22">
        <v>-294.38900000000001</v>
      </c>
      <c r="BE45" s="22">
        <v>-479.51300000000003</v>
      </c>
      <c r="BF45" s="22">
        <v>-291.19</v>
      </c>
      <c r="BG45" s="22">
        <v>-109.06100000000001</v>
      </c>
      <c r="BH45" s="22">
        <v>-68.561000000000007</v>
      </c>
      <c r="BI45" s="22">
        <v>-1401.644</v>
      </c>
      <c r="BJ45" s="22">
        <v>-1310.3789999999999</v>
      </c>
      <c r="BK45" s="22">
        <v>-1037.73</v>
      </c>
      <c r="BL45" s="22">
        <v>-379.68099999999998</v>
      </c>
      <c r="BM45" s="25">
        <v>-1022.272</v>
      </c>
      <c r="BN45" s="25">
        <v>-550.09199999999998</v>
      </c>
      <c r="BO45" s="25">
        <v>-435.79300000000001</v>
      </c>
      <c r="BP45" s="25">
        <v>-135.26499999999999</v>
      </c>
      <c r="BQ45" s="25" t="s">
        <v>121</v>
      </c>
      <c r="BR45" s="25" t="s">
        <v>121</v>
      </c>
      <c r="BS45" s="25" t="s">
        <v>121</v>
      </c>
      <c r="BT45" s="25" t="s">
        <v>121</v>
      </c>
      <c r="BU45" s="25" t="s">
        <v>121</v>
      </c>
      <c r="BV45" s="25" t="s">
        <v>121</v>
      </c>
      <c r="BW45" s="25" t="s">
        <v>121</v>
      </c>
      <c r="BX45" s="25" t="s">
        <v>121</v>
      </c>
      <c r="BY45" s="25" t="s">
        <v>121</v>
      </c>
      <c r="BZ45" s="25" t="s">
        <v>121</v>
      </c>
      <c r="CA45" s="25" t="s">
        <v>121</v>
      </c>
      <c r="CB45" s="25" t="s">
        <v>121</v>
      </c>
      <c r="CC45" s="25" t="s">
        <v>121</v>
      </c>
      <c r="CD45" s="25" t="s">
        <v>121</v>
      </c>
      <c r="CE45" s="25" t="s">
        <v>121</v>
      </c>
      <c r="CF45" s="25" t="s">
        <v>121</v>
      </c>
      <c r="CG45" s="25" t="s">
        <v>121</v>
      </c>
      <c r="CH45" s="25" t="s">
        <v>121</v>
      </c>
      <c r="CI45" s="25" t="s">
        <v>121</v>
      </c>
      <c r="CJ45" s="25" t="s">
        <v>121</v>
      </c>
      <c r="CK45" s="25" t="s">
        <v>121</v>
      </c>
      <c r="CL45" s="25" t="s">
        <v>121</v>
      </c>
      <c r="CM45" s="25" t="s">
        <v>121</v>
      </c>
      <c r="CN45" s="25" t="s">
        <v>121</v>
      </c>
      <c r="CO45" s="25" t="s">
        <v>121</v>
      </c>
      <c r="CP45" s="25" t="s">
        <v>121</v>
      </c>
      <c r="CQ45" s="25" t="s">
        <v>121</v>
      </c>
      <c r="CR45" s="25" t="s">
        <v>121</v>
      </c>
      <c r="CS45" s="25" t="s">
        <v>121</v>
      </c>
      <c r="CT45" s="25" t="s">
        <v>121</v>
      </c>
      <c r="CU45" s="25" t="s">
        <v>121</v>
      </c>
      <c r="CV45" s="25" t="s">
        <v>121</v>
      </c>
      <c r="CW45" s="25" t="s">
        <v>121</v>
      </c>
      <c r="CX45" s="25" t="s">
        <v>121</v>
      </c>
      <c r="CY45" s="25" t="s">
        <v>121</v>
      </c>
      <c r="CZ45" s="25" t="s">
        <v>121</v>
      </c>
      <c r="DA45" s="25" t="s">
        <v>121</v>
      </c>
      <c r="DB45" s="25" t="s">
        <v>121</v>
      </c>
      <c r="DC45" s="25" t="s">
        <v>121</v>
      </c>
      <c r="DD45" s="25" t="s">
        <v>121</v>
      </c>
      <c r="DE45" s="25" t="s">
        <v>121</v>
      </c>
      <c r="DF45" s="25" t="s">
        <v>121</v>
      </c>
      <c r="DG45" s="25" t="s">
        <v>121</v>
      </c>
      <c r="DH45" s="25" t="s">
        <v>121</v>
      </c>
      <c r="DI45" s="25" t="s">
        <v>121</v>
      </c>
      <c r="DJ45" s="25" t="s">
        <v>121</v>
      </c>
      <c r="DK45" s="25" t="s">
        <v>121</v>
      </c>
      <c r="DL45" s="25" t="s">
        <v>121</v>
      </c>
      <c r="DM45" s="25" t="s">
        <v>121</v>
      </c>
      <c r="DN45" s="25" t="s">
        <v>121</v>
      </c>
      <c r="DO45" s="25" t="s">
        <v>121</v>
      </c>
      <c r="DP45" s="25" t="s">
        <v>121</v>
      </c>
      <c r="DQ45" s="25" t="s">
        <v>121</v>
      </c>
      <c r="DR45" s="25" t="s">
        <v>121</v>
      </c>
      <c r="DS45" s="25" t="s">
        <v>121</v>
      </c>
      <c r="DT45" s="25" t="s">
        <v>121</v>
      </c>
      <c r="DU45" s="25" t="s">
        <v>121</v>
      </c>
      <c r="DV45" s="25" t="s">
        <v>121</v>
      </c>
      <c r="DW45" s="25" t="s">
        <v>121</v>
      </c>
      <c r="DX45" s="25" t="s">
        <v>121</v>
      </c>
      <c r="DY45" s="25" t="s">
        <v>121</v>
      </c>
      <c r="DZ45" s="25" t="s">
        <v>121</v>
      </c>
      <c r="EA45" s="25" t="s">
        <v>121</v>
      </c>
      <c r="EB45" s="25" t="s">
        <v>121</v>
      </c>
      <c r="EC45" s="25" t="s">
        <v>121</v>
      </c>
      <c r="ED45" s="25" t="s">
        <v>121</v>
      </c>
      <c r="EE45" s="25" t="s">
        <v>121</v>
      </c>
      <c r="EF45" s="25" t="s">
        <v>121</v>
      </c>
      <c r="EG45" s="25" t="s">
        <v>121</v>
      </c>
      <c r="EH45" s="25" t="s">
        <v>121</v>
      </c>
      <c r="EI45" s="25" t="s">
        <v>121</v>
      </c>
      <c r="EJ45" s="25" t="s">
        <v>121</v>
      </c>
      <c r="EK45" s="25" t="s">
        <v>121</v>
      </c>
      <c r="EL45" s="25" t="s">
        <v>121</v>
      </c>
      <c r="EM45" s="25" t="s">
        <v>121</v>
      </c>
      <c r="EN45" s="25" t="s">
        <v>121</v>
      </c>
      <c r="EO45" s="25" t="s">
        <v>121</v>
      </c>
      <c r="EP45" s="25" t="s">
        <v>121</v>
      </c>
      <c r="EQ45" s="25" t="s">
        <v>121</v>
      </c>
      <c r="ER45" s="25" t="s">
        <v>121</v>
      </c>
      <c r="ES45" s="25" t="s">
        <v>121</v>
      </c>
      <c r="ET45" s="25" t="s">
        <v>121</v>
      </c>
      <c r="EU45" s="25" t="s">
        <v>121</v>
      </c>
      <c r="EV45" s="25" t="s">
        <v>121</v>
      </c>
      <c r="EW45" s="25" t="s">
        <v>121</v>
      </c>
      <c r="EX45" s="25" t="s">
        <v>121</v>
      </c>
    </row>
    <row r="46" spans="1:154" s="19" customFormat="1" ht="26.25" customHeight="1" x14ac:dyDescent="0.25">
      <c r="A46" s="72">
        <v>46</v>
      </c>
      <c r="B46" s="54" t="s">
        <v>427</v>
      </c>
      <c r="C46" s="91" t="s">
        <v>121</v>
      </c>
      <c r="D46" s="86" t="s">
        <v>121</v>
      </c>
      <c r="E46" s="94" t="s">
        <v>121</v>
      </c>
      <c r="F46" s="65" t="s">
        <v>121</v>
      </c>
      <c r="G46" s="65" t="s">
        <v>121</v>
      </c>
      <c r="H46" s="65" t="s">
        <v>121</v>
      </c>
      <c r="I46" s="65" t="s">
        <v>121</v>
      </c>
      <c r="J46" s="65" t="s">
        <v>121</v>
      </c>
      <c r="K46" s="65" t="s">
        <v>121</v>
      </c>
      <c r="L46" s="65" t="s">
        <v>121</v>
      </c>
      <c r="M46" s="65" t="s">
        <v>121</v>
      </c>
      <c r="N46" s="65" t="s">
        <v>121</v>
      </c>
      <c r="O46" s="65" t="s">
        <v>121</v>
      </c>
      <c r="P46" s="65" t="s">
        <v>121</v>
      </c>
      <c r="Q46" s="405"/>
      <c r="R46" s="405"/>
      <c r="S46" s="405"/>
      <c r="T46" s="405"/>
      <c r="U46" s="65" t="s">
        <v>121</v>
      </c>
      <c r="V46" s="65" t="s">
        <v>121</v>
      </c>
      <c r="W46" s="65" t="s">
        <v>121</v>
      </c>
      <c r="X46" s="65" t="s">
        <v>121</v>
      </c>
      <c r="Y46" s="65" t="s">
        <v>121</v>
      </c>
      <c r="Z46" s="65" t="s">
        <v>121</v>
      </c>
      <c r="AA46" s="65" t="s">
        <v>121</v>
      </c>
      <c r="AB46" s="65" t="s">
        <v>121</v>
      </c>
      <c r="AC46" s="65" t="s">
        <v>121</v>
      </c>
      <c r="AD46" s="65" t="s">
        <v>121</v>
      </c>
      <c r="AE46" s="65" t="s">
        <v>121</v>
      </c>
      <c r="AF46" s="147" t="s">
        <v>121</v>
      </c>
      <c r="AG46" s="22" t="s">
        <v>121</v>
      </c>
      <c r="AH46" s="22" t="s">
        <v>121</v>
      </c>
      <c r="AI46" s="65" t="s">
        <v>121</v>
      </c>
      <c r="AJ46" s="65" t="s">
        <v>121</v>
      </c>
      <c r="AK46" s="65" t="s">
        <v>121</v>
      </c>
      <c r="AL46" s="65" t="s">
        <v>121</v>
      </c>
      <c r="AM46" s="65" t="s">
        <v>121</v>
      </c>
      <c r="AN46" s="65" t="s">
        <v>121</v>
      </c>
      <c r="AO46" s="65" t="s">
        <v>121</v>
      </c>
      <c r="AP46" s="65" t="s">
        <v>121</v>
      </c>
      <c r="AQ46" s="65" t="s">
        <v>121</v>
      </c>
      <c r="AR46" s="65" t="s">
        <v>121</v>
      </c>
      <c r="AS46" s="65" t="s">
        <v>121</v>
      </c>
      <c r="AT46" s="65" t="s">
        <v>121</v>
      </c>
      <c r="AU46" s="65" t="s">
        <v>121</v>
      </c>
      <c r="AV46" s="65" t="s">
        <v>121</v>
      </c>
      <c r="AW46" s="65" t="s">
        <v>121</v>
      </c>
      <c r="AX46" s="20" t="s">
        <v>121</v>
      </c>
      <c r="AY46" s="20" t="s">
        <v>121</v>
      </c>
      <c r="AZ46" s="65" t="s">
        <v>121</v>
      </c>
      <c r="BA46" s="20" t="s">
        <v>121</v>
      </c>
      <c r="BB46" s="20" t="s">
        <v>121</v>
      </c>
      <c r="BC46" s="20" t="s">
        <v>121</v>
      </c>
      <c r="BD46" s="20" t="s">
        <v>121</v>
      </c>
      <c r="BE46" s="20" t="s">
        <v>121</v>
      </c>
      <c r="BF46" s="20" t="s">
        <v>121</v>
      </c>
      <c r="BG46" s="20" t="s">
        <v>121</v>
      </c>
      <c r="BH46" s="20" t="s">
        <v>121</v>
      </c>
      <c r="BI46" s="20" t="s">
        <v>121</v>
      </c>
      <c r="BJ46" s="20" t="s">
        <v>121</v>
      </c>
      <c r="BK46" s="20" t="s">
        <v>121</v>
      </c>
      <c r="BL46" s="20" t="s">
        <v>121</v>
      </c>
      <c r="BM46" s="19" t="s">
        <v>121</v>
      </c>
      <c r="BN46" s="19" t="s">
        <v>121</v>
      </c>
      <c r="BO46" s="19" t="s">
        <v>121</v>
      </c>
      <c r="BP46" s="19" t="s">
        <v>121</v>
      </c>
      <c r="BQ46" s="19" t="s">
        <v>121</v>
      </c>
      <c r="BR46" s="19" t="s">
        <v>121</v>
      </c>
      <c r="BS46" s="19" t="s">
        <v>121</v>
      </c>
      <c r="BT46" s="19" t="s">
        <v>121</v>
      </c>
      <c r="BU46" s="19" t="s">
        <v>121</v>
      </c>
      <c r="BV46" s="19" t="s">
        <v>121</v>
      </c>
      <c r="BW46" s="19" t="s">
        <v>121</v>
      </c>
      <c r="BX46" s="19" t="s">
        <v>121</v>
      </c>
      <c r="BY46" s="19" t="s">
        <v>121</v>
      </c>
      <c r="BZ46" s="19" t="s">
        <v>121</v>
      </c>
      <c r="CA46" s="19" t="s">
        <v>121</v>
      </c>
      <c r="CB46" s="19" t="s">
        <v>121</v>
      </c>
      <c r="CC46" s="19" t="s">
        <v>121</v>
      </c>
      <c r="CD46" s="19" t="s">
        <v>121</v>
      </c>
      <c r="CE46" s="19" t="s">
        <v>121</v>
      </c>
      <c r="CF46" s="19" t="s">
        <v>121</v>
      </c>
      <c r="CG46" s="19" t="s">
        <v>121</v>
      </c>
      <c r="CH46" s="19" t="s">
        <v>121</v>
      </c>
      <c r="CI46" s="19" t="s">
        <v>121</v>
      </c>
      <c r="CJ46" s="19" t="s">
        <v>121</v>
      </c>
      <c r="CK46" s="19" t="s">
        <v>121</v>
      </c>
      <c r="CL46" s="19" t="s">
        <v>121</v>
      </c>
      <c r="CM46" s="19" t="s">
        <v>121</v>
      </c>
      <c r="CN46" s="19" t="s">
        <v>121</v>
      </c>
      <c r="CO46" s="19" t="s">
        <v>121</v>
      </c>
      <c r="CP46" s="19" t="s">
        <v>121</v>
      </c>
      <c r="CQ46" s="19" t="s">
        <v>121</v>
      </c>
      <c r="CR46" s="19" t="s">
        <v>121</v>
      </c>
      <c r="CS46" s="19" t="s">
        <v>121</v>
      </c>
      <c r="CT46" s="19" t="s">
        <v>121</v>
      </c>
      <c r="CU46" s="19" t="s">
        <v>121</v>
      </c>
      <c r="CV46" s="19" t="s">
        <v>121</v>
      </c>
      <c r="CW46" s="19" t="s">
        <v>121</v>
      </c>
      <c r="CX46" s="19" t="s">
        <v>121</v>
      </c>
      <c r="CY46" s="19" t="s">
        <v>121</v>
      </c>
      <c r="CZ46" s="19" t="s">
        <v>121</v>
      </c>
      <c r="DA46" s="19" t="s">
        <v>121</v>
      </c>
      <c r="DB46" s="19" t="s">
        <v>121</v>
      </c>
      <c r="DC46" s="19" t="s">
        <v>121</v>
      </c>
      <c r="DD46" s="19" t="s">
        <v>121</v>
      </c>
      <c r="DE46" s="19" t="s">
        <v>121</v>
      </c>
      <c r="DF46" s="19" t="s">
        <v>121</v>
      </c>
      <c r="DG46" s="19" t="s">
        <v>121</v>
      </c>
      <c r="DH46" s="19" t="s">
        <v>121</v>
      </c>
      <c r="DI46" s="19" t="s">
        <v>121</v>
      </c>
      <c r="DJ46" s="19" t="s">
        <v>121</v>
      </c>
      <c r="DK46" s="19" t="s">
        <v>121</v>
      </c>
      <c r="DL46" s="19" t="s">
        <v>121</v>
      </c>
      <c r="DM46" s="19" t="s">
        <v>121</v>
      </c>
      <c r="DN46" s="19" t="s">
        <v>121</v>
      </c>
      <c r="DO46" s="19" t="s">
        <v>121</v>
      </c>
      <c r="DP46" s="19" t="s">
        <v>121</v>
      </c>
      <c r="DQ46" s="19" t="s">
        <v>121</v>
      </c>
      <c r="DR46" s="19" t="s">
        <v>121</v>
      </c>
      <c r="DS46" s="19" t="s">
        <v>121</v>
      </c>
      <c r="DT46" s="19" t="s">
        <v>121</v>
      </c>
      <c r="DU46" s="19" t="s">
        <v>121</v>
      </c>
      <c r="DV46" s="19" t="s">
        <v>121</v>
      </c>
      <c r="DW46" s="19" t="s">
        <v>121</v>
      </c>
      <c r="DX46" s="19" t="s">
        <v>121</v>
      </c>
      <c r="DY46" s="19" t="s">
        <v>121</v>
      </c>
      <c r="DZ46" s="19" t="s">
        <v>121</v>
      </c>
      <c r="EA46" s="19" t="s">
        <v>121</v>
      </c>
      <c r="EB46" s="19" t="s">
        <v>121</v>
      </c>
      <c r="EC46" s="19" t="s">
        <v>121</v>
      </c>
      <c r="ED46" s="19" t="s">
        <v>121</v>
      </c>
      <c r="EE46" s="19" t="s">
        <v>121</v>
      </c>
      <c r="EF46" s="19" t="s">
        <v>121</v>
      </c>
      <c r="EG46" s="19" t="s">
        <v>121</v>
      </c>
      <c r="EH46" s="19" t="s">
        <v>121</v>
      </c>
      <c r="EI46" s="19" t="s">
        <v>121</v>
      </c>
      <c r="EJ46" s="19" t="s">
        <v>121</v>
      </c>
      <c r="EK46" s="19" t="s">
        <v>121</v>
      </c>
      <c r="EL46" s="19" t="s">
        <v>121</v>
      </c>
      <c r="EM46" s="19" t="s">
        <v>121</v>
      </c>
      <c r="EN46" s="19" t="s">
        <v>121</v>
      </c>
      <c r="EO46" s="19" t="s">
        <v>121</v>
      </c>
      <c r="EP46" s="19" t="s">
        <v>121</v>
      </c>
      <c r="EQ46" s="19" t="s">
        <v>121</v>
      </c>
      <c r="ER46" s="19" t="s">
        <v>121</v>
      </c>
      <c r="ES46" s="19" t="s">
        <v>121</v>
      </c>
      <c r="ET46" s="19" t="s">
        <v>121</v>
      </c>
      <c r="EU46" s="19" t="s">
        <v>121</v>
      </c>
      <c r="EV46" s="19" t="s">
        <v>121</v>
      </c>
      <c r="EW46" s="19" t="s">
        <v>121</v>
      </c>
      <c r="EX46" s="19" t="s">
        <v>121</v>
      </c>
    </row>
    <row r="47" spans="1:154" s="19" customFormat="1" ht="15" customHeight="1" x14ac:dyDescent="0.25">
      <c r="A47" s="72">
        <v>47</v>
      </c>
      <c r="B47" s="30" t="s">
        <v>428</v>
      </c>
      <c r="C47" s="91" t="s">
        <v>121</v>
      </c>
      <c r="D47" s="86" t="s">
        <v>121</v>
      </c>
      <c r="E47" s="94" t="s">
        <v>121</v>
      </c>
      <c r="F47" s="22">
        <v>33415</v>
      </c>
      <c r="G47" s="22">
        <v>24652</v>
      </c>
      <c r="H47" s="22">
        <v>15527</v>
      </c>
      <c r="I47" s="22">
        <v>50779</v>
      </c>
      <c r="J47" s="22">
        <v>37570</v>
      </c>
      <c r="K47" s="22">
        <v>24307</v>
      </c>
      <c r="L47" s="22">
        <v>13020</v>
      </c>
      <c r="M47" s="22">
        <v>47315</v>
      </c>
      <c r="N47" s="22">
        <v>36880</v>
      </c>
      <c r="O47" s="22">
        <v>28355</v>
      </c>
      <c r="P47" s="22">
        <v>14621</v>
      </c>
      <c r="Q47" s="405"/>
      <c r="R47" s="405"/>
      <c r="S47" s="405"/>
      <c r="T47" s="405"/>
      <c r="U47" s="22">
        <v>18083</v>
      </c>
      <c r="V47" s="22">
        <v>11406</v>
      </c>
      <c r="W47" s="22">
        <v>7269</v>
      </c>
      <c r="X47" s="22">
        <v>2393</v>
      </c>
      <c r="Y47" s="22">
        <v>10827</v>
      </c>
      <c r="Z47" s="22">
        <v>6348.5399999999972</v>
      </c>
      <c r="AA47" s="22">
        <v>3598.2960000000012</v>
      </c>
      <c r="AB47" s="22">
        <v>1581.163</v>
      </c>
      <c r="AC47" s="22">
        <v>7905.8909999999996</v>
      </c>
      <c r="AD47" s="22">
        <v>5528.6180000000004</v>
      </c>
      <c r="AE47" s="22">
        <v>3471.9580000000001</v>
      </c>
      <c r="AF47" s="147">
        <v>1281.037</v>
      </c>
      <c r="AG47" s="22">
        <v>8937.0409999999993</v>
      </c>
      <c r="AH47" s="22">
        <v>6383.19</v>
      </c>
      <c r="AI47" s="22">
        <v>4344.8379999999997</v>
      </c>
      <c r="AJ47" s="22">
        <v>1834.075</v>
      </c>
      <c r="AK47" s="22">
        <v>7625.0909999999985</v>
      </c>
      <c r="AL47" s="22">
        <v>5878.4290000000001</v>
      </c>
      <c r="AM47" s="22">
        <v>3491.2549999999997</v>
      </c>
      <c r="AN47" s="22">
        <v>1476.8300000000006</v>
      </c>
      <c r="AO47" s="22">
        <v>4277.8100000000004</v>
      </c>
      <c r="AP47" s="22">
        <v>3030.6719999999978</v>
      </c>
      <c r="AQ47" s="22">
        <v>1995.8069999999989</v>
      </c>
      <c r="AR47" s="22">
        <v>1169.5100000000009</v>
      </c>
      <c r="AS47" s="22">
        <v>3618.5149999999967</v>
      </c>
      <c r="AT47" s="22">
        <v>2687.5609999999974</v>
      </c>
      <c r="AU47" s="22">
        <v>1567.6370000000022</v>
      </c>
      <c r="AV47" s="22">
        <v>568.9409999999998</v>
      </c>
      <c r="AW47" s="22">
        <v>4795.6740000000054</v>
      </c>
      <c r="AX47" s="22">
        <v>4104.5169999999998</v>
      </c>
      <c r="AY47" s="22">
        <v>2919.5159999999996</v>
      </c>
      <c r="AZ47" s="22">
        <v>1675.5620000000006</v>
      </c>
      <c r="BA47" s="22">
        <v>6695.2630000000026</v>
      </c>
      <c r="BB47" s="22">
        <v>3615.8859999999986</v>
      </c>
      <c r="BC47" s="22">
        <v>2003.1469999999999</v>
      </c>
      <c r="BD47" s="22">
        <v>1079.9299999999998</v>
      </c>
      <c r="BE47" s="22">
        <v>1303.4999999999991</v>
      </c>
      <c r="BF47" s="22">
        <v>930.27599999999984</v>
      </c>
      <c r="BG47" s="22">
        <v>237.35299999999816</v>
      </c>
      <c r="BH47" s="22">
        <v>123.28399999999979</v>
      </c>
      <c r="BI47" s="22">
        <v>5885.4820000000018</v>
      </c>
      <c r="BJ47" s="22">
        <v>5638.0729999999976</v>
      </c>
      <c r="BK47" s="22">
        <v>4495.4600000000009</v>
      </c>
      <c r="BL47" s="22">
        <v>2090.3870000000006</v>
      </c>
      <c r="BM47" s="19">
        <v>4114.7439999999997</v>
      </c>
      <c r="BN47" s="19">
        <v>2299.9699999999984</v>
      </c>
      <c r="BO47" s="19">
        <v>1127.1110000000008</v>
      </c>
      <c r="BP47" s="19">
        <v>349.87900000000025</v>
      </c>
      <c r="BQ47" s="19" t="s">
        <v>121</v>
      </c>
      <c r="BR47" s="19" t="s">
        <v>121</v>
      </c>
      <c r="BS47" s="19" t="s">
        <v>121</v>
      </c>
      <c r="BT47" s="19" t="s">
        <v>121</v>
      </c>
      <c r="BU47" s="19" t="s">
        <v>121</v>
      </c>
      <c r="BV47" s="19" t="s">
        <v>121</v>
      </c>
      <c r="BW47" s="19" t="s">
        <v>121</v>
      </c>
      <c r="BX47" s="19" t="s">
        <v>121</v>
      </c>
      <c r="BY47" s="19" t="s">
        <v>121</v>
      </c>
      <c r="BZ47" s="19" t="s">
        <v>121</v>
      </c>
      <c r="CA47" s="19" t="s">
        <v>121</v>
      </c>
      <c r="CB47" s="19" t="s">
        <v>121</v>
      </c>
      <c r="CC47" s="19" t="s">
        <v>121</v>
      </c>
      <c r="CD47" s="19" t="s">
        <v>121</v>
      </c>
      <c r="CE47" s="19" t="s">
        <v>121</v>
      </c>
      <c r="CF47" s="19" t="s">
        <v>121</v>
      </c>
      <c r="CG47" s="19" t="s">
        <v>121</v>
      </c>
      <c r="CH47" s="19" t="s">
        <v>121</v>
      </c>
      <c r="CI47" s="19" t="s">
        <v>121</v>
      </c>
      <c r="CJ47" s="19" t="s">
        <v>121</v>
      </c>
      <c r="CK47" s="19" t="s">
        <v>121</v>
      </c>
      <c r="CL47" s="19" t="s">
        <v>121</v>
      </c>
      <c r="CM47" s="19" t="s">
        <v>121</v>
      </c>
      <c r="CN47" s="19" t="s">
        <v>121</v>
      </c>
      <c r="CO47" s="19" t="s">
        <v>121</v>
      </c>
      <c r="CP47" s="19" t="s">
        <v>121</v>
      </c>
      <c r="CQ47" s="19" t="s">
        <v>121</v>
      </c>
      <c r="CR47" s="19" t="s">
        <v>121</v>
      </c>
      <c r="CS47" s="19" t="s">
        <v>121</v>
      </c>
      <c r="CT47" s="19" t="s">
        <v>121</v>
      </c>
      <c r="CU47" s="19" t="s">
        <v>121</v>
      </c>
      <c r="CV47" s="19" t="s">
        <v>121</v>
      </c>
      <c r="CW47" s="19" t="s">
        <v>121</v>
      </c>
      <c r="CX47" s="19" t="s">
        <v>121</v>
      </c>
      <c r="CY47" s="19" t="s">
        <v>121</v>
      </c>
      <c r="CZ47" s="19" t="s">
        <v>121</v>
      </c>
      <c r="DA47" s="19" t="s">
        <v>121</v>
      </c>
      <c r="DB47" s="19" t="s">
        <v>121</v>
      </c>
      <c r="DC47" s="19" t="s">
        <v>121</v>
      </c>
      <c r="DD47" s="19" t="s">
        <v>121</v>
      </c>
      <c r="DE47" s="19" t="s">
        <v>121</v>
      </c>
      <c r="DF47" s="19" t="s">
        <v>121</v>
      </c>
      <c r="DG47" s="19" t="s">
        <v>121</v>
      </c>
      <c r="DH47" s="19" t="s">
        <v>121</v>
      </c>
      <c r="DI47" s="19" t="s">
        <v>121</v>
      </c>
      <c r="DJ47" s="19" t="s">
        <v>121</v>
      </c>
      <c r="DK47" s="19" t="s">
        <v>121</v>
      </c>
      <c r="DL47" s="19" t="s">
        <v>121</v>
      </c>
      <c r="DM47" s="19" t="s">
        <v>121</v>
      </c>
      <c r="DN47" s="19" t="s">
        <v>121</v>
      </c>
      <c r="DO47" s="19" t="s">
        <v>121</v>
      </c>
      <c r="DP47" s="19" t="s">
        <v>121</v>
      </c>
      <c r="DQ47" s="19" t="s">
        <v>121</v>
      </c>
      <c r="DR47" s="19" t="s">
        <v>121</v>
      </c>
      <c r="DS47" s="19" t="s">
        <v>121</v>
      </c>
      <c r="DT47" s="19" t="s">
        <v>121</v>
      </c>
      <c r="DU47" s="19" t="s">
        <v>121</v>
      </c>
      <c r="DV47" s="19" t="s">
        <v>121</v>
      </c>
      <c r="DW47" s="19" t="s">
        <v>121</v>
      </c>
      <c r="DX47" s="19" t="s">
        <v>121</v>
      </c>
      <c r="DY47" s="19" t="s">
        <v>121</v>
      </c>
      <c r="DZ47" s="19" t="s">
        <v>121</v>
      </c>
      <c r="EA47" s="19" t="s">
        <v>121</v>
      </c>
      <c r="EB47" s="19" t="s">
        <v>121</v>
      </c>
      <c r="EC47" s="19" t="s">
        <v>121</v>
      </c>
      <c r="ED47" s="19" t="s">
        <v>121</v>
      </c>
      <c r="EE47" s="19" t="s">
        <v>121</v>
      </c>
      <c r="EF47" s="19" t="s">
        <v>121</v>
      </c>
      <c r="EG47" s="19" t="s">
        <v>121</v>
      </c>
      <c r="EH47" s="19" t="s">
        <v>121</v>
      </c>
      <c r="EI47" s="19" t="s">
        <v>121</v>
      </c>
      <c r="EJ47" s="19" t="s">
        <v>121</v>
      </c>
      <c r="EK47" s="19" t="s">
        <v>121</v>
      </c>
      <c r="EL47" s="19" t="s">
        <v>121</v>
      </c>
      <c r="EM47" s="19" t="s">
        <v>121</v>
      </c>
      <c r="EN47" s="19" t="s">
        <v>121</v>
      </c>
      <c r="EO47" s="19" t="s">
        <v>121</v>
      </c>
      <c r="EP47" s="19" t="s">
        <v>121</v>
      </c>
      <c r="EQ47" s="19" t="s">
        <v>121</v>
      </c>
      <c r="ER47" s="19" t="s">
        <v>121</v>
      </c>
      <c r="ES47" s="19" t="s">
        <v>121</v>
      </c>
      <c r="ET47" s="19" t="s">
        <v>121</v>
      </c>
      <c r="EU47" s="19" t="s">
        <v>121</v>
      </c>
      <c r="EV47" s="19" t="s">
        <v>121</v>
      </c>
      <c r="EW47" s="19" t="s">
        <v>121</v>
      </c>
      <c r="EX47" s="19" t="s">
        <v>121</v>
      </c>
    </row>
    <row r="48" spans="1:154" s="19" customFormat="1" ht="15" customHeight="1" x14ac:dyDescent="0.25">
      <c r="A48" s="72">
        <v>48</v>
      </c>
      <c r="B48" s="30" t="s">
        <v>308</v>
      </c>
      <c r="C48" s="91" t="s">
        <v>121</v>
      </c>
      <c r="D48" s="86" t="s">
        <v>121</v>
      </c>
      <c r="E48" s="94" t="s">
        <v>121</v>
      </c>
      <c r="F48" s="324" t="s">
        <v>121</v>
      </c>
      <c r="G48" s="324" t="s">
        <v>121</v>
      </c>
      <c r="H48" s="324" t="s">
        <v>121</v>
      </c>
      <c r="I48" s="324" t="s">
        <v>121</v>
      </c>
      <c r="J48" s="324" t="s">
        <v>121</v>
      </c>
      <c r="K48" s="324" t="s">
        <v>121</v>
      </c>
      <c r="L48" s="324" t="s">
        <v>121</v>
      </c>
      <c r="M48" s="324" t="s">
        <v>121</v>
      </c>
      <c r="N48" s="324" t="s">
        <v>121</v>
      </c>
      <c r="O48" s="324" t="s">
        <v>121</v>
      </c>
      <c r="P48" s="324" t="s">
        <v>121</v>
      </c>
      <c r="Q48" s="405"/>
      <c r="R48" s="405"/>
      <c r="S48" s="405"/>
      <c r="T48" s="405"/>
      <c r="U48" s="22" t="s">
        <v>121</v>
      </c>
      <c r="V48" s="22" t="s">
        <v>121</v>
      </c>
      <c r="W48" s="22" t="s">
        <v>121</v>
      </c>
      <c r="X48" s="22" t="s">
        <v>121</v>
      </c>
      <c r="Y48" s="22" t="s">
        <v>121</v>
      </c>
      <c r="Z48" s="22" t="s">
        <v>121</v>
      </c>
      <c r="AA48" s="22" t="s">
        <v>121</v>
      </c>
      <c r="AB48" s="22" t="s">
        <v>121</v>
      </c>
      <c r="AC48" s="22" t="s">
        <v>121</v>
      </c>
      <c r="AD48" s="22">
        <v>-26.533000000000001</v>
      </c>
      <c r="AE48" s="22">
        <v>-0.28100000000000003</v>
      </c>
      <c r="AF48" s="147">
        <v>0.61699999999999999</v>
      </c>
      <c r="AG48" s="22">
        <v>109.887</v>
      </c>
      <c r="AH48" s="22">
        <v>88.759</v>
      </c>
      <c r="AI48" s="65">
        <v>45.113999999999997</v>
      </c>
      <c r="AJ48" s="65">
        <v>12.996</v>
      </c>
      <c r="AK48" s="65">
        <v>61.978999999999999</v>
      </c>
      <c r="AL48" s="65">
        <v>54.718000000000004</v>
      </c>
      <c r="AM48" s="65">
        <v>28.922999999999998</v>
      </c>
      <c r="AN48" s="65" t="s">
        <v>121</v>
      </c>
      <c r="AO48" s="65" t="s">
        <v>121</v>
      </c>
      <c r="AP48" s="65" t="s">
        <v>121</v>
      </c>
      <c r="AQ48" s="65" t="s">
        <v>121</v>
      </c>
      <c r="AR48" s="65" t="s">
        <v>121</v>
      </c>
      <c r="AS48" s="65" t="s">
        <v>121</v>
      </c>
      <c r="AT48" s="65" t="s">
        <v>121</v>
      </c>
      <c r="AU48" s="65" t="s">
        <v>121</v>
      </c>
      <c r="AV48" s="65" t="s">
        <v>121</v>
      </c>
      <c r="AW48" s="65" t="s">
        <v>121</v>
      </c>
      <c r="AX48" s="20" t="s">
        <v>121</v>
      </c>
      <c r="AY48" s="20" t="s">
        <v>121</v>
      </c>
      <c r="AZ48" s="65" t="s">
        <v>121</v>
      </c>
      <c r="BA48" s="20" t="s">
        <v>121</v>
      </c>
      <c r="BB48" s="20" t="s">
        <v>121</v>
      </c>
      <c r="BC48" s="20" t="s">
        <v>121</v>
      </c>
      <c r="BD48" s="20" t="s">
        <v>121</v>
      </c>
      <c r="BE48" s="20" t="s">
        <v>121</v>
      </c>
      <c r="BF48" s="20" t="s">
        <v>121</v>
      </c>
      <c r="BG48" s="20" t="s">
        <v>121</v>
      </c>
      <c r="BH48" s="20" t="s">
        <v>121</v>
      </c>
      <c r="BI48" s="20" t="s">
        <v>121</v>
      </c>
      <c r="BJ48" s="20" t="s">
        <v>121</v>
      </c>
      <c r="BK48" s="20" t="s">
        <v>121</v>
      </c>
      <c r="BL48" s="20" t="s">
        <v>121</v>
      </c>
      <c r="BM48" s="19" t="s">
        <v>121</v>
      </c>
      <c r="BN48" s="19" t="s">
        <v>121</v>
      </c>
      <c r="BO48" s="19" t="s">
        <v>121</v>
      </c>
      <c r="BP48" s="19" t="s">
        <v>121</v>
      </c>
      <c r="BQ48" s="19" t="s">
        <v>121</v>
      </c>
      <c r="BR48" s="19" t="s">
        <v>121</v>
      </c>
      <c r="BS48" s="19" t="s">
        <v>121</v>
      </c>
      <c r="BT48" s="19" t="s">
        <v>121</v>
      </c>
      <c r="BU48" s="19" t="s">
        <v>121</v>
      </c>
      <c r="BV48" s="19" t="s">
        <v>121</v>
      </c>
      <c r="BW48" s="19" t="s">
        <v>121</v>
      </c>
      <c r="BX48" s="19" t="s">
        <v>121</v>
      </c>
      <c r="BY48" s="19" t="s">
        <v>121</v>
      </c>
      <c r="BZ48" s="19" t="s">
        <v>121</v>
      </c>
      <c r="CA48" s="19" t="s">
        <v>121</v>
      </c>
      <c r="CB48" s="19" t="s">
        <v>121</v>
      </c>
      <c r="CC48" s="19" t="s">
        <v>121</v>
      </c>
      <c r="CD48" s="19" t="s">
        <v>121</v>
      </c>
      <c r="CE48" s="19" t="s">
        <v>121</v>
      </c>
      <c r="CF48" s="19" t="s">
        <v>121</v>
      </c>
      <c r="CG48" s="19" t="s">
        <v>121</v>
      </c>
      <c r="CH48" s="19" t="s">
        <v>121</v>
      </c>
      <c r="CI48" s="19" t="s">
        <v>121</v>
      </c>
      <c r="CJ48" s="19" t="s">
        <v>121</v>
      </c>
      <c r="CK48" s="19" t="s">
        <v>121</v>
      </c>
      <c r="CL48" s="19" t="s">
        <v>121</v>
      </c>
      <c r="CM48" s="19" t="s">
        <v>121</v>
      </c>
      <c r="CN48" s="19" t="s">
        <v>121</v>
      </c>
      <c r="CO48" s="19" t="s">
        <v>121</v>
      </c>
      <c r="CP48" s="19" t="s">
        <v>121</v>
      </c>
      <c r="CQ48" s="19" t="s">
        <v>121</v>
      </c>
      <c r="CR48" s="19" t="s">
        <v>121</v>
      </c>
      <c r="CS48" s="19" t="s">
        <v>121</v>
      </c>
      <c r="CT48" s="19" t="s">
        <v>121</v>
      </c>
      <c r="CU48" s="19" t="s">
        <v>121</v>
      </c>
      <c r="CV48" s="19" t="s">
        <v>121</v>
      </c>
      <c r="CW48" s="19" t="s">
        <v>121</v>
      </c>
      <c r="CX48" s="19" t="s">
        <v>121</v>
      </c>
      <c r="CY48" s="19" t="s">
        <v>121</v>
      </c>
      <c r="CZ48" s="19" t="s">
        <v>121</v>
      </c>
      <c r="DA48" s="19" t="s">
        <v>121</v>
      </c>
      <c r="DB48" s="19" t="s">
        <v>121</v>
      </c>
      <c r="DC48" s="19" t="s">
        <v>121</v>
      </c>
      <c r="DD48" s="19" t="s">
        <v>121</v>
      </c>
      <c r="DE48" s="19" t="s">
        <v>121</v>
      </c>
      <c r="DF48" s="19" t="s">
        <v>121</v>
      </c>
      <c r="DG48" s="19" t="s">
        <v>121</v>
      </c>
      <c r="DH48" s="19" t="s">
        <v>121</v>
      </c>
      <c r="DI48" s="19" t="s">
        <v>121</v>
      </c>
      <c r="DJ48" s="19" t="s">
        <v>121</v>
      </c>
      <c r="DK48" s="19" t="s">
        <v>121</v>
      </c>
      <c r="DL48" s="19" t="s">
        <v>121</v>
      </c>
      <c r="DM48" s="19" t="s">
        <v>121</v>
      </c>
      <c r="DN48" s="19" t="s">
        <v>121</v>
      </c>
      <c r="DO48" s="19" t="s">
        <v>121</v>
      </c>
      <c r="DP48" s="19" t="s">
        <v>121</v>
      </c>
      <c r="DQ48" s="19" t="s">
        <v>121</v>
      </c>
      <c r="DR48" s="19" t="s">
        <v>121</v>
      </c>
      <c r="DS48" s="19" t="s">
        <v>121</v>
      </c>
      <c r="DT48" s="19" t="s">
        <v>121</v>
      </c>
      <c r="DU48" s="19" t="s">
        <v>121</v>
      </c>
      <c r="DV48" s="19" t="s">
        <v>121</v>
      </c>
      <c r="DW48" s="19" t="s">
        <v>121</v>
      </c>
      <c r="DX48" s="19" t="s">
        <v>121</v>
      </c>
      <c r="DY48" s="19" t="s">
        <v>121</v>
      </c>
      <c r="DZ48" s="19" t="s">
        <v>121</v>
      </c>
      <c r="EA48" s="19" t="s">
        <v>121</v>
      </c>
      <c r="EB48" s="19" t="s">
        <v>121</v>
      </c>
      <c r="EC48" s="19" t="s">
        <v>121</v>
      </c>
      <c r="ED48" s="19" t="s">
        <v>121</v>
      </c>
      <c r="EE48" s="19" t="s">
        <v>121</v>
      </c>
      <c r="EF48" s="19" t="s">
        <v>121</v>
      </c>
      <c r="EG48" s="19" t="s">
        <v>121</v>
      </c>
      <c r="EH48" s="19" t="s">
        <v>121</v>
      </c>
      <c r="EI48" s="19" t="s">
        <v>121</v>
      </c>
      <c r="EJ48" s="19" t="s">
        <v>121</v>
      </c>
      <c r="EK48" s="19" t="s">
        <v>121</v>
      </c>
      <c r="EL48" s="19" t="s">
        <v>121</v>
      </c>
      <c r="EM48" s="19" t="s">
        <v>121</v>
      </c>
      <c r="EN48" s="19" t="s">
        <v>121</v>
      </c>
      <c r="EO48" s="19" t="s">
        <v>121</v>
      </c>
      <c r="EP48" s="19" t="s">
        <v>121</v>
      </c>
      <c r="EQ48" s="19" t="s">
        <v>121</v>
      </c>
      <c r="ER48" s="19" t="s">
        <v>121</v>
      </c>
      <c r="ES48" s="19" t="s">
        <v>121</v>
      </c>
      <c r="ET48" s="19" t="s">
        <v>121</v>
      </c>
      <c r="EU48" s="19" t="s">
        <v>121</v>
      </c>
      <c r="EV48" s="19" t="s">
        <v>121</v>
      </c>
      <c r="EW48" s="19" t="s">
        <v>121</v>
      </c>
      <c r="EX48" s="19" t="s">
        <v>121</v>
      </c>
    </row>
    <row r="49" spans="1:154" s="19" customFormat="1" ht="26.1" customHeight="1" x14ac:dyDescent="0.25">
      <c r="A49" s="72">
        <v>49</v>
      </c>
      <c r="B49" s="54" t="s">
        <v>196</v>
      </c>
      <c r="C49" s="91" t="s">
        <v>121</v>
      </c>
      <c r="D49" s="86" t="s">
        <v>121</v>
      </c>
      <c r="E49" s="94">
        <v>-0.11059355869044452</v>
      </c>
      <c r="F49" s="65">
        <v>33415</v>
      </c>
      <c r="G49" s="65">
        <v>24652</v>
      </c>
      <c r="H49" s="65">
        <v>15527</v>
      </c>
      <c r="I49" s="65">
        <v>50779</v>
      </c>
      <c r="J49" s="65">
        <v>37570</v>
      </c>
      <c r="K49" s="65">
        <v>24307</v>
      </c>
      <c r="L49" s="65">
        <v>13020</v>
      </c>
      <c r="M49" s="65">
        <v>47315</v>
      </c>
      <c r="N49" s="65">
        <v>36880</v>
      </c>
      <c r="O49" s="65">
        <v>28355</v>
      </c>
      <c r="P49" s="65">
        <v>14621</v>
      </c>
      <c r="Q49" s="405"/>
      <c r="R49" s="405"/>
      <c r="S49" s="405"/>
      <c r="T49" s="405"/>
      <c r="U49" s="65">
        <v>18083</v>
      </c>
      <c r="V49" s="65">
        <v>11406</v>
      </c>
      <c r="W49" s="65">
        <v>7269</v>
      </c>
      <c r="X49" s="65">
        <v>2393</v>
      </c>
      <c r="Y49" s="65">
        <v>10827</v>
      </c>
      <c r="Z49" s="65">
        <v>6348.5399999999972</v>
      </c>
      <c r="AA49" s="65">
        <v>3598.2960000000012</v>
      </c>
      <c r="AB49" s="65">
        <v>1581.1629999999996</v>
      </c>
      <c r="AC49" s="65">
        <v>7905.8910000000033</v>
      </c>
      <c r="AD49" s="65">
        <v>5502.0840000000017</v>
      </c>
      <c r="AE49" s="65">
        <v>3471.6769999999992</v>
      </c>
      <c r="AF49" s="167">
        <v>1281.6540000000005</v>
      </c>
      <c r="AG49" s="65">
        <v>9046.9279999999999</v>
      </c>
      <c r="AH49" s="65">
        <v>6471.9489999999932</v>
      </c>
      <c r="AI49" s="65">
        <v>4389.9519999999984</v>
      </c>
      <c r="AJ49" s="65">
        <v>1847.070999999999</v>
      </c>
      <c r="AK49" s="65">
        <v>7491.0559999999941</v>
      </c>
      <c r="AL49" s="65">
        <v>5737.1329999999989</v>
      </c>
      <c r="AM49" s="65">
        <v>3324.1639999999993</v>
      </c>
      <c r="AN49" s="65">
        <v>1476.8300000000006</v>
      </c>
      <c r="AO49" s="65">
        <v>4277.8100000000004</v>
      </c>
      <c r="AP49" s="65">
        <v>3030.6719999999978</v>
      </c>
      <c r="AQ49" s="65">
        <v>1995.8069999999989</v>
      </c>
      <c r="AR49" s="65">
        <v>1169.5100000000009</v>
      </c>
      <c r="AS49" s="65">
        <v>3618.5149999999967</v>
      </c>
      <c r="AT49" s="65">
        <v>2687.5609999999974</v>
      </c>
      <c r="AU49" s="65">
        <v>1567.6370000000022</v>
      </c>
      <c r="AV49" s="65">
        <v>568.9409999999998</v>
      </c>
      <c r="AW49" s="65">
        <v>4795.6740000000054</v>
      </c>
      <c r="AX49" s="20">
        <v>4104.5169999999998</v>
      </c>
      <c r="AY49" s="20">
        <v>2919.5159999999996</v>
      </c>
      <c r="AZ49" s="65">
        <v>1675.5620000000006</v>
      </c>
      <c r="BA49" s="20">
        <v>6695.2630000000026</v>
      </c>
      <c r="BB49" s="20">
        <v>3615.8859999999986</v>
      </c>
      <c r="BC49" s="20">
        <v>2003.1469999999999</v>
      </c>
      <c r="BD49" s="20">
        <v>1079.9299999999998</v>
      </c>
      <c r="BE49" s="20">
        <v>1303.4999999999991</v>
      </c>
      <c r="BF49" s="20">
        <v>930.27599999999984</v>
      </c>
      <c r="BG49" s="20">
        <v>237.35299999999816</v>
      </c>
      <c r="BH49" s="20">
        <v>123.28399999999979</v>
      </c>
      <c r="BI49" s="20">
        <v>5885.4820000000018</v>
      </c>
      <c r="BJ49" s="20">
        <v>5638.0729999999976</v>
      </c>
      <c r="BK49" s="20">
        <v>4495.4600000000009</v>
      </c>
      <c r="BL49" s="20">
        <v>2090.3870000000006</v>
      </c>
      <c r="BM49" s="19">
        <v>4114.7439999999997</v>
      </c>
      <c r="BN49" s="19">
        <v>2299.9699999999984</v>
      </c>
      <c r="BO49" s="19">
        <v>1127.1110000000008</v>
      </c>
      <c r="BP49" s="19">
        <v>349.87900000000025</v>
      </c>
      <c r="BQ49" s="19" t="s">
        <v>121</v>
      </c>
      <c r="BR49" s="19" t="s">
        <v>121</v>
      </c>
      <c r="BS49" s="19" t="s">
        <v>121</v>
      </c>
      <c r="BT49" s="19" t="s">
        <v>121</v>
      </c>
      <c r="BU49" s="19" t="s">
        <v>121</v>
      </c>
      <c r="BV49" s="19" t="s">
        <v>121</v>
      </c>
      <c r="BW49" s="19" t="s">
        <v>121</v>
      </c>
      <c r="BX49" s="19" t="s">
        <v>121</v>
      </c>
      <c r="BY49" s="19" t="s">
        <v>121</v>
      </c>
      <c r="BZ49" s="19" t="s">
        <v>121</v>
      </c>
      <c r="CA49" s="19" t="s">
        <v>121</v>
      </c>
      <c r="CB49" s="19" t="s">
        <v>121</v>
      </c>
      <c r="CC49" s="19" t="s">
        <v>121</v>
      </c>
      <c r="CD49" s="19" t="s">
        <v>121</v>
      </c>
      <c r="CE49" s="19" t="s">
        <v>121</v>
      </c>
      <c r="CF49" s="19" t="s">
        <v>121</v>
      </c>
      <c r="CG49" s="19" t="s">
        <v>121</v>
      </c>
      <c r="CH49" s="19" t="s">
        <v>121</v>
      </c>
      <c r="CI49" s="19" t="s">
        <v>121</v>
      </c>
      <c r="CJ49" s="19" t="s">
        <v>121</v>
      </c>
      <c r="CK49" s="19" t="s">
        <v>121</v>
      </c>
      <c r="CL49" s="19" t="s">
        <v>121</v>
      </c>
      <c r="CM49" s="19" t="s">
        <v>121</v>
      </c>
      <c r="CN49" s="19" t="s">
        <v>121</v>
      </c>
      <c r="CO49" s="19" t="s">
        <v>121</v>
      </c>
      <c r="CP49" s="19" t="s">
        <v>121</v>
      </c>
      <c r="CQ49" s="19" t="s">
        <v>121</v>
      </c>
      <c r="CR49" s="19" t="s">
        <v>121</v>
      </c>
      <c r="CS49" s="19" t="s">
        <v>121</v>
      </c>
      <c r="CT49" s="19" t="s">
        <v>121</v>
      </c>
      <c r="CU49" s="19" t="s">
        <v>121</v>
      </c>
      <c r="CV49" s="19" t="s">
        <v>121</v>
      </c>
      <c r="CW49" s="19" t="s">
        <v>121</v>
      </c>
      <c r="CX49" s="19" t="s">
        <v>121</v>
      </c>
      <c r="CY49" s="19" t="s">
        <v>121</v>
      </c>
      <c r="CZ49" s="19" t="s">
        <v>121</v>
      </c>
      <c r="DA49" s="19" t="s">
        <v>121</v>
      </c>
      <c r="DB49" s="19" t="s">
        <v>121</v>
      </c>
      <c r="DC49" s="19" t="s">
        <v>121</v>
      </c>
      <c r="DD49" s="19" t="s">
        <v>121</v>
      </c>
      <c r="DE49" s="19" t="s">
        <v>121</v>
      </c>
      <c r="DF49" s="19" t="s">
        <v>121</v>
      </c>
      <c r="DG49" s="19" t="s">
        <v>121</v>
      </c>
      <c r="DH49" s="19" t="s">
        <v>121</v>
      </c>
      <c r="DI49" s="19" t="s">
        <v>121</v>
      </c>
      <c r="DJ49" s="19" t="s">
        <v>121</v>
      </c>
      <c r="DK49" s="19" t="s">
        <v>121</v>
      </c>
      <c r="DL49" s="19" t="s">
        <v>121</v>
      </c>
      <c r="DM49" s="19" t="s">
        <v>121</v>
      </c>
      <c r="DN49" s="19" t="s">
        <v>121</v>
      </c>
      <c r="DO49" s="19" t="s">
        <v>121</v>
      </c>
      <c r="DP49" s="19" t="s">
        <v>121</v>
      </c>
      <c r="DQ49" s="19" t="s">
        <v>121</v>
      </c>
      <c r="DR49" s="19" t="s">
        <v>121</v>
      </c>
      <c r="DS49" s="19" t="s">
        <v>121</v>
      </c>
      <c r="DT49" s="19" t="s">
        <v>121</v>
      </c>
      <c r="DU49" s="19" t="s">
        <v>121</v>
      </c>
      <c r="DV49" s="19" t="s">
        <v>121</v>
      </c>
      <c r="DW49" s="19" t="s">
        <v>121</v>
      </c>
      <c r="DX49" s="19" t="s">
        <v>121</v>
      </c>
      <c r="DY49" s="19" t="s">
        <v>121</v>
      </c>
      <c r="DZ49" s="19" t="s">
        <v>121</v>
      </c>
      <c r="EA49" s="19" t="s">
        <v>121</v>
      </c>
      <c r="EB49" s="19" t="s">
        <v>121</v>
      </c>
      <c r="EC49" s="19" t="s">
        <v>121</v>
      </c>
      <c r="ED49" s="19" t="s">
        <v>121</v>
      </c>
      <c r="EE49" s="19" t="s">
        <v>121</v>
      </c>
      <c r="EF49" s="19" t="s">
        <v>121</v>
      </c>
      <c r="EG49" s="19" t="s">
        <v>121</v>
      </c>
      <c r="EH49" s="19" t="s">
        <v>121</v>
      </c>
      <c r="EI49" s="19" t="s">
        <v>121</v>
      </c>
      <c r="EJ49" s="19" t="s">
        <v>121</v>
      </c>
      <c r="EK49" s="19" t="s">
        <v>121</v>
      </c>
      <c r="EL49" s="19" t="s">
        <v>121</v>
      </c>
      <c r="EM49" s="19" t="s">
        <v>121</v>
      </c>
      <c r="EN49" s="19" t="s">
        <v>121</v>
      </c>
      <c r="EO49" s="19" t="s">
        <v>121</v>
      </c>
      <c r="EP49" s="19" t="s">
        <v>121</v>
      </c>
      <c r="EQ49" s="19" t="s">
        <v>121</v>
      </c>
      <c r="ER49" s="19" t="s">
        <v>121</v>
      </c>
      <c r="ES49" s="19" t="s">
        <v>121</v>
      </c>
      <c r="ET49" s="19" t="s">
        <v>121</v>
      </c>
      <c r="EU49" s="19" t="s">
        <v>121</v>
      </c>
      <c r="EV49" s="19" t="s">
        <v>121</v>
      </c>
      <c r="EW49" s="19" t="s">
        <v>121</v>
      </c>
      <c r="EX49" s="19" t="s">
        <v>121</v>
      </c>
    </row>
    <row r="50" spans="1:154" ht="26.1" customHeight="1" x14ac:dyDescent="0.25">
      <c r="A50" s="72">
        <v>50</v>
      </c>
      <c r="B50" s="28" t="s">
        <v>429</v>
      </c>
      <c r="C50" s="91" t="s">
        <v>121</v>
      </c>
      <c r="D50" s="86" t="s">
        <v>121</v>
      </c>
      <c r="E50" s="92" t="s">
        <v>121</v>
      </c>
      <c r="F50" s="325" t="s">
        <v>121</v>
      </c>
      <c r="G50" s="325" t="s">
        <v>121</v>
      </c>
      <c r="H50" s="325" t="s">
        <v>121</v>
      </c>
      <c r="I50" s="325" t="s">
        <v>121</v>
      </c>
      <c r="J50" s="325" t="s">
        <v>121</v>
      </c>
      <c r="K50" s="325" t="s">
        <v>121</v>
      </c>
      <c r="L50" s="325" t="s">
        <v>121</v>
      </c>
      <c r="M50" s="325" t="s">
        <v>121</v>
      </c>
      <c r="N50" s="325" t="s">
        <v>121</v>
      </c>
      <c r="O50" s="325" t="s">
        <v>121</v>
      </c>
      <c r="P50" s="325" t="s">
        <v>121</v>
      </c>
      <c r="Q50" s="405"/>
      <c r="R50" s="405"/>
      <c r="S50" s="405"/>
      <c r="T50" s="405"/>
      <c r="U50" s="139" t="s">
        <v>121</v>
      </c>
      <c r="V50" s="139" t="s">
        <v>121</v>
      </c>
      <c r="W50" s="139" t="s">
        <v>121</v>
      </c>
      <c r="X50" s="139" t="s">
        <v>121</v>
      </c>
      <c r="Y50" s="139" t="s">
        <v>121</v>
      </c>
      <c r="Z50" s="139" t="s">
        <v>121</v>
      </c>
      <c r="AA50" s="139" t="s">
        <v>121</v>
      </c>
      <c r="AB50" s="139" t="s">
        <v>121</v>
      </c>
      <c r="AC50" s="139" t="s">
        <v>121</v>
      </c>
      <c r="AD50" s="139" t="s">
        <v>121</v>
      </c>
      <c r="AE50" s="139" t="s">
        <v>121</v>
      </c>
      <c r="AF50" s="213" t="s">
        <v>121</v>
      </c>
      <c r="AG50" s="139" t="s">
        <v>121</v>
      </c>
      <c r="AH50" s="139" t="s">
        <v>121</v>
      </c>
      <c r="AI50" s="139" t="s">
        <v>121</v>
      </c>
      <c r="AJ50" s="139" t="s">
        <v>121</v>
      </c>
      <c r="AK50" s="139" t="s">
        <v>121</v>
      </c>
      <c r="AL50" s="139" t="s">
        <v>121</v>
      </c>
      <c r="AM50" s="139" t="s">
        <v>121</v>
      </c>
      <c r="AN50" s="139" t="s">
        <v>121</v>
      </c>
      <c r="AO50" s="139" t="s">
        <v>121</v>
      </c>
      <c r="AP50" s="139" t="s">
        <v>121</v>
      </c>
      <c r="AQ50" s="139" t="s">
        <v>121</v>
      </c>
      <c r="AR50" s="139" t="s">
        <v>121</v>
      </c>
      <c r="AS50" s="139" t="s">
        <v>121</v>
      </c>
      <c r="AT50" s="139" t="s">
        <v>121</v>
      </c>
      <c r="AU50" s="139" t="s">
        <v>121</v>
      </c>
      <c r="AV50" s="139" t="s">
        <v>121</v>
      </c>
      <c r="AW50" s="139" t="s">
        <v>121</v>
      </c>
      <c r="AX50" s="86" t="s">
        <v>121</v>
      </c>
      <c r="AY50" s="11" t="s">
        <v>121</v>
      </c>
      <c r="AZ50" s="22" t="s">
        <v>121</v>
      </c>
      <c r="BA50" s="11" t="s">
        <v>121</v>
      </c>
      <c r="BB50" s="11" t="s">
        <v>121</v>
      </c>
      <c r="BC50" s="11" t="s">
        <v>121</v>
      </c>
      <c r="BD50" s="11" t="s">
        <v>121</v>
      </c>
      <c r="BE50" s="11" t="s">
        <v>121</v>
      </c>
      <c r="BF50" s="11" t="s">
        <v>121</v>
      </c>
      <c r="BG50" s="11" t="s">
        <v>121</v>
      </c>
      <c r="BH50" s="11" t="s">
        <v>121</v>
      </c>
      <c r="BI50" s="11" t="s">
        <v>121</v>
      </c>
      <c r="BJ50" s="11" t="s">
        <v>121</v>
      </c>
      <c r="BK50" s="11" t="s">
        <v>121</v>
      </c>
      <c r="BL50" s="11" t="s">
        <v>121</v>
      </c>
      <c r="BM50" s="1" t="s">
        <v>121</v>
      </c>
      <c r="BN50" s="1" t="s">
        <v>121</v>
      </c>
      <c r="BO50" s="1" t="s">
        <v>121</v>
      </c>
      <c r="BP50" s="1" t="s">
        <v>121</v>
      </c>
      <c r="BQ50" s="1" t="s">
        <v>121</v>
      </c>
      <c r="BR50" s="1" t="s">
        <v>121</v>
      </c>
      <c r="BS50" s="1" t="s">
        <v>121</v>
      </c>
      <c r="BT50" s="1" t="s">
        <v>121</v>
      </c>
      <c r="BU50" s="1" t="s">
        <v>121</v>
      </c>
      <c r="BV50" s="1" t="s">
        <v>121</v>
      </c>
      <c r="BW50" s="1" t="s">
        <v>121</v>
      </c>
      <c r="BX50" s="1" t="s">
        <v>121</v>
      </c>
      <c r="BY50" s="1" t="s">
        <v>121</v>
      </c>
      <c r="BZ50" s="1" t="s">
        <v>121</v>
      </c>
      <c r="CA50" s="1" t="s">
        <v>121</v>
      </c>
      <c r="CB50" s="1" t="s">
        <v>121</v>
      </c>
      <c r="CC50" s="1" t="s">
        <v>121</v>
      </c>
      <c r="CD50" s="1" t="s">
        <v>121</v>
      </c>
      <c r="CE50" s="1" t="s">
        <v>121</v>
      </c>
      <c r="CF50" s="1" t="s">
        <v>121</v>
      </c>
      <c r="CG50" s="1" t="s">
        <v>121</v>
      </c>
      <c r="CH50" s="1" t="s">
        <v>121</v>
      </c>
      <c r="CI50" s="1" t="s">
        <v>121</v>
      </c>
      <c r="CJ50" s="1" t="s">
        <v>121</v>
      </c>
      <c r="CK50" s="1" t="s">
        <v>121</v>
      </c>
      <c r="CL50" s="1" t="s">
        <v>121</v>
      </c>
      <c r="CM50" s="1" t="s">
        <v>121</v>
      </c>
      <c r="CN50" s="1" t="s">
        <v>121</v>
      </c>
      <c r="CO50" s="1" t="s">
        <v>121</v>
      </c>
      <c r="CP50" s="1" t="s">
        <v>121</v>
      </c>
      <c r="CQ50" s="1" t="s">
        <v>121</v>
      </c>
      <c r="CR50" s="1" t="s">
        <v>121</v>
      </c>
      <c r="CS50" s="1" t="s">
        <v>121</v>
      </c>
      <c r="CT50" s="1" t="s">
        <v>121</v>
      </c>
      <c r="CU50" s="1" t="s">
        <v>121</v>
      </c>
      <c r="CV50" s="1" t="s">
        <v>121</v>
      </c>
      <c r="CW50" s="1" t="s">
        <v>121</v>
      </c>
      <c r="CX50" s="1" t="s">
        <v>121</v>
      </c>
      <c r="CY50" s="1" t="s">
        <v>121</v>
      </c>
      <c r="CZ50" s="1" t="s">
        <v>121</v>
      </c>
      <c r="DA50" s="1" t="s">
        <v>121</v>
      </c>
      <c r="DB50" s="1" t="s">
        <v>121</v>
      </c>
      <c r="DC50" s="1" t="s">
        <v>121</v>
      </c>
      <c r="DD50" s="1" t="s">
        <v>121</v>
      </c>
      <c r="DE50" s="1" t="s">
        <v>121</v>
      </c>
      <c r="DF50" s="1" t="s">
        <v>121</v>
      </c>
      <c r="DG50" s="1" t="s">
        <v>121</v>
      </c>
      <c r="DH50" s="1" t="s">
        <v>121</v>
      </c>
      <c r="DI50" s="1" t="s">
        <v>121</v>
      </c>
      <c r="DJ50" s="1" t="s">
        <v>121</v>
      </c>
      <c r="DK50" s="1" t="s">
        <v>121</v>
      </c>
      <c r="DL50" s="1" t="s">
        <v>121</v>
      </c>
      <c r="DM50" s="1" t="s">
        <v>121</v>
      </c>
      <c r="DN50" s="1" t="s">
        <v>121</v>
      </c>
      <c r="DO50" s="1" t="s">
        <v>121</v>
      </c>
      <c r="DP50" s="1" t="s">
        <v>121</v>
      </c>
      <c r="DQ50" s="1" t="s">
        <v>121</v>
      </c>
      <c r="DR50" s="1" t="s">
        <v>121</v>
      </c>
      <c r="DS50" s="1" t="s">
        <v>121</v>
      </c>
      <c r="DT50" s="1" t="s">
        <v>121</v>
      </c>
      <c r="DU50" s="1" t="s">
        <v>121</v>
      </c>
      <c r="DV50" s="1" t="s">
        <v>121</v>
      </c>
      <c r="DW50" s="1" t="s">
        <v>121</v>
      </c>
      <c r="DX50" s="1" t="s">
        <v>121</v>
      </c>
      <c r="DY50" s="1" t="s">
        <v>121</v>
      </c>
      <c r="DZ50" s="1" t="s">
        <v>121</v>
      </c>
      <c r="EA50" s="1" t="s">
        <v>121</v>
      </c>
      <c r="EB50" s="1" t="s">
        <v>121</v>
      </c>
      <c r="EC50" s="1" t="s">
        <v>121</v>
      </c>
      <c r="ED50" s="1" t="s">
        <v>121</v>
      </c>
      <c r="EE50" s="1" t="s">
        <v>121</v>
      </c>
      <c r="EF50" s="1" t="s">
        <v>121</v>
      </c>
      <c r="EG50" s="1" t="s">
        <v>121</v>
      </c>
      <c r="EH50" s="1" t="s">
        <v>121</v>
      </c>
      <c r="EI50" s="1" t="s">
        <v>121</v>
      </c>
      <c r="EJ50" s="1" t="s">
        <v>121</v>
      </c>
      <c r="EK50" s="1" t="s">
        <v>121</v>
      </c>
      <c r="EL50" s="1" t="s">
        <v>121</v>
      </c>
      <c r="EM50" s="1" t="s">
        <v>121</v>
      </c>
      <c r="EN50" s="1" t="s">
        <v>121</v>
      </c>
      <c r="EO50" s="1" t="s">
        <v>121</v>
      </c>
      <c r="EP50" s="1" t="s">
        <v>121</v>
      </c>
      <c r="EQ50" s="1" t="s">
        <v>121</v>
      </c>
      <c r="ER50" s="1" t="s">
        <v>121</v>
      </c>
      <c r="ES50" s="1" t="s">
        <v>121</v>
      </c>
      <c r="ET50" s="1" t="s">
        <v>121</v>
      </c>
      <c r="EU50" s="1" t="s">
        <v>121</v>
      </c>
      <c r="EV50" s="1" t="s">
        <v>121</v>
      </c>
      <c r="EW50" s="1" t="s">
        <v>121</v>
      </c>
      <c r="EX50" s="1" t="s">
        <v>121</v>
      </c>
    </row>
    <row r="51" spans="1:154" s="284" customFormat="1" ht="26.1" customHeight="1" x14ac:dyDescent="0.25">
      <c r="A51" s="273">
        <v>51</v>
      </c>
      <c r="B51" s="385" t="s">
        <v>109</v>
      </c>
      <c r="C51" s="345"/>
      <c r="D51" s="275"/>
      <c r="E51" s="270"/>
      <c r="F51" s="284" t="s">
        <v>121</v>
      </c>
      <c r="G51" s="284" t="s">
        <v>121</v>
      </c>
      <c r="H51" s="284" t="s">
        <v>121</v>
      </c>
      <c r="I51" s="284" t="s">
        <v>121</v>
      </c>
      <c r="J51" s="284" t="s">
        <v>121</v>
      </c>
      <c r="K51" s="284" t="s">
        <v>121</v>
      </c>
      <c r="L51" s="284" t="s">
        <v>121</v>
      </c>
      <c r="M51" s="386" t="s">
        <v>121</v>
      </c>
      <c r="N51" s="386" t="s">
        <v>121</v>
      </c>
      <c r="O51" s="386" t="s">
        <v>121</v>
      </c>
      <c r="P51" s="386" t="s">
        <v>121</v>
      </c>
      <c r="Q51" s="405"/>
      <c r="R51" s="405"/>
      <c r="S51" s="405"/>
      <c r="T51" s="405"/>
      <c r="U51" s="303" t="s">
        <v>121</v>
      </c>
      <c r="V51" s="303" t="s">
        <v>121</v>
      </c>
      <c r="W51" s="303" t="s">
        <v>121</v>
      </c>
      <c r="X51" s="303" t="s">
        <v>121</v>
      </c>
      <c r="Y51" s="303" t="s">
        <v>121</v>
      </c>
      <c r="Z51" s="303" t="s">
        <v>121</v>
      </c>
      <c r="AA51" s="303" t="s">
        <v>121</v>
      </c>
      <c r="AB51" s="303" t="s">
        <v>121</v>
      </c>
      <c r="AC51" s="303" t="s">
        <v>121</v>
      </c>
      <c r="AD51" s="303" t="s">
        <v>121</v>
      </c>
      <c r="AE51" s="303" t="s">
        <v>121</v>
      </c>
      <c r="AF51" s="303" t="s">
        <v>121</v>
      </c>
      <c r="AG51" s="303" t="s">
        <v>121</v>
      </c>
      <c r="AH51" s="303" t="s">
        <v>121</v>
      </c>
      <c r="AI51" s="303" t="s">
        <v>121</v>
      </c>
      <c r="AJ51" s="303" t="s">
        <v>121</v>
      </c>
      <c r="AK51" s="303" t="s">
        <v>121</v>
      </c>
      <c r="AL51" s="303" t="s">
        <v>121</v>
      </c>
      <c r="AM51" s="303" t="s">
        <v>121</v>
      </c>
      <c r="AN51" s="303" t="s">
        <v>121</v>
      </c>
      <c r="AO51" s="303" t="s">
        <v>121</v>
      </c>
      <c r="AP51" s="303" t="s">
        <v>121</v>
      </c>
      <c r="AQ51" s="303" t="s">
        <v>121</v>
      </c>
      <c r="AR51" s="303" t="s">
        <v>121</v>
      </c>
      <c r="AS51" s="303" t="s">
        <v>121</v>
      </c>
      <c r="AT51" s="303" t="s">
        <v>121</v>
      </c>
      <c r="AU51" s="303" t="s">
        <v>121</v>
      </c>
      <c r="AV51" s="303" t="s">
        <v>121</v>
      </c>
      <c r="AW51" s="303" t="s">
        <v>121</v>
      </c>
      <c r="AX51" s="275" t="s">
        <v>121</v>
      </c>
      <c r="AY51" s="323" t="s">
        <v>121</v>
      </c>
      <c r="AZ51" s="255" t="s">
        <v>121</v>
      </c>
      <c r="BA51" s="323" t="s">
        <v>121</v>
      </c>
      <c r="BB51" s="323" t="s">
        <v>121</v>
      </c>
      <c r="BC51" s="323" t="s">
        <v>121</v>
      </c>
      <c r="BD51" s="323" t="s">
        <v>121</v>
      </c>
      <c r="BE51" s="323" t="s">
        <v>121</v>
      </c>
      <c r="BF51" s="323" t="s">
        <v>121</v>
      </c>
      <c r="BG51" s="323" t="s">
        <v>121</v>
      </c>
      <c r="BH51" s="323" t="s">
        <v>121</v>
      </c>
      <c r="BI51" s="323" t="s">
        <v>121</v>
      </c>
      <c r="BJ51" s="323" t="s">
        <v>121</v>
      </c>
      <c r="BK51" s="323" t="s">
        <v>121</v>
      </c>
      <c r="BL51" s="323" t="s">
        <v>121</v>
      </c>
      <c r="BM51" s="284" t="s">
        <v>121</v>
      </c>
      <c r="BN51" s="284" t="s">
        <v>121</v>
      </c>
      <c r="BO51" s="284" t="s">
        <v>121</v>
      </c>
      <c r="BP51" s="284" t="s">
        <v>121</v>
      </c>
      <c r="BQ51" s="284" t="s">
        <v>121</v>
      </c>
      <c r="BR51" s="284" t="s">
        <v>121</v>
      </c>
      <c r="BS51" s="284" t="s">
        <v>121</v>
      </c>
      <c r="BT51" s="284" t="s">
        <v>121</v>
      </c>
      <c r="BU51" s="284" t="s">
        <v>121</v>
      </c>
      <c r="BV51" s="284" t="s">
        <v>121</v>
      </c>
      <c r="BW51" s="284" t="s">
        <v>121</v>
      </c>
      <c r="BX51" s="284" t="s">
        <v>121</v>
      </c>
      <c r="BY51" s="284" t="s">
        <v>121</v>
      </c>
      <c r="BZ51" s="284" t="s">
        <v>121</v>
      </c>
      <c r="CA51" s="284" t="s">
        <v>121</v>
      </c>
      <c r="CB51" s="284" t="s">
        <v>121</v>
      </c>
      <c r="CC51" s="284" t="s">
        <v>121</v>
      </c>
      <c r="CD51" s="284" t="s">
        <v>121</v>
      </c>
      <c r="CE51" s="284" t="s">
        <v>121</v>
      </c>
      <c r="CF51" s="284" t="s">
        <v>121</v>
      </c>
      <c r="CG51" s="284" t="s">
        <v>121</v>
      </c>
      <c r="CH51" s="284" t="s">
        <v>121</v>
      </c>
      <c r="CI51" s="284" t="s">
        <v>121</v>
      </c>
      <c r="CJ51" s="284" t="s">
        <v>121</v>
      </c>
      <c r="CK51" s="284" t="s">
        <v>121</v>
      </c>
      <c r="CL51" s="284" t="s">
        <v>121</v>
      </c>
      <c r="CM51" s="284" t="s">
        <v>121</v>
      </c>
      <c r="CN51" s="284" t="s">
        <v>121</v>
      </c>
      <c r="CO51" s="284" t="s">
        <v>121</v>
      </c>
      <c r="CP51" s="284" t="s">
        <v>121</v>
      </c>
      <c r="CQ51" s="284" t="s">
        <v>121</v>
      </c>
      <c r="CR51" s="284" t="s">
        <v>121</v>
      </c>
      <c r="CS51" s="284" t="s">
        <v>121</v>
      </c>
      <c r="CT51" s="284" t="s">
        <v>121</v>
      </c>
      <c r="CU51" s="284" t="s">
        <v>121</v>
      </c>
      <c r="CV51" s="284" t="s">
        <v>121</v>
      </c>
      <c r="CW51" s="284" t="s">
        <v>121</v>
      </c>
      <c r="CX51" s="284" t="s">
        <v>121</v>
      </c>
      <c r="CY51" s="284" t="s">
        <v>121</v>
      </c>
      <c r="CZ51" s="284" t="s">
        <v>121</v>
      </c>
      <c r="DA51" s="284" t="s">
        <v>121</v>
      </c>
      <c r="DB51" s="284" t="s">
        <v>121</v>
      </c>
      <c r="DC51" s="284" t="s">
        <v>121</v>
      </c>
      <c r="DD51" s="284" t="s">
        <v>121</v>
      </c>
      <c r="DE51" s="284" t="s">
        <v>121</v>
      </c>
      <c r="DF51" s="284" t="s">
        <v>121</v>
      </c>
      <c r="DG51" s="284" t="s">
        <v>121</v>
      </c>
      <c r="DH51" s="284" t="s">
        <v>121</v>
      </c>
      <c r="DI51" s="284" t="s">
        <v>121</v>
      </c>
      <c r="DJ51" s="284" t="s">
        <v>121</v>
      </c>
      <c r="DK51" s="284" t="s">
        <v>121</v>
      </c>
      <c r="DL51" s="284" t="s">
        <v>121</v>
      </c>
      <c r="DM51" s="284" t="s">
        <v>121</v>
      </c>
      <c r="DN51" s="284" t="s">
        <v>121</v>
      </c>
      <c r="DO51" s="284" t="s">
        <v>121</v>
      </c>
      <c r="DP51" s="284" t="s">
        <v>121</v>
      </c>
      <c r="DQ51" s="284" t="s">
        <v>121</v>
      </c>
      <c r="DR51" s="284" t="s">
        <v>121</v>
      </c>
      <c r="DS51" s="284" t="s">
        <v>121</v>
      </c>
      <c r="DT51" s="284" t="s">
        <v>121</v>
      </c>
      <c r="DU51" s="284" t="s">
        <v>121</v>
      </c>
      <c r="DV51" s="284" t="s">
        <v>121</v>
      </c>
      <c r="DW51" s="284" t="s">
        <v>121</v>
      </c>
      <c r="DX51" s="284" t="s">
        <v>121</v>
      </c>
      <c r="DY51" s="284" t="s">
        <v>121</v>
      </c>
      <c r="DZ51" s="284" t="s">
        <v>121</v>
      </c>
      <c r="EA51" s="284" t="s">
        <v>121</v>
      </c>
      <c r="EB51" s="284" t="s">
        <v>121</v>
      </c>
      <c r="EC51" s="284" t="s">
        <v>121</v>
      </c>
      <c r="ED51" s="284" t="s">
        <v>121</v>
      </c>
      <c r="EE51" s="284" t="s">
        <v>121</v>
      </c>
      <c r="EF51" s="284" t="s">
        <v>121</v>
      </c>
      <c r="EG51" s="284" t="s">
        <v>121</v>
      </c>
      <c r="EH51" s="284" t="s">
        <v>121</v>
      </c>
      <c r="EI51" s="284" t="s">
        <v>121</v>
      </c>
      <c r="EJ51" s="284" t="s">
        <v>121</v>
      </c>
      <c r="EK51" s="284" t="s">
        <v>121</v>
      </c>
      <c r="EL51" s="284" t="s">
        <v>121</v>
      </c>
      <c r="EM51" s="284" t="s">
        <v>121</v>
      </c>
      <c r="EN51" s="284" t="s">
        <v>121</v>
      </c>
      <c r="EO51" s="284" t="s">
        <v>121</v>
      </c>
      <c r="EP51" s="284" t="s">
        <v>121</v>
      </c>
      <c r="EQ51" s="284" t="s">
        <v>121</v>
      </c>
      <c r="ER51" s="284" t="s">
        <v>121</v>
      </c>
      <c r="ES51" s="284" t="s">
        <v>121</v>
      </c>
      <c r="ET51" s="284" t="s">
        <v>121</v>
      </c>
      <c r="EU51" s="284" t="s">
        <v>121</v>
      </c>
      <c r="EV51" s="284" t="s">
        <v>121</v>
      </c>
      <c r="EW51" s="284" t="s">
        <v>121</v>
      </c>
      <c r="EX51" s="284" t="s">
        <v>121</v>
      </c>
    </row>
    <row r="52" spans="1:154" s="284" customFormat="1" ht="27" customHeight="1" x14ac:dyDescent="0.25">
      <c r="A52" s="273">
        <v>52</v>
      </c>
      <c r="B52" s="384" t="s">
        <v>110</v>
      </c>
      <c r="C52" s="345"/>
      <c r="D52" s="275"/>
      <c r="E52" s="270"/>
      <c r="F52" s="255">
        <v>4</v>
      </c>
      <c r="G52" s="255">
        <v>1</v>
      </c>
      <c r="H52" s="255" t="s">
        <v>121</v>
      </c>
      <c r="I52" s="255">
        <v>-455</v>
      </c>
      <c r="J52" s="255">
        <v>-456</v>
      </c>
      <c r="K52" s="255">
        <v>-19</v>
      </c>
      <c r="L52" s="255" t="s">
        <v>121</v>
      </c>
      <c r="M52" s="255">
        <v>1006</v>
      </c>
      <c r="N52" s="255">
        <v>121</v>
      </c>
      <c r="O52" s="255">
        <v>16</v>
      </c>
      <c r="P52" s="255">
        <v>15</v>
      </c>
      <c r="Q52" s="405"/>
      <c r="R52" s="405"/>
      <c r="S52" s="405"/>
      <c r="T52" s="405"/>
      <c r="U52" s="255">
        <v>372</v>
      </c>
      <c r="V52" s="255">
        <v>191</v>
      </c>
      <c r="W52" s="255">
        <v>182</v>
      </c>
      <c r="X52" s="255">
        <v>43</v>
      </c>
      <c r="Y52" s="255">
        <v>-17</v>
      </c>
      <c r="Z52" s="255">
        <v>-11.898</v>
      </c>
      <c r="AA52" s="255">
        <v>-10.782</v>
      </c>
      <c r="AB52" s="255">
        <v>-9.8420000000000005</v>
      </c>
      <c r="AC52" s="255">
        <v>-147.06399999999999</v>
      </c>
      <c r="AD52" s="255">
        <v>-23.719000000000001</v>
      </c>
      <c r="AE52" s="255">
        <v>-22.945</v>
      </c>
      <c r="AF52" s="255">
        <v>-29.420999999999999</v>
      </c>
      <c r="AG52" s="255">
        <v>-409.97199999999998</v>
      </c>
      <c r="AH52" s="255">
        <v>-483.18</v>
      </c>
      <c r="AI52" s="255">
        <v>-533.45000000000005</v>
      </c>
      <c r="AJ52" s="255">
        <v>-158.79499999999999</v>
      </c>
      <c r="AK52" s="255">
        <v>-1198.694</v>
      </c>
      <c r="AL52" s="255">
        <v>-1033.498</v>
      </c>
      <c r="AM52" s="255">
        <v>-303.53300000000002</v>
      </c>
      <c r="AN52" s="255">
        <v>-163.99799999999999</v>
      </c>
      <c r="AO52" s="255">
        <v>-982.91200000000003</v>
      </c>
      <c r="AP52" s="255">
        <v>-692.84699999999998</v>
      </c>
      <c r="AQ52" s="255">
        <v>-578.25400000000002</v>
      </c>
      <c r="AR52" s="255">
        <v>-375.73599999999999</v>
      </c>
      <c r="AS52" s="255">
        <v>-727.65200000000004</v>
      </c>
      <c r="AT52" s="255">
        <v>-289.601</v>
      </c>
      <c r="AU52" s="255">
        <v>-183.142</v>
      </c>
      <c r="AV52" s="255" t="s">
        <v>121</v>
      </c>
      <c r="AW52" s="303">
        <v>-372.32299999999998</v>
      </c>
      <c r="AX52" s="275" t="s">
        <v>121</v>
      </c>
      <c r="AY52" s="323" t="s">
        <v>121</v>
      </c>
      <c r="AZ52" s="255" t="s">
        <v>121</v>
      </c>
      <c r="BA52" s="323">
        <v>-2424.6950000000002</v>
      </c>
      <c r="BB52" s="323" t="s">
        <v>121</v>
      </c>
      <c r="BC52" s="323" t="s">
        <v>121</v>
      </c>
      <c r="BD52" s="323" t="s">
        <v>121</v>
      </c>
      <c r="BE52" s="323" t="s">
        <v>121</v>
      </c>
      <c r="BF52" s="323" t="s">
        <v>121</v>
      </c>
      <c r="BG52" s="323" t="s">
        <v>121</v>
      </c>
      <c r="BH52" s="323" t="s">
        <v>121</v>
      </c>
      <c r="BI52" s="323" t="s">
        <v>121</v>
      </c>
      <c r="BJ52" s="323" t="s">
        <v>121</v>
      </c>
      <c r="BK52" s="323" t="s">
        <v>121</v>
      </c>
      <c r="BL52" s="323" t="s">
        <v>121</v>
      </c>
      <c r="BM52" s="284" t="s">
        <v>121</v>
      </c>
      <c r="BN52" s="284" t="s">
        <v>121</v>
      </c>
      <c r="BO52" s="284" t="s">
        <v>121</v>
      </c>
      <c r="BP52" s="284" t="s">
        <v>121</v>
      </c>
      <c r="BQ52" s="284" t="s">
        <v>121</v>
      </c>
      <c r="BR52" s="284" t="s">
        <v>121</v>
      </c>
      <c r="BS52" s="284" t="s">
        <v>121</v>
      </c>
      <c r="BT52" s="284" t="s">
        <v>121</v>
      </c>
      <c r="BU52" s="284" t="s">
        <v>121</v>
      </c>
      <c r="BV52" s="284" t="s">
        <v>121</v>
      </c>
      <c r="BW52" s="284" t="s">
        <v>121</v>
      </c>
      <c r="BX52" s="284" t="s">
        <v>121</v>
      </c>
      <c r="BY52" s="284" t="s">
        <v>121</v>
      </c>
      <c r="BZ52" s="284" t="s">
        <v>121</v>
      </c>
      <c r="CA52" s="284" t="s">
        <v>121</v>
      </c>
      <c r="CB52" s="284" t="s">
        <v>121</v>
      </c>
      <c r="CC52" s="284" t="s">
        <v>121</v>
      </c>
      <c r="CD52" s="284" t="s">
        <v>121</v>
      </c>
      <c r="CE52" s="284" t="s">
        <v>121</v>
      </c>
      <c r="CF52" s="284" t="s">
        <v>121</v>
      </c>
      <c r="CG52" s="284" t="s">
        <v>121</v>
      </c>
      <c r="CH52" s="284" t="s">
        <v>121</v>
      </c>
      <c r="CI52" s="284" t="s">
        <v>121</v>
      </c>
      <c r="CJ52" s="284" t="s">
        <v>121</v>
      </c>
      <c r="CK52" s="284" t="s">
        <v>121</v>
      </c>
      <c r="CL52" s="284" t="s">
        <v>121</v>
      </c>
      <c r="CM52" s="284" t="s">
        <v>121</v>
      </c>
      <c r="CN52" s="284" t="s">
        <v>121</v>
      </c>
      <c r="CO52" s="284" t="s">
        <v>121</v>
      </c>
      <c r="CP52" s="284" t="s">
        <v>121</v>
      </c>
      <c r="CQ52" s="284" t="s">
        <v>121</v>
      </c>
      <c r="CR52" s="284" t="s">
        <v>121</v>
      </c>
      <c r="CS52" s="284" t="s">
        <v>121</v>
      </c>
      <c r="CT52" s="284" t="s">
        <v>121</v>
      </c>
      <c r="CU52" s="284" t="s">
        <v>121</v>
      </c>
      <c r="CV52" s="284" t="s">
        <v>121</v>
      </c>
      <c r="CW52" s="284" t="s">
        <v>121</v>
      </c>
      <c r="CX52" s="284" t="s">
        <v>121</v>
      </c>
      <c r="CY52" s="284" t="s">
        <v>121</v>
      </c>
      <c r="CZ52" s="284" t="s">
        <v>121</v>
      </c>
      <c r="DA52" s="284" t="s">
        <v>121</v>
      </c>
      <c r="DB52" s="284" t="s">
        <v>121</v>
      </c>
      <c r="DC52" s="284" t="s">
        <v>121</v>
      </c>
      <c r="DD52" s="284" t="s">
        <v>121</v>
      </c>
      <c r="DE52" s="284" t="s">
        <v>121</v>
      </c>
      <c r="DF52" s="284" t="s">
        <v>121</v>
      </c>
      <c r="DG52" s="284" t="s">
        <v>121</v>
      </c>
      <c r="DH52" s="284" t="s">
        <v>121</v>
      </c>
      <c r="DI52" s="284" t="s">
        <v>121</v>
      </c>
      <c r="DJ52" s="284" t="s">
        <v>121</v>
      </c>
      <c r="DK52" s="284" t="s">
        <v>121</v>
      </c>
      <c r="DL52" s="284" t="s">
        <v>121</v>
      </c>
      <c r="DM52" s="284" t="s">
        <v>121</v>
      </c>
      <c r="DN52" s="284" t="s">
        <v>121</v>
      </c>
      <c r="DO52" s="284" t="s">
        <v>121</v>
      </c>
      <c r="DP52" s="284" t="s">
        <v>121</v>
      </c>
      <c r="DQ52" s="284" t="s">
        <v>121</v>
      </c>
      <c r="DR52" s="284" t="s">
        <v>121</v>
      </c>
      <c r="DS52" s="284" t="s">
        <v>121</v>
      </c>
      <c r="DT52" s="284" t="s">
        <v>121</v>
      </c>
      <c r="DU52" s="284" t="s">
        <v>121</v>
      </c>
      <c r="DV52" s="284" t="s">
        <v>121</v>
      </c>
      <c r="DW52" s="284" t="s">
        <v>121</v>
      </c>
      <c r="DX52" s="284" t="s">
        <v>121</v>
      </c>
      <c r="DY52" s="284" t="s">
        <v>121</v>
      </c>
      <c r="DZ52" s="284" t="s">
        <v>121</v>
      </c>
      <c r="EA52" s="284" t="s">
        <v>121</v>
      </c>
      <c r="EB52" s="284" t="s">
        <v>121</v>
      </c>
      <c r="EC52" s="284" t="s">
        <v>121</v>
      </c>
      <c r="ED52" s="284" t="s">
        <v>121</v>
      </c>
      <c r="EE52" s="284" t="s">
        <v>121</v>
      </c>
      <c r="EF52" s="284" t="s">
        <v>121</v>
      </c>
      <c r="EG52" s="284" t="s">
        <v>121</v>
      </c>
      <c r="EH52" s="284" t="s">
        <v>121</v>
      </c>
      <c r="EI52" s="284" t="s">
        <v>121</v>
      </c>
      <c r="EJ52" s="284" t="s">
        <v>121</v>
      </c>
      <c r="EK52" s="284" t="s">
        <v>121</v>
      </c>
      <c r="EL52" s="284" t="s">
        <v>121</v>
      </c>
      <c r="EM52" s="284" t="s">
        <v>121</v>
      </c>
      <c r="EN52" s="284" t="s">
        <v>121</v>
      </c>
      <c r="EO52" s="284" t="s">
        <v>121</v>
      </c>
      <c r="EP52" s="284" t="s">
        <v>121</v>
      </c>
      <c r="EQ52" s="284" t="s">
        <v>121</v>
      </c>
      <c r="ER52" s="284" t="s">
        <v>121</v>
      </c>
      <c r="ES52" s="284" t="s">
        <v>121</v>
      </c>
      <c r="ET52" s="284" t="s">
        <v>121</v>
      </c>
      <c r="EU52" s="284" t="s">
        <v>121</v>
      </c>
      <c r="EV52" s="284" t="s">
        <v>121</v>
      </c>
      <c r="EW52" s="284" t="s">
        <v>121</v>
      </c>
      <c r="EX52" s="284" t="s">
        <v>121</v>
      </c>
    </row>
    <row r="53" spans="1:154" s="352" customFormat="1" ht="27.75" customHeight="1" x14ac:dyDescent="0.25">
      <c r="A53" s="273">
        <v>53</v>
      </c>
      <c r="B53" s="384" t="s">
        <v>111</v>
      </c>
      <c r="C53" s="345"/>
      <c r="D53" s="275"/>
      <c r="E53" s="270"/>
      <c r="F53" s="255">
        <v>-4</v>
      </c>
      <c r="G53" s="255">
        <v>20</v>
      </c>
      <c r="H53" s="255">
        <v>3</v>
      </c>
      <c r="I53" s="255">
        <v>61</v>
      </c>
      <c r="J53" s="255">
        <v>62</v>
      </c>
      <c r="K53" s="255">
        <v>13</v>
      </c>
      <c r="L53" s="255">
        <v>-4</v>
      </c>
      <c r="M53" s="255">
        <v>-801</v>
      </c>
      <c r="N53" s="255">
        <v>-674</v>
      </c>
      <c r="O53" s="255">
        <v>-1</v>
      </c>
      <c r="P53" s="255">
        <v>64</v>
      </c>
      <c r="Q53" s="405"/>
      <c r="R53" s="405"/>
      <c r="S53" s="405"/>
      <c r="T53" s="405"/>
      <c r="U53" s="255">
        <v>-6</v>
      </c>
      <c r="V53" s="255">
        <v>-44</v>
      </c>
      <c r="W53" s="255">
        <v>-44</v>
      </c>
      <c r="X53" s="255">
        <v>-23</v>
      </c>
      <c r="Y53" s="255">
        <v>58</v>
      </c>
      <c r="Z53" s="255">
        <v>124.08799999999999</v>
      </c>
      <c r="AA53" s="255">
        <v>-7.5129999999999999</v>
      </c>
      <c r="AB53" s="255">
        <v>-25.337</v>
      </c>
      <c r="AC53" s="255">
        <v>558.303</v>
      </c>
      <c r="AD53" s="255">
        <v>421.58800000000002</v>
      </c>
      <c r="AE53" s="255">
        <v>297.89999999999998</v>
      </c>
      <c r="AF53" s="255">
        <v>9.52</v>
      </c>
      <c r="AG53" s="255">
        <v>-879.54</v>
      </c>
      <c r="AH53" s="255">
        <v>-438.33199999999999</v>
      </c>
      <c r="AI53" s="255">
        <v>252.37299999999999</v>
      </c>
      <c r="AJ53" s="255">
        <v>745.02200000000005</v>
      </c>
      <c r="AK53" s="255">
        <v>538.13499999999999</v>
      </c>
      <c r="AL53" s="255">
        <v>143.87100000000001</v>
      </c>
      <c r="AM53" s="255">
        <v>130.82599999999999</v>
      </c>
      <c r="AN53" s="255">
        <v>28.870999999999999</v>
      </c>
      <c r="AO53" s="255">
        <v>1228.9770000000001</v>
      </c>
      <c r="AP53" s="255">
        <v>1703.287</v>
      </c>
      <c r="AQ53" s="255">
        <v>1480.0809999999999</v>
      </c>
      <c r="AR53" s="255">
        <v>1072.9000000000001</v>
      </c>
      <c r="AS53" s="255">
        <v>3265.377</v>
      </c>
      <c r="AT53" s="255">
        <v>2688.7829999999999</v>
      </c>
      <c r="AU53" s="255">
        <v>2342.623</v>
      </c>
      <c r="AV53" s="255">
        <v>1285.864</v>
      </c>
      <c r="AW53" s="255">
        <v>-669.63800000000003</v>
      </c>
      <c r="AX53" s="255">
        <v>-370.55</v>
      </c>
      <c r="AY53" s="255">
        <v>-390.80700000000002</v>
      </c>
      <c r="AZ53" s="255">
        <v>-95.221000000000004</v>
      </c>
      <c r="BA53" s="255">
        <v>643.94000000000017</v>
      </c>
      <c r="BB53" s="255">
        <v>-63.951999999999998</v>
      </c>
      <c r="BC53" s="255">
        <v>-84.64100000000002</v>
      </c>
      <c r="BD53" s="255">
        <v>-315.52499999999998</v>
      </c>
      <c r="BE53" s="255">
        <v>-492.21699999999998</v>
      </c>
      <c r="BF53" s="255">
        <v>88.182000000000002</v>
      </c>
      <c r="BG53" s="255">
        <v>86.832999999999998</v>
      </c>
      <c r="BH53" s="255">
        <v>2.94</v>
      </c>
      <c r="BI53" s="255">
        <v>2739.6329999999998</v>
      </c>
      <c r="BJ53" s="255">
        <v>9.0030000000000001</v>
      </c>
      <c r="BK53" s="255">
        <v>3.3919999999999999</v>
      </c>
      <c r="BL53" s="255">
        <v>-8.4039999999999999</v>
      </c>
      <c r="BM53" s="352">
        <v>-7.6050000000000004</v>
      </c>
      <c r="BN53" s="352">
        <v>-5.9260000000000002</v>
      </c>
      <c r="BO53" s="352">
        <v>-6.6520000000000001</v>
      </c>
      <c r="BP53" s="352">
        <v>0.501</v>
      </c>
      <c r="BQ53" s="352" t="s">
        <v>121</v>
      </c>
      <c r="BR53" s="352" t="s">
        <v>121</v>
      </c>
      <c r="BS53" s="352" t="s">
        <v>121</v>
      </c>
      <c r="BT53" s="352" t="s">
        <v>121</v>
      </c>
      <c r="BU53" s="352" t="s">
        <v>121</v>
      </c>
      <c r="BV53" s="352" t="s">
        <v>121</v>
      </c>
      <c r="BW53" s="352" t="s">
        <v>121</v>
      </c>
      <c r="BX53" s="352" t="s">
        <v>121</v>
      </c>
      <c r="BY53" s="352" t="s">
        <v>121</v>
      </c>
      <c r="BZ53" s="352" t="s">
        <v>121</v>
      </c>
      <c r="CA53" s="352" t="s">
        <v>121</v>
      </c>
      <c r="CB53" s="352" t="s">
        <v>121</v>
      </c>
      <c r="CC53" s="352" t="s">
        <v>121</v>
      </c>
      <c r="CD53" s="352" t="s">
        <v>121</v>
      </c>
      <c r="CE53" s="352" t="s">
        <v>121</v>
      </c>
      <c r="CF53" s="352" t="s">
        <v>121</v>
      </c>
      <c r="CG53" s="352" t="s">
        <v>121</v>
      </c>
      <c r="CH53" s="352" t="s">
        <v>121</v>
      </c>
      <c r="CI53" s="352" t="s">
        <v>121</v>
      </c>
      <c r="CJ53" s="352" t="s">
        <v>121</v>
      </c>
      <c r="CK53" s="352" t="s">
        <v>121</v>
      </c>
      <c r="CL53" s="352" t="s">
        <v>121</v>
      </c>
      <c r="CM53" s="352" t="s">
        <v>121</v>
      </c>
      <c r="CN53" s="352" t="s">
        <v>121</v>
      </c>
      <c r="CO53" s="352" t="s">
        <v>121</v>
      </c>
      <c r="CP53" s="352" t="s">
        <v>121</v>
      </c>
      <c r="CQ53" s="352" t="s">
        <v>121</v>
      </c>
      <c r="CR53" s="352" t="s">
        <v>121</v>
      </c>
      <c r="CS53" s="352" t="s">
        <v>121</v>
      </c>
      <c r="CT53" s="352" t="s">
        <v>121</v>
      </c>
      <c r="CU53" s="352" t="s">
        <v>121</v>
      </c>
      <c r="CV53" s="352" t="s">
        <v>121</v>
      </c>
      <c r="CW53" s="352" t="s">
        <v>121</v>
      </c>
      <c r="CX53" s="352" t="s">
        <v>121</v>
      </c>
      <c r="CY53" s="352" t="s">
        <v>121</v>
      </c>
      <c r="CZ53" s="352" t="s">
        <v>121</v>
      </c>
      <c r="DA53" s="352" t="s">
        <v>121</v>
      </c>
      <c r="DB53" s="352" t="s">
        <v>121</v>
      </c>
      <c r="DC53" s="352" t="s">
        <v>121</v>
      </c>
      <c r="DD53" s="352" t="s">
        <v>121</v>
      </c>
      <c r="DE53" s="352" t="s">
        <v>121</v>
      </c>
      <c r="DF53" s="352" t="s">
        <v>121</v>
      </c>
      <c r="DG53" s="352" t="s">
        <v>121</v>
      </c>
      <c r="DH53" s="352" t="s">
        <v>121</v>
      </c>
      <c r="DI53" s="352" t="s">
        <v>121</v>
      </c>
      <c r="DJ53" s="352" t="s">
        <v>121</v>
      </c>
      <c r="DK53" s="352" t="s">
        <v>121</v>
      </c>
      <c r="DL53" s="352" t="s">
        <v>121</v>
      </c>
      <c r="DM53" s="352" t="s">
        <v>121</v>
      </c>
      <c r="DN53" s="352" t="s">
        <v>121</v>
      </c>
      <c r="DO53" s="352" t="s">
        <v>121</v>
      </c>
      <c r="DP53" s="352" t="s">
        <v>121</v>
      </c>
      <c r="DQ53" s="352" t="s">
        <v>121</v>
      </c>
      <c r="DR53" s="352" t="s">
        <v>121</v>
      </c>
      <c r="DS53" s="352" t="s">
        <v>121</v>
      </c>
      <c r="DT53" s="352" t="s">
        <v>121</v>
      </c>
      <c r="DU53" s="352" t="s">
        <v>121</v>
      </c>
      <c r="DV53" s="352" t="s">
        <v>121</v>
      </c>
      <c r="DW53" s="352" t="s">
        <v>121</v>
      </c>
      <c r="DX53" s="352" t="s">
        <v>121</v>
      </c>
      <c r="DY53" s="352" t="s">
        <v>121</v>
      </c>
      <c r="DZ53" s="352" t="s">
        <v>121</v>
      </c>
      <c r="EA53" s="352" t="s">
        <v>121</v>
      </c>
      <c r="EB53" s="352" t="s">
        <v>121</v>
      </c>
      <c r="EC53" s="352" t="s">
        <v>121</v>
      </c>
      <c r="ED53" s="352" t="s">
        <v>121</v>
      </c>
      <c r="EE53" s="352" t="s">
        <v>121</v>
      </c>
      <c r="EF53" s="352" t="s">
        <v>121</v>
      </c>
      <c r="EG53" s="352" t="s">
        <v>121</v>
      </c>
      <c r="EH53" s="352" t="s">
        <v>121</v>
      </c>
      <c r="EI53" s="352" t="s">
        <v>121</v>
      </c>
      <c r="EJ53" s="352" t="s">
        <v>121</v>
      </c>
      <c r="EK53" s="352" t="s">
        <v>121</v>
      </c>
      <c r="EL53" s="352" t="s">
        <v>121</v>
      </c>
      <c r="EM53" s="352" t="s">
        <v>121</v>
      </c>
      <c r="EN53" s="352" t="s">
        <v>121</v>
      </c>
      <c r="EO53" s="352" t="s">
        <v>121</v>
      </c>
      <c r="EP53" s="352" t="s">
        <v>121</v>
      </c>
      <c r="EQ53" s="352" t="s">
        <v>121</v>
      </c>
      <c r="ER53" s="352" t="s">
        <v>121</v>
      </c>
      <c r="ES53" s="352" t="s">
        <v>121</v>
      </c>
      <c r="ET53" s="352" t="s">
        <v>121</v>
      </c>
      <c r="EU53" s="352" t="s">
        <v>121</v>
      </c>
      <c r="EV53" s="352" t="s">
        <v>121</v>
      </c>
      <c r="EW53" s="352" t="s">
        <v>121</v>
      </c>
      <c r="EX53" s="352" t="s">
        <v>121</v>
      </c>
    </row>
    <row r="54" spans="1:154" s="352" customFormat="1" ht="27.75" customHeight="1" x14ac:dyDescent="0.25">
      <c r="A54" s="273">
        <v>54</v>
      </c>
      <c r="B54" s="384" t="s">
        <v>112</v>
      </c>
      <c r="C54" s="345"/>
      <c r="D54" s="275"/>
      <c r="E54" s="270"/>
      <c r="F54" s="255" t="s">
        <v>121</v>
      </c>
      <c r="G54" s="255">
        <v>-5</v>
      </c>
      <c r="H54" s="255">
        <v>-1</v>
      </c>
      <c r="I54" s="255">
        <v>79</v>
      </c>
      <c r="J54" s="255">
        <v>79</v>
      </c>
      <c r="K54" s="255">
        <v>1</v>
      </c>
      <c r="L54" s="255">
        <v>1</v>
      </c>
      <c r="M54" s="255">
        <v>-41</v>
      </c>
      <c r="N54" s="255">
        <v>111</v>
      </c>
      <c r="O54" s="255">
        <v>-3</v>
      </c>
      <c r="P54" s="255">
        <v>-16</v>
      </c>
      <c r="Q54" s="405"/>
      <c r="R54" s="405"/>
      <c r="S54" s="405"/>
      <c r="T54" s="405"/>
      <c r="U54" s="255">
        <v>-74</v>
      </c>
      <c r="V54" s="255">
        <v>-30</v>
      </c>
      <c r="W54" s="255">
        <v>-28</v>
      </c>
      <c r="X54" s="255">
        <v>-5</v>
      </c>
      <c r="Y54" s="255">
        <v>-9</v>
      </c>
      <c r="Z54" s="255">
        <v>-22.823</v>
      </c>
      <c r="AA54" s="255">
        <v>3.4649999999999999</v>
      </c>
      <c r="AB54" s="255">
        <v>6.9580000000000002</v>
      </c>
      <c r="AC54" s="255">
        <v>-96.123000000000005</v>
      </c>
      <c r="AD54" s="255">
        <v>-91.674999999999997</v>
      </c>
      <c r="AE54" s="255">
        <v>-65.165000000000006</v>
      </c>
      <c r="AF54" s="255">
        <v>-3.62</v>
      </c>
      <c r="AG54" s="255">
        <v>241.791</v>
      </c>
      <c r="AH54" s="255">
        <v>170.78200000000001</v>
      </c>
      <c r="AI54" s="255">
        <v>45.610999999999997</v>
      </c>
      <c r="AJ54" s="255">
        <v>-119.333</v>
      </c>
      <c r="AK54" s="255">
        <v>132.11199999999999</v>
      </c>
      <c r="AL54" s="255">
        <v>177.92500000000001</v>
      </c>
      <c r="AM54" s="255">
        <v>34.540999999999997</v>
      </c>
      <c r="AN54" s="255">
        <v>27.024999999999999</v>
      </c>
      <c r="AO54" s="255">
        <v>-49.213000000000001</v>
      </c>
      <c r="AP54" s="255">
        <v>-202.08799999999999</v>
      </c>
      <c r="AQ54" s="255">
        <v>-180.36600000000001</v>
      </c>
      <c r="AR54" s="255">
        <v>-139.43299999999999</v>
      </c>
      <c r="AS54" s="255">
        <v>-507.54500000000002</v>
      </c>
      <c r="AT54" s="255">
        <v>-479.83699999999999</v>
      </c>
      <c r="AU54" s="255">
        <v>-432.04700000000003</v>
      </c>
      <c r="AV54" s="255">
        <v>-257.173</v>
      </c>
      <c r="AW54" s="255">
        <v>208.39300000000003</v>
      </c>
      <c r="AX54" s="255">
        <v>74.11</v>
      </c>
      <c r="AY54" s="255">
        <v>78.162000000000006</v>
      </c>
      <c r="AZ54" s="255">
        <v>19.045000000000002</v>
      </c>
      <c r="BA54" s="255">
        <v>291.74299999999999</v>
      </c>
      <c r="BB54" s="255">
        <v>-16.473000000000006</v>
      </c>
      <c r="BC54" s="255">
        <v>16.928000000000004</v>
      </c>
      <c r="BD54" s="255">
        <v>63.104999999999997</v>
      </c>
      <c r="BE54" s="255">
        <v>47.494999999999997</v>
      </c>
      <c r="BF54" s="255">
        <v>-17.637</v>
      </c>
      <c r="BG54" s="255">
        <v>-17.367000000000001</v>
      </c>
      <c r="BH54" s="255">
        <v>-0.58799999999999997</v>
      </c>
      <c r="BI54" s="255">
        <v>-830.34</v>
      </c>
      <c r="BJ54" s="255">
        <v>-1.8009999999999999</v>
      </c>
      <c r="BK54" s="255">
        <v>-0.67900000000000005</v>
      </c>
      <c r="BL54" s="255">
        <v>1.68</v>
      </c>
      <c r="BM54" s="352">
        <v>1.5209999999999999</v>
      </c>
      <c r="BN54" s="352">
        <v>1.1850000000000001</v>
      </c>
      <c r="BO54" s="352">
        <v>1.33</v>
      </c>
      <c r="BP54" s="352">
        <v>-0.10100000000000001</v>
      </c>
      <c r="BQ54" s="352" t="s">
        <v>121</v>
      </c>
      <c r="BR54" s="352" t="s">
        <v>121</v>
      </c>
      <c r="BS54" s="352" t="s">
        <v>121</v>
      </c>
      <c r="BT54" s="352" t="s">
        <v>121</v>
      </c>
      <c r="BU54" s="352" t="s">
        <v>121</v>
      </c>
      <c r="BV54" s="352" t="s">
        <v>121</v>
      </c>
      <c r="BW54" s="352" t="s">
        <v>121</v>
      </c>
      <c r="BX54" s="352" t="s">
        <v>121</v>
      </c>
      <c r="BY54" s="352" t="s">
        <v>121</v>
      </c>
      <c r="BZ54" s="352" t="s">
        <v>121</v>
      </c>
      <c r="CA54" s="352" t="s">
        <v>121</v>
      </c>
      <c r="CB54" s="352" t="s">
        <v>121</v>
      </c>
      <c r="CC54" s="352" t="s">
        <v>121</v>
      </c>
      <c r="CD54" s="352" t="s">
        <v>121</v>
      </c>
      <c r="CE54" s="352" t="s">
        <v>121</v>
      </c>
      <c r="CF54" s="352" t="s">
        <v>121</v>
      </c>
      <c r="CG54" s="352" t="s">
        <v>121</v>
      </c>
      <c r="CH54" s="352" t="s">
        <v>121</v>
      </c>
      <c r="CI54" s="352" t="s">
        <v>121</v>
      </c>
      <c r="CJ54" s="352" t="s">
        <v>121</v>
      </c>
      <c r="CK54" s="352" t="s">
        <v>121</v>
      </c>
      <c r="CL54" s="352" t="s">
        <v>121</v>
      </c>
      <c r="CM54" s="352" t="s">
        <v>121</v>
      </c>
      <c r="CN54" s="352" t="s">
        <v>121</v>
      </c>
      <c r="CO54" s="352" t="s">
        <v>121</v>
      </c>
      <c r="CP54" s="352" t="s">
        <v>121</v>
      </c>
      <c r="CQ54" s="352" t="s">
        <v>121</v>
      </c>
      <c r="CR54" s="352" t="s">
        <v>121</v>
      </c>
      <c r="CS54" s="352" t="s">
        <v>121</v>
      </c>
      <c r="CT54" s="352" t="s">
        <v>121</v>
      </c>
      <c r="CU54" s="352" t="s">
        <v>121</v>
      </c>
      <c r="CV54" s="352" t="s">
        <v>121</v>
      </c>
      <c r="CW54" s="352" t="s">
        <v>121</v>
      </c>
      <c r="CX54" s="352" t="s">
        <v>121</v>
      </c>
      <c r="CY54" s="352" t="s">
        <v>121</v>
      </c>
      <c r="CZ54" s="352" t="s">
        <v>121</v>
      </c>
      <c r="DA54" s="352" t="s">
        <v>121</v>
      </c>
      <c r="DB54" s="352" t="s">
        <v>121</v>
      </c>
      <c r="DC54" s="352" t="s">
        <v>121</v>
      </c>
      <c r="DD54" s="352" t="s">
        <v>121</v>
      </c>
      <c r="DE54" s="352" t="s">
        <v>121</v>
      </c>
      <c r="DF54" s="352" t="s">
        <v>121</v>
      </c>
      <c r="DG54" s="352" t="s">
        <v>121</v>
      </c>
      <c r="DH54" s="352" t="s">
        <v>121</v>
      </c>
      <c r="DI54" s="352" t="s">
        <v>121</v>
      </c>
      <c r="DJ54" s="352" t="s">
        <v>121</v>
      </c>
      <c r="DK54" s="352" t="s">
        <v>121</v>
      </c>
      <c r="DL54" s="352" t="s">
        <v>121</v>
      </c>
      <c r="DM54" s="352" t="s">
        <v>121</v>
      </c>
      <c r="DN54" s="352" t="s">
        <v>121</v>
      </c>
      <c r="DO54" s="352" t="s">
        <v>121</v>
      </c>
      <c r="DP54" s="352" t="s">
        <v>121</v>
      </c>
      <c r="DQ54" s="352" t="s">
        <v>121</v>
      </c>
      <c r="DR54" s="352" t="s">
        <v>121</v>
      </c>
      <c r="DS54" s="352" t="s">
        <v>121</v>
      </c>
      <c r="DT54" s="352" t="s">
        <v>121</v>
      </c>
      <c r="DU54" s="352" t="s">
        <v>121</v>
      </c>
      <c r="DV54" s="352" t="s">
        <v>121</v>
      </c>
      <c r="DW54" s="352" t="s">
        <v>121</v>
      </c>
      <c r="DX54" s="352" t="s">
        <v>121</v>
      </c>
      <c r="DY54" s="352" t="s">
        <v>121</v>
      </c>
      <c r="DZ54" s="352" t="s">
        <v>121</v>
      </c>
      <c r="EA54" s="352" t="s">
        <v>121</v>
      </c>
      <c r="EB54" s="352" t="s">
        <v>121</v>
      </c>
      <c r="EC54" s="352" t="s">
        <v>121</v>
      </c>
      <c r="ED54" s="352" t="s">
        <v>121</v>
      </c>
      <c r="EE54" s="352" t="s">
        <v>121</v>
      </c>
      <c r="EF54" s="352" t="s">
        <v>121</v>
      </c>
      <c r="EG54" s="352" t="s">
        <v>121</v>
      </c>
      <c r="EH54" s="352" t="s">
        <v>121</v>
      </c>
      <c r="EI54" s="352" t="s">
        <v>121</v>
      </c>
      <c r="EJ54" s="352" t="s">
        <v>121</v>
      </c>
      <c r="EK54" s="352" t="s">
        <v>121</v>
      </c>
      <c r="EL54" s="352" t="s">
        <v>121</v>
      </c>
      <c r="EM54" s="352" t="s">
        <v>121</v>
      </c>
      <c r="EN54" s="352" t="s">
        <v>121</v>
      </c>
      <c r="EO54" s="352" t="s">
        <v>121</v>
      </c>
      <c r="EP54" s="352" t="s">
        <v>121</v>
      </c>
      <c r="EQ54" s="352" t="s">
        <v>121</v>
      </c>
      <c r="ER54" s="352" t="s">
        <v>121</v>
      </c>
      <c r="ES54" s="352" t="s">
        <v>121</v>
      </c>
      <c r="ET54" s="352" t="s">
        <v>121</v>
      </c>
      <c r="EU54" s="352" t="s">
        <v>121</v>
      </c>
      <c r="EV54" s="352" t="s">
        <v>121</v>
      </c>
      <c r="EW54" s="352" t="s">
        <v>121</v>
      </c>
      <c r="EX54" s="352" t="s">
        <v>121</v>
      </c>
    </row>
    <row r="55" spans="1:154" s="352" customFormat="1" ht="14.25" customHeight="1" x14ac:dyDescent="0.25">
      <c r="A55" s="273">
        <v>55</v>
      </c>
      <c r="B55" s="384" t="s">
        <v>113</v>
      </c>
      <c r="C55" s="345"/>
      <c r="D55" s="275"/>
      <c r="E55" s="270"/>
      <c r="F55" s="255" t="s">
        <v>121</v>
      </c>
      <c r="G55" s="255" t="s">
        <v>121</v>
      </c>
      <c r="H55" s="255" t="s">
        <v>121</v>
      </c>
      <c r="I55" s="255" t="s">
        <v>121</v>
      </c>
      <c r="J55" s="255" t="s">
        <v>121</v>
      </c>
      <c r="K55" s="255" t="s">
        <v>121</v>
      </c>
      <c r="L55" s="255" t="s">
        <v>121</v>
      </c>
      <c r="M55" s="255">
        <v>-94</v>
      </c>
      <c r="N55" s="255">
        <v>-94</v>
      </c>
      <c r="O55" s="255">
        <v>-94</v>
      </c>
      <c r="P55" s="255">
        <v>-94</v>
      </c>
      <c r="Q55" s="405"/>
      <c r="R55" s="405"/>
      <c r="S55" s="405"/>
      <c r="T55" s="405"/>
      <c r="U55" s="255">
        <v>1</v>
      </c>
      <c r="V55" s="255" t="s">
        <v>121</v>
      </c>
      <c r="W55" s="255">
        <v>1</v>
      </c>
      <c r="X55" s="255">
        <v>10</v>
      </c>
      <c r="Y55" s="255">
        <v>32</v>
      </c>
      <c r="Z55" s="255">
        <v>31.457999999999998</v>
      </c>
      <c r="AA55" s="255">
        <v>31.859000000000002</v>
      </c>
      <c r="AB55" s="255">
        <v>20.779</v>
      </c>
      <c r="AC55" s="255">
        <v>-11.036</v>
      </c>
      <c r="AD55" s="255">
        <v>-19.664000000000001</v>
      </c>
      <c r="AE55" s="255">
        <v>-20.945</v>
      </c>
      <c r="AF55" s="255">
        <v>-21.003</v>
      </c>
      <c r="AG55" s="255">
        <v>3.4980000000000002</v>
      </c>
      <c r="AH55" s="255">
        <v>-7.2320000000000002</v>
      </c>
      <c r="AI55" s="255">
        <v>-2.1240000000000001</v>
      </c>
      <c r="AJ55" s="255">
        <v>-0.03</v>
      </c>
      <c r="AK55" s="255">
        <v>-1.4510000000000001</v>
      </c>
      <c r="AL55" s="255">
        <v>-1.286</v>
      </c>
      <c r="AM55" s="255">
        <v>-1.339</v>
      </c>
      <c r="AN55" s="255" t="s">
        <v>121</v>
      </c>
      <c r="AO55" s="255" t="s">
        <v>121</v>
      </c>
      <c r="AP55" s="255" t="s">
        <v>121</v>
      </c>
      <c r="AQ55" s="255" t="s">
        <v>121</v>
      </c>
      <c r="AR55" s="255" t="s">
        <v>121</v>
      </c>
      <c r="AS55" s="255" t="s">
        <v>121</v>
      </c>
      <c r="AT55" s="255" t="s">
        <v>121</v>
      </c>
      <c r="AU55" s="255" t="s">
        <v>121</v>
      </c>
      <c r="AV55" s="255" t="s">
        <v>121</v>
      </c>
      <c r="AW55" s="255" t="s">
        <v>121</v>
      </c>
      <c r="AX55" s="255" t="s">
        <v>121</v>
      </c>
      <c r="AY55" s="255" t="s">
        <v>121</v>
      </c>
      <c r="AZ55" s="255" t="s">
        <v>121</v>
      </c>
      <c r="BA55" s="255" t="s">
        <v>121</v>
      </c>
      <c r="BB55" s="255" t="s">
        <v>121</v>
      </c>
      <c r="BC55" s="255" t="s">
        <v>121</v>
      </c>
      <c r="BD55" s="255" t="s">
        <v>121</v>
      </c>
      <c r="BE55" s="255" t="s">
        <v>121</v>
      </c>
      <c r="BF55" s="255" t="s">
        <v>121</v>
      </c>
      <c r="BG55" s="255" t="s">
        <v>121</v>
      </c>
      <c r="BH55" s="255" t="s">
        <v>121</v>
      </c>
      <c r="BI55" s="255" t="s">
        <v>121</v>
      </c>
      <c r="BJ55" s="255" t="s">
        <v>121</v>
      </c>
      <c r="BK55" s="255" t="s">
        <v>121</v>
      </c>
      <c r="BL55" s="255" t="s">
        <v>121</v>
      </c>
      <c r="BM55" s="352" t="s">
        <v>121</v>
      </c>
      <c r="BN55" s="352" t="s">
        <v>121</v>
      </c>
      <c r="BO55" s="352" t="s">
        <v>121</v>
      </c>
      <c r="BP55" s="352" t="s">
        <v>121</v>
      </c>
      <c r="BQ55" s="352" t="s">
        <v>121</v>
      </c>
      <c r="BR55" s="352" t="s">
        <v>121</v>
      </c>
      <c r="BS55" s="352" t="s">
        <v>121</v>
      </c>
      <c r="BT55" s="352" t="s">
        <v>121</v>
      </c>
      <c r="BU55" s="352" t="s">
        <v>121</v>
      </c>
      <c r="BV55" s="352" t="s">
        <v>121</v>
      </c>
      <c r="BW55" s="352" t="s">
        <v>121</v>
      </c>
      <c r="BX55" s="352" t="s">
        <v>121</v>
      </c>
      <c r="BY55" s="352" t="s">
        <v>121</v>
      </c>
      <c r="BZ55" s="352" t="s">
        <v>121</v>
      </c>
      <c r="CA55" s="352" t="s">
        <v>121</v>
      </c>
      <c r="CB55" s="352" t="s">
        <v>121</v>
      </c>
      <c r="CC55" s="352" t="s">
        <v>121</v>
      </c>
      <c r="CD55" s="352" t="s">
        <v>121</v>
      </c>
      <c r="CE55" s="352" t="s">
        <v>121</v>
      </c>
      <c r="CF55" s="352" t="s">
        <v>121</v>
      </c>
      <c r="CG55" s="352" t="s">
        <v>121</v>
      </c>
      <c r="CH55" s="352" t="s">
        <v>121</v>
      </c>
      <c r="CI55" s="352" t="s">
        <v>121</v>
      </c>
      <c r="CJ55" s="352" t="s">
        <v>121</v>
      </c>
      <c r="CK55" s="352" t="s">
        <v>121</v>
      </c>
      <c r="CL55" s="352" t="s">
        <v>121</v>
      </c>
      <c r="CM55" s="352" t="s">
        <v>121</v>
      </c>
      <c r="CN55" s="352" t="s">
        <v>121</v>
      </c>
      <c r="CO55" s="352" t="s">
        <v>121</v>
      </c>
      <c r="CP55" s="352" t="s">
        <v>121</v>
      </c>
      <c r="CQ55" s="352" t="s">
        <v>121</v>
      </c>
      <c r="CR55" s="352" t="s">
        <v>121</v>
      </c>
      <c r="CS55" s="352" t="s">
        <v>121</v>
      </c>
      <c r="CT55" s="352" t="s">
        <v>121</v>
      </c>
      <c r="CU55" s="352" t="s">
        <v>121</v>
      </c>
      <c r="CV55" s="352" t="s">
        <v>121</v>
      </c>
      <c r="CW55" s="352" t="s">
        <v>121</v>
      </c>
      <c r="CX55" s="352" t="s">
        <v>121</v>
      </c>
      <c r="CY55" s="352" t="s">
        <v>121</v>
      </c>
      <c r="CZ55" s="352" t="s">
        <v>121</v>
      </c>
      <c r="DA55" s="352" t="s">
        <v>121</v>
      </c>
      <c r="DB55" s="352" t="s">
        <v>121</v>
      </c>
      <c r="DC55" s="352" t="s">
        <v>121</v>
      </c>
      <c r="DD55" s="352" t="s">
        <v>121</v>
      </c>
      <c r="DE55" s="352" t="s">
        <v>121</v>
      </c>
      <c r="DF55" s="352" t="s">
        <v>121</v>
      </c>
      <c r="DG55" s="352" t="s">
        <v>121</v>
      </c>
      <c r="DH55" s="352" t="s">
        <v>121</v>
      </c>
      <c r="DI55" s="352" t="s">
        <v>121</v>
      </c>
      <c r="DJ55" s="352" t="s">
        <v>121</v>
      </c>
      <c r="DK55" s="352" t="s">
        <v>121</v>
      </c>
      <c r="DL55" s="352" t="s">
        <v>121</v>
      </c>
      <c r="DM55" s="352" t="s">
        <v>121</v>
      </c>
      <c r="DN55" s="352" t="s">
        <v>121</v>
      </c>
      <c r="DO55" s="352" t="s">
        <v>121</v>
      </c>
      <c r="DP55" s="352" t="s">
        <v>121</v>
      </c>
      <c r="DQ55" s="352" t="s">
        <v>121</v>
      </c>
      <c r="DR55" s="352" t="s">
        <v>121</v>
      </c>
      <c r="DS55" s="352" t="s">
        <v>121</v>
      </c>
      <c r="DT55" s="352" t="s">
        <v>121</v>
      </c>
      <c r="DU55" s="352" t="s">
        <v>121</v>
      </c>
      <c r="DV55" s="352" t="s">
        <v>121</v>
      </c>
      <c r="DW55" s="352" t="s">
        <v>121</v>
      </c>
      <c r="DX55" s="352" t="s">
        <v>121</v>
      </c>
      <c r="DY55" s="352" t="s">
        <v>121</v>
      </c>
      <c r="DZ55" s="352" t="s">
        <v>121</v>
      </c>
      <c r="EA55" s="352" t="s">
        <v>121</v>
      </c>
      <c r="EB55" s="352" t="s">
        <v>121</v>
      </c>
      <c r="EC55" s="352" t="s">
        <v>121</v>
      </c>
      <c r="ED55" s="352" t="s">
        <v>121</v>
      </c>
      <c r="EE55" s="352" t="s">
        <v>121</v>
      </c>
      <c r="EF55" s="352" t="s">
        <v>121</v>
      </c>
      <c r="EG55" s="352" t="s">
        <v>121</v>
      </c>
      <c r="EH55" s="352" t="s">
        <v>121</v>
      </c>
      <c r="EI55" s="352" t="s">
        <v>121</v>
      </c>
      <c r="EJ55" s="352" t="s">
        <v>121</v>
      </c>
      <c r="EK55" s="352" t="s">
        <v>121</v>
      </c>
      <c r="EL55" s="352" t="s">
        <v>121</v>
      </c>
      <c r="EM55" s="352" t="s">
        <v>121</v>
      </c>
      <c r="EN55" s="352" t="s">
        <v>121</v>
      </c>
      <c r="EO55" s="352" t="s">
        <v>121</v>
      </c>
      <c r="EP55" s="352" t="s">
        <v>121</v>
      </c>
      <c r="EQ55" s="352" t="s">
        <v>121</v>
      </c>
      <c r="ER55" s="352" t="s">
        <v>121</v>
      </c>
      <c r="ES55" s="352" t="s">
        <v>121</v>
      </c>
      <c r="ET55" s="352" t="s">
        <v>121</v>
      </c>
      <c r="EU55" s="352" t="s">
        <v>121</v>
      </c>
      <c r="EV55" s="352" t="s">
        <v>121</v>
      </c>
      <c r="EW55" s="352" t="s">
        <v>121</v>
      </c>
      <c r="EX55" s="352" t="s">
        <v>121</v>
      </c>
    </row>
    <row r="56" spans="1:154" s="352" customFormat="1" ht="27.75" customHeight="1" x14ac:dyDescent="0.25">
      <c r="A56" s="273">
        <v>56</v>
      </c>
      <c r="B56" s="387" t="s">
        <v>114</v>
      </c>
      <c r="C56" s="345"/>
      <c r="D56" s="275"/>
      <c r="E56" s="270"/>
      <c r="F56" s="255" t="s">
        <v>121</v>
      </c>
      <c r="G56" s="255" t="s">
        <v>121</v>
      </c>
      <c r="H56" s="255" t="s">
        <v>121</v>
      </c>
      <c r="I56" s="255" t="s">
        <v>121</v>
      </c>
      <c r="J56" s="255" t="s">
        <v>121</v>
      </c>
      <c r="K56" s="255" t="s">
        <v>121</v>
      </c>
      <c r="L56" s="255" t="s">
        <v>121</v>
      </c>
      <c r="M56" s="255" t="s">
        <v>121</v>
      </c>
      <c r="N56" s="255" t="s">
        <v>121</v>
      </c>
      <c r="O56" s="255" t="s">
        <v>121</v>
      </c>
      <c r="P56" s="255" t="s">
        <v>121</v>
      </c>
      <c r="Q56" s="405"/>
      <c r="R56" s="405"/>
      <c r="S56" s="405"/>
      <c r="T56" s="405"/>
      <c r="U56" s="255" t="s">
        <v>121</v>
      </c>
      <c r="V56" s="255" t="s">
        <v>121</v>
      </c>
      <c r="W56" s="255" t="s">
        <v>121</v>
      </c>
      <c r="X56" s="255" t="s">
        <v>121</v>
      </c>
      <c r="Y56" s="255" t="s">
        <v>121</v>
      </c>
      <c r="Z56" s="255" t="s">
        <v>121</v>
      </c>
      <c r="AA56" s="255" t="s">
        <v>121</v>
      </c>
      <c r="AB56" s="255" t="s">
        <v>121</v>
      </c>
      <c r="AC56" s="255" t="s">
        <v>121</v>
      </c>
      <c r="AD56" s="255" t="s">
        <v>121</v>
      </c>
      <c r="AE56" s="255" t="s">
        <v>121</v>
      </c>
      <c r="AF56" s="255" t="s">
        <v>121</v>
      </c>
      <c r="AG56" s="255" t="s">
        <v>121</v>
      </c>
      <c r="AH56" s="255" t="s">
        <v>121</v>
      </c>
      <c r="AI56" s="255" t="s">
        <v>121</v>
      </c>
      <c r="AJ56" s="255" t="s">
        <v>121</v>
      </c>
      <c r="AK56" s="255" t="s">
        <v>121</v>
      </c>
      <c r="AL56" s="255" t="s">
        <v>121</v>
      </c>
      <c r="AM56" s="255" t="s">
        <v>121</v>
      </c>
      <c r="AN56" s="255" t="s">
        <v>121</v>
      </c>
      <c r="AO56" s="255" t="s">
        <v>121</v>
      </c>
      <c r="AP56" s="255" t="s">
        <v>121</v>
      </c>
      <c r="AQ56" s="255" t="s">
        <v>121</v>
      </c>
      <c r="AR56" s="255" t="s">
        <v>121</v>
      </c>
      <c r="AS56" s="255" t="s">
        <v>121</v>
      </c>
      <c r="AT56" s="255" t="s">
        <v>121</v>
      </c>
      <c r="AU56" s="255" t="s">
        <v>121</v>
      </c>
      <c r="AV56" s="255" t="s">
        <v>121</v>
      </c>
      <c r="AW56" s="255" t="s">
        <v>121</v>
      </c>
      <c r="AX56" s="255" t="s">
        <v>121</v>
      </c>
      <c r="AY56" s="255" t="s">
        <v>121</v>
      </c>
      <c r="AZ56" s="255" t="s">
        <v>121</v>
      </c>
      <c r="BA56" s="255" t="s">
        <v>121</v>
      </c>
      <c r="BB56" s="255" t="s">
        <v>121</v>
      </c>
      <c r="BC56" s="255" t="s">
        <v>121</v>
      </c>
      <c r="BD56" s="255" t="s">
        <v>121</v>
      </c>
      <c r="BE56" s="255" t="s">
        <v>121</v>
      </c>
      <c r="BF56" s="255" t="s">
        <v>121</v>
      </c>
      <c r="BG56" s="255" t="s">
        <v>121</v>
      </c>
      <c r="BH56" s="255" t="s">
        <v>121</v>
      </c>
      <c r="BI56" s="255" t="s">
        <v>121</v>
      </c>
      <c r="BJ56" s="255" t="s">
        <v>121</v>
      </c>
      <c r="BK56" s="255" t="s">
        <v>121</v>
      </c>
      <c r="BL56" s="255" t="s">
        <v>121</v>
      </c>
      <c r="BM56" s="352" t="s">
        <v>121</v>
      </c>
      <c r="BN56" s="352" t="s">
        <v>121</v>
      </c>
      <c r="BO56" s="352" t="s">
        <v>121</v>
      </c>
      <c r="BP56" s="352" t="s">
        <v>121</v>
      </c>
      <c r="BQ56" s="352" t="s">
        <v>121</v>
      </c>
      <c r="BR56" s="352" t="s">
        <v>121</v>
      </c>
      <c r="BS56" s="352" t="s">
        <v>121</v>
      </c>
      <c r="BT56" s="352" t="s">
        <v>121</v>
      </c>
      <c r="BU56" s="352" t="s">
        <v>121</v>
      </c>
      <c r="BV56" s="352" t="s">
        <v>121</v>
      </c>
      <c r="BW56" s="352" t="s">
        <v>121</v>
      </c>
      <c r="BX56" s="352" t="s">
        <v>121</v>
      </c>
      <c r="BY56" s="352" t="s">
        <v>121</v>
      </c>
      <c r="BZ56" s="352" t="s">
        <v>121</v>
      </c>
      <c r="CA56" s="352" t="s">
        <v>121</v>
      </c>
      <c r="CB56" s="352" t="s">
        <v>121</v>
      </c>
      <c r="CC56" s="352" t="s">
        <v>121</v>
      </c>
      <c r="CD56" s="352" t="s">
        <v>121</v>
      </c>
      <c r="CE56" s="352" t="s">
        <v>121</v>
      </c>
      <c r="CF56" s="352" t="s">
        <v>121</v>
      </c>
      <c r="CG56" s="352" t="s">
        <v>121</v>
      </c>
      <c r="CH56" s="352" t="s">
        <v>121</v>
      </c>
      <c r="CI56" s="352" t="s">
        <v>121</v>
      </c>
      <c r="CJ56" s="352" t="s">
        <v>121</v>
      </c>
      <c r="CK56" s="352" t="s">
        <v>121</v>
      </c>
      <c r="CL56" s="352" t="s">
        <v>121</v>
      </c>
      <c r="CM56" s="352" t="s">
        <v>121</v>
      </c>
      <c r="CN56" s="352" t="s">
        <v>121</v>
      </c>
      <c r="CO56" s="352" t="s">
        <v>121</v>
      </c>
      <c r="CP56" s="352" t="s">
        <v>121</v>
      </c>
      <c r="CQ56" s="352" t="s">
        <v>121</v>
      </c>
      <c r="CR56" s="352" t="s">
        <v>121</v>
      </c>
      <c r="CS56" s="352" t="s">
        <v>121</v>
      </c>
      <c r="CT56" s="352" t="s">
        <v>121</v>
      </c>
      <c r="CU56" s="352" t="s">
        <v>121</v>
      </c>
      <c r="CV56" s="352" t="s">
        <v>121</v>
      </c>
      <c r="CW56" s="352" t="s">
        <v>121</v>
      </c>
      <c r="CX56" s="352" t="s">
        <v>121</v>
      </c>
      <c r="CY56" s="352" t="s">
        <v>121</v>
      </c>
      <c r="CZ56" s="352" t="s">
        <v>121</v>
      </c>
      <c r="DA56" s="352" t="s">
        <v>121</v>
      </c>
      <c r="DB56" s="352" t="s">
        <v>121</v>
      </c>
      <c r="DC56" s="352" t="s">
        <v>121</v>
      </c>
      <c r="DD56" s="352" t="s">
        <v>121</v>
      </c>
      <c r="DE56" s="352" t="s">
        <v>121</v>
      </c>
      <c r="DF56" s="352" t="s">
        <v>121</v>
      </c>
      <c r="DG56" s="352" t="s">
        <v>121</v>
      </c>
      <c r="DH56" s="352" t="s">
        <v>121</v>
      </c>
      <c r="DI56" s="352" t="s">
        <v>121</v>
      </c>
      <c r="DJ56" s="352" t="s">
        <v>121</v>
      </c>
      <c r="DK56" s="352" t="s">
        <v>121</v>
      </c>
      <c r="DL56" s="352" t="s">
        <v>121</v>
      </c>
      <c r="DM56" s="352" t="s">
        <v>121</v>
      </c>
      <c r="DN56" s="352" t="s">
        <v>121</v>
      </c>
      <c r="DO56" s="352" t="s">
        <v>121</v>
      </c>
      <c r="DP56" s="352" t="s">
        <v>121</v>
      </c>
      <c r="DQ56" s="352" t="s">
        <v>121</v>
      </c>
      <c r="DR56" s="352" t="s">
        <v>121</v>
      </c>
      <c r="DS56" s="352" t="s">
        <v>121</v>
      </c>
      <c r="DT56" s="352" t="s">
        <v>121</v>
      </c>
      <c r="DU56" s="352" t="s">
        <v>121</v>
      </c>
      <c r="DV56" s="352" t="s">
        <v>121</v>
      </c>
      <c r="DW56" s="352" t="s">
        <v>121</v>
      </c>
      <c r="DX56" s="352" t="s">
        <v>121</v>
      </c>
      <c r="DY56" s="352" t="s">
        <v>121</v>
      </c>
      <c r="DZ56" s="352" t="s">
        <v>121</v>
      </c>
      <c r="EA56" s="352" t="s">
        <v>121</v>
      </c>
      <c r="EB56" s="352" t="s">
        <v>121</v>
      </c>
      <c r="EC56" s="352" t="s">
        <v>121</v>
      </c>
      <c r="ED56" s="352" t="s">
        <v>121</v>
      </c>
      <c r="EE56" s="352" t="s">
        <v>121</v>
      </c>
      <c r="EF56" s="352" t="s">
        <v>121</v>
      </c>
      <c r="EG56" s="352" t="s">
        <v>121</v>
      </c>
      <c r="EH56" s="352" t="s">
        <v>121</v>
      </c>
      <c r="EI56" s="352" t="s">
        <v>121</v>
      </c>
      <c r="EJ56" s="352" t="s">
        <v>121</v>
      </c>
      <c r="EK56" s="352" t="s">
        <v>121</v>
      </c>
      <c r="EL56" s="352" t="s">
        <v>121</v>
      </c>
      <c r="EM56" s="352" t="s">
        <v>121</v>
      </c>
      <c r="EN56" s="352" t="s">
        <v>121</v>
      </c>
      <c r="EO56" s="352" t="s">
        <v>121</v>
      </c>
      <c r="EP56" s="352" t="s">
        <v>121</v>
      </c>
      <c r="EQ56" s="352" t="s">
        <v>121</v>
      </c>
      <c r="ER56" s="352" t="s">
        <v>121</v>
      </c>
      <c r="ES56" s="352" t="s">
        <v>121</v>
      </c>
      <c r="ET56" s="352" t="s">
        <v>121</v>
      </c>
      <c r="EU56" s="352" t="s">
        <v>121</v>
      </c>
      <c r="EV56" s="352" t="s">
        <v>121</v>
      </c>
      <c r="EW56" s="352" t="s">
        <v>121</v>
      </c>
      <c r="EX56" s="352" t="s">
        <v>121</v>
      </c>
    </row>
    <row r="57" spans="1:154" s="352" customFormat="1" ht="27.75" customHeight="1" x14ac:dyDescent="0.25">
      <c r="A57" s="273">
        <v>57</v>
      </c>
      <c r="B57" s="384" t="s">
        <v>115</v>
      </c>
      <c r="C57" s="345"/>
      <c r="D57" s="275"/>
      <c r="E57" s="270"/>
      <c r="F57" s="255" t="s">
        <v>121</v>
      </c>
      <c r="G57" s="255" t="s">
        <v>121</v>
      </c>
      <c r="H57" s="255" t="s">
        <v>121</v>
      </c>
      <c r="I57" s="255" t="s">
        <v>121</v>
      </c>
      <c r="J57" s="255" t="s">
        <v>121</v>
      </c>
      <c r="K57" s="255" t="s">
        <v>121</v>
      </c>
      <c r="L57" s="255" t="s">
        <v>121</v>
      </c>
      <c r="M57" s="255" t="s">
        <v>121</v>
      </c>
      <c r="N57" s="255" t="s">
        <v>121</v>
      </c>
      <c r="O57" s="255" t="s">
        <v>121</v>
      </c>
      <c r="P57" s="255" t="s">
        <v>121</v>
      </c>
      <c r="Q57" s="405"/>
      <c r="R57" s="405"/>
      <c r="S57" s="405"/>
      <c r="T57" s="405"/>
      <c r="U57" s="255" t="s">
        <v>121</v>
      </c>
      <c r="V57" s="255" t="s">
        <v>121</v>
      </c>
      <c r="W57" s="255" t="s">
        <v>121</v>
      </c>
      <c r="X57" s="255" t="s">
        <v>121</v>
      </c>
      <c r="Y57" s="255" t="s">
        <v>121</v>
      </c>
      <c r="Z57" s="255" t="s">
        <v>121</v>
      </c>
      <c r="AA57" s="255" t="s">
        <v>121</v>
      </c>
      <c r="AB57" s="255" t="s">
        <v>121</v>
      </c>
      <c r="AC57" s="255">
        <v>70.578000000000003</v>
      </c>
      <c r="AD57" s="255">
        <v>70.578000000000003</v>
      </c>
      <c r="AE57" s="255">
        <v>91.244</v>
      </c>
      <c r="AF57" s="255">
        <v>9.6170000000000009</v>
      </c>
      <c r="AG57" s="255" t="s">
        <v>121</v>
      </c>
      <c r="AH57" s="255" t="s">
        <v>121</v>
      </c>
      <c r="AI57" s="255" t="s">
        <v>121</v>
      </c>
      <c r="AJ57" s="255" t="s">
        <v>121</v>
      </c>
      <c r="AK57" s="255" t="s">
        <v>121</v>
      </c>
      <c r="AL57" s="255" t="s">
        <v>121</v>
      </c>
      <c r="AM57" s="255" t="s">
        <v>121</v>
      </c>
      <c r="AN57" s="255" t="s">
        <v>121</v>
      </c>
      <c r="AO57" s="255" t="s">
        <v>121</v>
      </c>
      <c r="AP57" s="255" t="s">
        <v>121</v>
      </c>
      <c r="AQ57" s="255" t="s">
        <v>121</v>
      </c>
      <c r="AR57" s="255" t="s">
        <v>121</v>
      </c>
      <c r="AS57" s="255" t="s">
        <v>121</v>
      </c>
      <c r="AT57" s="255" t="s">
        <v>121</v>
      </c>
      <c r="AU57" s="255" t="s">
        <v>121</v>
      </c>
      <c r="AV57" s="255" t="s">
        <v>121</v>
      </c>
      <c r="AW57" s="255" t="s">
        <v>121</v>
      </c>
      <c r="AX57" s="255" t="s">
        <v>121</v>
      </c>
      <c r="AY57" s="255" t="s">
        <v>121</v>
      </c>
      <c r="AZ57" s="255" t="s">
        <v>121</v>
      </c>
      <c r="BA57" s="255" t="s">
        <v>121</v>
      </c>
      <c r="BB57" s="255" t="s">
        <v>121</v>
      </c>
      <c r="BC57" s="255" t="s">
        <v>121</v>
      </c>
      <c r="BD57" s="255" t="s">
        <v>121</v>
      </c>
      <c r="BE57" s="255" t="s">
        <v>121</v>
      </c>
      <c r="BF57" s="255" t="s">
        <v>121</v>
      </c>
      <c r="BG57" s="255" t="s">
        <v>121</v>
      </c>
      <c r="BH57" s="255" t="s">
        <v>121</v>
      </c>
      <c r="BI57" s="255" t="s">
        <v>121</v>
      </c>
      <c r="BJ57" s="255" t="s">
        <v>121</v>
      </c>
      <c r="BK57" s="255" t="s">
        <v>121</v>
      </c>
      <c r="BL57" s="255" t="s">
        <v>121</v>
      </c>
      <c r="BM57" s="352" t="s">
        <v>121</v>
      </c>
      <c r="BN57" s="352" t="s">
        <v>121</v>
      </c>
      <c r="BO57" s="352" t="s">
        <v>121</v>
      </c>
      <c r="BP57" s="352" t="s">
        <v>121</v>
      </c>
      <c r="BQ57" s="352" t="s">
        <v>121</v>
      </c>
      <c r="BR57" s="352" t="s">
        <v>121</v>
      </c>
      <c r="BS57" s="352" t="s">
        <v>121</v>
      </c>
      <c r="BT57" s="352" t="s">
        <v>121</v>
      </c>
      <c r="BU57" s="352" t="s">
        <v>121</v>
      </c>
      <c r="BV57" s="352" t="s">
        <v>121</v>
      </c>
      <c r="BW57" s="352" t="s">
        <v>121</v>
      </c>
      <c r="BX57" s="352" t="s">
        <v>121</v>
      </c>
      <c r="BY57" s="352" t="s">
        <v>121</v>
      </c>
      <c r="BZ57" s="352" t="s">
        <v>121</v>
      </c>
      <c r="CA57" s="352" t="s">
        <v>121</v>
      </c>
      <c r="CB57" s="352" t="s">
        <v>121</v>
      </c>
      <c r="CC57" s="352" t="s">
        <v>121</v>
      </c>
      <c r="CD57" s="352" t="s">
        <v>121</v>
      </c>
      <c r="CE57" s="352" t="s">
        <v>121</v>
      </c>
      <c r="CF57" s="352" t="s">
        <v>121</v>
      </c>
      <c r="CG57" s="352" t="s">
        <v>121</v>
      </c>
      <c r="CH57" s="352" t="s">
        <v>121</v>
      </c>
      <c r="CI57" s="352" t="s">
        <v>121</v>
      </c>
      <c r="CJ57" s="352" t="s">
        <v>121</v>
      </c>
      <c r="CK57" s="352" t="s">
        <v>121</v>
      </c>
      <c r="CL57" s="352" t="s">
        <v>121</v>
      </c>
      <c r="CM57" s="352" t="s">
        <v>121</v>
      </c>
      <c r="CN57" s="352" t="s">
        <v>121</v>
      </c>
      <c r="CO57" s="352" t="s">
        <v>121</v>
      </c>
      <c r="CP57" s="352" t="s">
        <v>121</v>
      </c>
      <c r="CQ57" s="352" t="s">
        <v>121</v>
      </c>
      <c r="CR57" s="352" t="s">
        <v>121</v>
      </c>
      <c r="CS57" s="352" t="s">
        <v>121</v>
      </c>
      <c r="CT57" s="352" t="s">
        <v>121</v>
      </c>
      <c r="CU57" s="352" t="s">
        <v>121</v>
      </c>
      <c r="CV57" s="352" t="s">
        <v>121</v>
      </c>
      <c r="CW57" s="352" t="s">
        <v>121</v>
      </c>
      <c r="CX57" s="352" t="s">
        <v>121</v>
      </c>
      <c r="CY57" s="352" t="s">
        <v>121</v>
      </c>
      <c r="CZ57" s="352" t="s">
        <v>121</v>
      </c>
      <c r="DA57" s="352" t="s">
        <v>121</v>
      </c>
      <c r="DB57" s="352" t="s">
        <v>121</v>
      </c>
      <c r="DC57" s="352" t="s">
        <v>121</v>
      </c>
      <c r="DD57" s="352" t="s">
        <v>121</v>
      </c>
      <c r="DE57" s="352" t="s">
        <v>121</v>
      </c>
      <c r="DF57" s="352" t="s">
        <v>121</v>
      </c>
      <c r="DG57" s="352" t="s">
        <v>121</v>
      </c>
      <c r="DH57" s="352" t="s">
        <v>121</v>
      </c>
      <c r="DI57" s="352" t="s">
        <v>121</v>
      </c>
      <c r="DJ57" s="352" t="s">
        <v>121</v>
      </c>
      <c r="DK57" s="352" t="s">
        <v>121</v>
      </c>
      <c r="DL57" s="352" t="s">
        <v>121</v>
      </c>
      <c r="DM57" s="352" t="s">
        <v>121</v>
      </c>
      <c r="DN57" s="352" t="s">
        <v>121</v>
      </c>
      <c r="DO57" s="352" t="s">
        <v>121</v>
      </c>
      <c r="DP57" s="352" t="s">
        <v>121</v>
      </c>
      <c r="DQ57" s="352" t="s">
        <v>121</v>
      </c>
      <c r="DR57" s="352" t="s">
        <v>121</v>
      </c>
      <c r="DS57" s="352" t="s">
        <v>121</v>
      </c>
      <c r="DT57" s="352" t="s">
        <v>121</v>
      </c>
      <c r="DU57" s="352" t="s">
        <v>121</v>
      </c>
      <c r="DV57" s="352" t="s">
        <v>121</v>
      </c>
      <c r="DW57" s="352" t="s">
        <v>121</v>
      </c>
      <c r="DX57" s="352" t="s">
        <v>121</v>
      </c>
      <c r="DY57" s="352" t="s">
        <v>121</v>
      </c>
      <c r="DZ57" s="352" t="s">
        <v>121</v>
      </c>
      <c r="EA57" s="352" t="s">
        <v>121</v>
      </c>
      <c r="EB57" s="352" t="s">
        <v>121</v>
      </c>
      <c r="EC57" s="352" t="s">
        <v>121</v>
      </c>
      <c r="ED57" s="352" t="s">
        <v>121</v>
      </c>
      <c r="EE57" s="352" t="s">
        <v>121</v>
      </c>
      <c r="EF57" s="352" t="s">
        <v>121</v>
      </c>
      <c r="EG57" s="352" t="s">
        <v>121</v>
      </c>
      <c r="EH57" s="352" t="s">
        <v>121</v>
      </c>
      <c r="EI57" s="352" t="s">
        <v>121</v>
      </c>
      <c r="EJ57" s="352" t="s">
        <v>121</v>
      </c>
      <c r="EK57" s="352" t="s">
        <v>121</v>
      </c>
      <c r="EL57" s="352" t="s">
        <v>121</v>
      </c>
      <c r="EM57" s="352" t="s">
        <v>121</v>
      </c>
      <c r="EN57" s="352" t="s">
        <v>121</v>
      </c>
      <c r="EO57" s="352" t="s">
        <v>121</v>
      </c>
      <c r="EP57" s="352" t="s">
        <v>121</v>
      </c>
      <c r="EQ57" s="352" t="s">
        <v>121</v>
      </c>
      <c r="ER57" s="352" t="s">
        <v>121</v>
      </c>
      <c r="ES57" s="352" t="s">
        <v>121</v>
      </c>
      <c r="ET57" s="352" t="s">
        <v>121</v>
      </c>
      <c r="EU57" s="352" t="s">
        <v>121</v>
      </c>
      <c r="EV57" s="352" t="s">
        <v>121</v>
      </c>
      <c r="EW57" s="352" t="s">
        <v>121</v>
      </c>
      <c r="EX57" s="352" t="s">
        <v>121</v>
      </c>
    </row>
    <row r="58" spans="1:154" s="352" customFormat="1" ht="15" customHeight="1" x14ac:dyDescent="0.25">
      <c r="A58" s="273">
        <v>58</v>
      </c>
      <c r="B58" s="384" t="s">
        <v>116</v>
      </c>
      <c r="C58" s="345"/>
      <c r="D58" s="275"/>
      <c r="E58" s="270"/>
      <c r="F58" s="255" t="s">
        <v>121</v>
      </c>
      <c r="G58" s="255" t="s">
        <v>121</v>
      </c>
      <c r="H58" s="255" t="s">
        <v>121</v>
      </c>
      <c r="I58" s="255" t="s">
        <v>121</v>
      </c>
      <c r="J58" s="255" t="s">
        <v>121</v>
      </c>
      <c r="K58" s="255" t="s">
        <v>121</v>
      </c>
      <c r="L58" s="255" t="s">
        <v>121</v>
      </c>
      <c r="M58" s="255">
        <v>504</v>
      </c>
      <c r="N58" s="255" t="s">
        <v>121</v>
      </c>
      <c r="O58" s="255" t="s">
        <v>121</v>
      </c>
      <c r="P58" s="255" t="s">
        <v>121</v>
      </c>
      <c r="Q58" s="405"/>
      <c r="R58" s="405"/>
      <c r="S58" s="405"/>
      <c r="T58" s="405"/>
      <c r="U58" s="255" t="s">
        <v>121</v>
      </c>
      <c r="V58" s="255" t="s">
        <v>121</v>
      </c>
      <c r="W58" s="255" t="s">
        <v>121</v>
      </c>
      <c r="X58" s="255" t="s">
        <v>121</v>
      </c>
      <c r="Y58" s="255">
        <v>25</v>
      </c>
      <c r="Z58" s="255" t="s">
        <v>121</v>
      </c>
      <c r="AA58" s="255" t="s">
        <v>121</v>
      </c>
      <c r="AB58" s="255" t="s">
        <v>121</v>
      </c>
      <c r="AC58" s="255" t="s">
        <v>121</v>
      </c>
      <c r="AD58" s="255" t="s">
        <v>121</v>
      </c>
      <c r="AE58" s="255" t="s">
        <v>121</v>
      </c>
      <c r="AF58" s="255" t="s">
        <v>121</v>
      </c>
      <c r="AG58" s="255" t="s">
        <v>121</v>
      </c>
      <c r="AH58" s="255" t="s">
        <v>121</v>
      </c>
      <c r="AI58" s="255" t="s">
        <v>121</v>
      </c>
      <c r="AJ58" s="255" t="s">
        <v>121</v>
      </c>
      <c r="AK58" s="255">
        <v>-205.83099999999999</v>
      </c>
      <c r="AL58" s="255" t="s">
        <v>121</v>
      </c>
      <c r="AM58" s="255" t="s">
        <v>121</v>
      </c>
      <c r="AN58" s="255" t="s">
        <v>121</v>
      </c>
      <c r="AO58" s="255" t="s">
        <v>121</v>
      </c>
      <c r="AP58" s="255" t="s">
        <v>121</v>
      </c>
      <c r="AQ58" s="255" t="s">
        <v>121</v>
      </c>
      <c r="AR58" s="255" t="s">
        <v>121</v>
      </c>
      <c r="AS58" s="255" t="s">
        <v>121</v>
      </c>
      <c r="AT58" s="255" t="s">
        <v>121</v>
      </c>
      <c r="AU58" s="255" t="s">
        <v>121</v>
      </c>
      <c r="AV58" s="255" t="s">
        <v>121</v>
      </c>
      <c r="AW58" s="255">
        <v>757.79899999999998</v>
      </c>
      <c r="AX58" s="255" t="s">
        <v>121</v>
      </c>
      <c r="AY58" s="255" t="s">
        <v>121</v>
      </c>
      <c r="AZ58" s="255" t="s">
        <v>121</v>
      </c>
      <c r="BA58" s="255" t="s">
        <v>121</v>
      </c>
      <c r="BB58" s="255" t="s">
        <v>121</v>
      </c>
      <c r="BC58" s="255" t="s">
        <v>121</v>
      </c>
      <c r="BD58" s="255" t="s">
        <v>121</v>
      </c>
      <c r="BE58" s="255">
        <v>254.74</v>
      </c>
      <c r="BF58" s="255" t="s">
        <v>121</v>
      </c>
      <c r="BG58" s="255" t="s">
        <v>121</v>
      </c>
      <c r="BH58" s="255" t="s">
        <v>121</v>
      </c>
      <c r="BI58" s="255">
        <v>1734.105</v>
      </c>
      <c r="BJ58" s="255" t="s">
        <v>121</v>
      </c>
      <c r="BK58" s="255" t="s">
        <v>121</v>
      </c>
      <c r="BL58" s="255" t="s">
        <v>121</v>
      </c>
      <c r="BM58" s="352" t="s">
        <v>121</v>
      </c>
      <c r="BN58" s="352" t="s">
        <v>121</v>
      </c>
      <c r="BO58" s="352" t="s">
        <v>121</v>
      </c>
      <c r="BP58" s="352" t="s">
        <v>121</v>
      </c>
      <c r="BQ58" s="352" t="s">
        <v>121</v>
      </c>
      <c r="BR58" s="352" t="s">
        <v>121</v>
      </c>
      <c r="BS58" s="352" t="s">
        <v>121</v>
      </c>
      <c r="BT58" s="352" t="s">
        <v>121</v>
      </c>
      <c r="BU58" s="352" t="s">
        <v>121</v>
      </c>
      <c r="BV58" s="352" t="s">
        <v>121</v>
      </c>
      <c r="BW58" s="352" t="s">
        <v>121</v>
      </c>
      <c r="BX58" s="352" t="s">
        <v>121</v>
      </c>
      <c r="BY58" s="352" t="s">
        <v>121</v>
      </c>
      <c r="BZ58" s="352" t="s">
        <v>121</v>
      </c>
      <c r="CA58" s="352" t="s">
        <v>121</v>
      </c>
      <c r="CB58" s="352" t="s">
        <v>121</v>
      </c>
      <c r="CC58" s="352" t="s">
        <v>121</v>
      </c>
      <c r="CD58" s="352" t="s">
        <v>121</v>
      </c>
      <c r="CE58" s="352" t="s">
        <v>121</v>
      </c>
      <c r="CF58" s="352" t="s">
        <v>121</v>
      </c>
      <c r="CG58" s="352" t="s">
        <v>121</v>
      </c>
      <c r="CH58" s="352" t="s">
        <v>121</v>
      </c>
      <c r="CI58" s="352" t="s">
        <v>121</v>
      </c>
      <c r="CJ58" s="352" t="s">
        <v>121</v>
      </c>
      <c r="CK58" s="352" t="s">
        <v>121</v>
      </c>
      <c r="CL58" s="352" t="s">
        <v>121</v>
      </c>
      <c r="CM58" s="352" t="s">
        <v>121</v>
      </c>
      <c r="CN58" s="352" t="s">
        <v>121</v>
      </c>
      <c r="CO58" s="352" t="s">
        <v>121</v>
      </c>
      <c r="CP58" s="352" t="s">
        <v>121</v>
      </c>
      <c r="CQ58" s="352" t="s">
        <v>121</v>
      </c>
      <c r="CR58" s="352" t="s">
        <v>121</v>
      </c>
      <c r="CS58" s="352" t="s">
        <v>121</v>
      </c>
      <c r="CT58" s="352" t="s">
        <v>121</v>
      </c>
      <c r="CU58" s="352" t="s">
        <v>121</v>
      </c>
      <c r="CV58" s="352" t="s">
        <v>121</v>
      </c>
      <c r="CW58" s="352" t="s">
        <v>121</v>
      </c>
      <c r="CX58" s="352" t="s">
        <v>121</v>
      </c>
      <c r="CY58" s="352" t="s">
        <v>121</v>
      </c>
      <c r="CZ58" s="352" t="s">
        <v>121</v>
      </c>
      <c r="DA58" s="352" t="s">
        <v>121</v>
      </c>
      <c r="DB58" s="352" t="s">
        <v>121</v>
      </c>
      <c r="DC58" s="352" t="s">
        <v>121</v>
      </c>
      <c r="DD58" s="352" t="s">
        <v>121</v>
      </c>
      <c r="DE58" s="352" t="s">
        <v>121</v>
      </c>
      <c r="DF58" s="352" t="s">
        <v>121</v>
      </c>
      <c r="DG58" s="352" t="s">
        <v>121</v>
      </c>
      <c r="DH58" s="352" t="s">
        <v>121</v>
      </c>
      <c r="DI58" s="352" t="s">
        <v>121</v>
      </c>
      <c r="DJ58" s="352" t="s">
        <v>121</v>
      </c>
      <c r="DK58" s="352" t="s">
        <v>121</v>
      </c>
      <c r="DL58" s="352" t="s">
        <v>121</v>
      </c>
      <c r="DM58" s="352" t="s">
        <v>121</v>
      </c>
      <c r="DN58" s="352" t="s">
        <v>121</v>
      </c>
      <c r="DO58" s="352" t="s">
        <v>121</v>
      </c>
      <c r="DP58" s="352" t="s">
        <v>121</v>
      </c>
      <c r="DQ58" s="352" t="s">
        <v>121</v>
      </c>
      <c r="DR58" s="352" t="s">
        <v>121</v>
      </c>
      <c r="DS58" s="352" t="s">
        <v>121</v>
      </c>
      <c r="DT58" s="352" t="s">
        <v>121</v>
      </c>
      <c r="DU58" s="352" t="s">
        <v>121</v>
      </c>
      <c r="DV58" s="352" t="s">
        <v>121</v>
      </c>
      <c r="DW58" s="352" t="s">
        <v>121</v>
      </c>
      <c r="DX58" s="352" t="s">
        <v>121</v>
      </c>
      <c r="DY58" s="352" t="s">
        <v>121</v>
      </c>
      <c r="DZ58" s="352" t="s">
        <v>121</v>
      </c>
      <c r="EA58" s="352" t="s">
        <v>121</v>
      </c>
      <c r="EB58" s="352" t="s">
        <v>121</v>
      </c>
      <c r="EC58" s="352" t="s">
        <v>121</v>
      </c>
      <c r="ED58" s="352" t="s">
        <v>121</v>
      </c>
      <c r="EE58" s="352" t="s">
        <v>121</v>
      </c>
      <c r="EF58" s="352" t="s">
        <v>121</v>
      </c>
      <c r="EG58" s="352" t="s">
        <v>121</v>
      </c>
      <c r="EH58" s="352" t="s">
        <v>121</v>
      </c>
      <c r="EI58" s="352" t="s">
        <v>121</v>
      </c>
      <c r="EJ58" s="352" t="s">
        <v>121</v>
      </c>
      <c r="EK58" s="352" t="s">
        <v>121</v>
      </c>
      <c r="EL58" s="352" t="s">
        <v>121</v>
      </c>
      <c r="EM58" s="352" t="s">
        <v>121</v>
      </c>
      <c r="EN58" s="352" t="s">
        <v>121</v>
      </c>
      <c r="EO58" s="352" t="s">
        <v>121</v>
      </c>
      <c r="EP58" s="352" t="s">
        <v>121</v>
      </c>
      <c r="EQ58" s="352" t="s">
        <v>121</v>
      </c>
      <c r="ER58" s="352" t="s">
        <v>121</v>
      </c>
      <c r="ES58" s="352" t="s">
        <v>121</v>
      </c>
      <c r="ET58" s="352" t="s">
        <v>121</v>
      </c>
      <c r="EU58" s="352" t="s">
        <v>121</v>
      </c>
      <c r="EV58" s="352" t="s">
        <v>121</v>
      </c>
      <c r="EW58" s="352" t="s">
        <v>121</v>
      </c>
      <c r="EX58" s="352" t="s">
        <v>121</v>
      </c>
    </row>
    <row r="59" spans="1:154" s="352" customFormat="1" ht="15" customHeight="1" x14ac:dyDescent="0.25">
      <c r="A59" s="273">
        <v>59</v>
      </c>
      <c r="B59" s="384" t="s">
        <v>117</v>
      </c>
      <c r="C59" s="345"/>
      <c r="D59" s="275"/>
      <c r="E59" s="270"/>
      <c r="F59" s="255" t="s">
        <v>121</v>
      </c>
      <c r="G59" s="255" t="s">
        <v>121</v>
      </c>
      <c r="H59" s="255" t="s">
        <v>121</v>
      </c>
      <c r="I59" s="255">
        <v>-190</v>
      </c>
      <c r="J59" s="255" t="s">
        <v>121</v>
      </c>
      <c r="K59" s="255" t="s">
        <v>121</v>
      </c>
      <c r="L59" s="255" t="s">
        <v>121</v>
      </c>
      <c r="M59" s="255">
        <v>-101</v>
      </c>
      <c r="N59" s="255" t="s">
        <v>121</v>
      </c>
      <c r="O59" s="255" t="s">
        <v>121</v>
      </c>
      <c r="P59" s="255" t="s">
        <v>121</v>
      </c>
      <c r="Q59" s="405"/>
      <c r="R59" s="405"/>
      <c r="S59" s="405"/>
      <c r="T59" s="405"/>
      <c r="U59" s="255" t="s">
        <v>121</v>
      </c>
      <c r="V59" s="255" t="s">
        <v>121</v>
      </c>
      <c r="W59" s="255" t="s">
        <v>121</v>
      </c>
      <c r="X59" s="255" t="s">
        <v>121</v>
      </c>
      <c r="Y59" s="255">
        <v>-5</v>
      </c>
      <c r="Z59" s="255" t="s">
        <v>121</v>
      </c>
      <c r="AA59" s="255" t="s">
        <v>121</v>
      </c>
      <c r="AB59" s="255" t="s">
        <v>121</v>
      </c>
      <c r="AC59" s="255" t="s">
        <v>121</v>
      </c>
      <c r="AD59" s="255" t="s">
        <v>121</v>
      </c>
      <c r="AE59" s="255" t="s">
        <v>121</v>
      </c>
      <c r="AF59" s="255" t="s">
        <v>121</v>
      </c>
      <c r="AG59" s="255" t="s">
        <v>121</v>
      </c>
      <c r="AH59" s="255" t="s">
        <v>121</v>
      </c>
      <c r="AI59" s="255" t="s">
        <v>121</v>
      </c>
      <c r="AJ59" s="255" t="s">
        <v>121</v>
      </c>
      <c r="AK59" s="255">
        <v>41.165999999999997</v>
      </c>
      <c r="AL59" s="255" t="s">
        <v>121</v>
      </c>
      <c r="AM59" s="255" t="s">
        <v>121</v>
      </c>
      <c r="AN59" s="255" t="s">
        <v>121</v>
      </c>
      <c r="AO59" s="255" t="s">
        <v>121</v>
      </c>
      <c r="AP59" s="255" t="s">
        <v>121</v>
      </c>
      <c r="AQ59" s="255" t="s">
        <v>121</v>
      </c>
      <c r="AR59" s="255" t="s">
        <v>121</v>
      </c>
      <c r="AS59" s="255" t="s">
        <v>121</v>
      </c>
      <c r="AT59" s="255" t="s">
        <v>121</v>
      </c>
      <c r="AU59" s="255" t="s">
        <v>121</v>
      </c>
      <c r="AV59" s="255" t="s">
        <v>121</v>
      </c>
      <c r="AW59" s="255">
        <v>-151.56</v>
      </c>
      <c r="AX59" s="255" t="s">
        <v>121</v>
      </c>
      <c r="AY59" s="255" t="s">
        <v>121</v>
      </c>
      <c r="AZ59" s="255" t="s">
        <v>121</v>
      </c>
      <c r="BA59" s="255" t="s">
        <v>121</v>
      </c>
      <c r="BB59" s="255" t="s">
        <v>121</v>
      </c>
      <c r="BC59" s="255" t="s">
        <v>121</v>
      </c>
      <c r="BD59" s="255" t="s">
        <v>121</v>
      </c>
      <c r="BE59" s="255" t="s">
        <v>121</v>
      </c>
      <c r="BF59" s="255" t="s">
        <v>121</v>
      </c>
      <c r="BG59" s="255" t="s">
        <v>121</v>
      </c>
      <c r="BH59" s="255" t="s">
        <v>121</v>
      </c>
      <c r="BI59" s="255" t="s">
        <v>121</v>
      </c>
      <c r="BJ59" s="255" t="s">
        <v>121</v>
      </c>
      <c r="BK59" s="255" t="s">
        <v>121</v>
      </c>
      <c r="BL59" s="255" t="s">
        <v>121</v>
      </c>
      <c r="BM59" s="352" t="s">
        <v>121</v>
      </c>
      <c r="BN59" s="352" t="s">
        <v>121</v>
      </c>
      <c r="BO59" s="352" t="s">
        <v>121</v>
      </c>
      <c r="BP59" s="352" t="s">
        <v>121</v>
      </c>
      <c r="BQ59" s="352" t="s">
        <v>121</v>
      </c>
      <c r="BR59" s="352" t="s">
        <v>121</v>
      </c>
      <c r="BS59" s="352" t="s">
        <v>121</v>
      </c>
      <c r="BT59" s="352" t="s">
        <v>121</v>
      </c>
      <c r="BU59" s="352" t="s">
        <v>121</v>
      </c>
      <c r="BV59" s="352" t="s">
        <v>121</v>
      </c>
      <c r="BW59" s="352" t="s">
        <v>121</v>
      </c>
      <c r="BX59" s="352" t="s">
        <v>121</v>
      </c>
      <c r="BY59" s="352" t="s">
        <v>121</v>
      </c>
      <c r="BZ59" s="352" t="s">
        <v>121</v>
      </c>
      <c r="CA59" s="352" t="s">
        <v>121</v>
      </c>
      <c r="CB59" s="352" t="s">
        <v>121</v>
      </c>
      <c r="CC59" s="352" t="s">
        <v>121</v>
      </c>
      <c r="CD59" s="352" t="s">
        <v>121</v>
      </c>
      <c r="CE59" s="352" t="s">
        <v>121</v>
      </c>
      <c r="CF59" s="352" t="s">
        <v>121</v>
      </c>
      <c r="CG59" s="352" t="s">
        <v>121</v>
      </c>
      <c r="CH59" s="352" t="s">
        <v>121</v>
      </c>
      <c r="CI59" s="352" t="s">
        <v>121</v>
      </c>
      <c r="CJ59" s="352" t="s">
        <v>121</v>
      </c>
      <c r="CK59" s="352" t="s">
        <v>121</v>
      </c>
      <c r="CL59" s="352" t="s">
        <v>121</v>
      </c>
      <c r="CM59" s="352" t="s">
        <v>121</v>
      </c>
      <c r="CN59" s="352" t="s">
        <v>121</v>
      </c>
      <c r="CO59" s="352" t="s">
        <v>121</v>
      </c>
      <c r="CP59" s="352" t="s">
        <v>121</v>
      </c>
      <c r="CQ59" s="352" t="s">
        <v>121</v>
      </c>
      <c r="CR59" s="352" t="s">
        <v>121</v>
      </c>
      <c r="CS59" s="352" t="s">
        <v>121</v>
      </c>
      <c r="CT59" s="352" t="s">
        <v>121</v>
      </c>
      <c r="CU59" s="352" t="s">
        <v>121</v>
      </c>
      <c r="CV59" s="352" t="s">
        <v>121</v>
      </c>
      <c r="CW59" s="352" t="s">
        <v>121</v>
      </c>
      <c r="CX59" s="352" t="s">
        <v>121</v>
      </c>
      <c r="CY59" s="352" t="s">
        <v>121</v>
      </c>
      <c r="CZ59" s="352" t="s">
        <v>121</v>
      </c>
      <c r="DA59" s="352" t="s">
        <v>121</v>
      </c>
      <c r="DB59" s="352" t="s">
        <v>121</v>
      </c>
      <c r="DC59" s="352" t="s">
        <v>121</v>
      </c>
      <c r="DD59" s="352" t="s">
        <v>121</v>
      </c>
      <c r="DE59" s="352" t="s">
        <v>121</v>
      </c>
      <c r="DF59" s="352" t="s">
        <v>121</v>
      </c>
      <c r="DG59" s="352" t="s">
        <v>121</v>
      </c>
      <c r="DH59" s="352" t="s">
        <v>121</v>
      </c>
      <c r="DI59" s="352" t="s">
        <v>121</v>
      </c>
      <c r="DJ59" s="352" t="s">
        <v>121</v>
      </c>
      <c r="DK59" s="352" t="s">
        <v>121</v>
      </c>
      <c r="DL59" s="352" t="s">
        <v>121</v>
      </c>
      <c r="DM59" s="352" t="s">
        <v>121</v>
      </c>
      <c r="DN59" s="352" t="s">
        <v>121</v>
      </c>
      <c r="DO59" s="352" t="s">
        <v>121</v>
      </c>
      <c r="DP59" s="352" t="s">
        <v>121</v>
      </c>
      <c r="DQ59" s="352" t="s">
        <v>121</v>
      </c>
      <c r="DR59" s="352" t="s">
        <v>121</v>
      </c>
      <c r="DS59" s="352" t="s">
        <v>121</v>
      </c>
      <c r="DT59" s="352" t="s">
        <v>121</v>
      </c>
      <c r="DU59" s="352" t="s">
        <v>121</v>
      </c>
      <c r="DV59" s="352" t="s">
        <v>121</v>
      </c>
      <c r="DW59" s="352" t="s">
        <v>121</v>
      </c>
      <c r="DX59" s="352" t="s">
        <v>121</v>
      </c>
      <c r="DY59" s="352" t="s">
        <v>121</v>
      </c>
      <c r="DZ59" s="352" t="s">
        <v>121</v>
      </c>
      <c r="EA59" s="352" t="s">
        <v>121</v>
      </c>
      <c r="EB59" s="352" t="s">
        <v>121</v>
      </c>
      <c r="EC59" s="352" t="s">
        <v>121</v>
      </c>
      <c r="ED59" s="352" t="s">
        <v>121</v>
      </c>
      <c r="EE59" s="352" t="s">
        <v>121</v>
      </c>
      <c r="EF59" s="352" t="s">
        <v>121</v>
      </c>
      <c r="EG59" s="352" t="s">
        <v>121</v>
      </c>
      <c r="EH59" s="352" t="s">
        <v>121</v>
      </c>
      <c r="EI59" s="352" t="s">
        <v>121</v>
      </c>
      <c r="EJ59" s="352" t="s">
        <v>121</v>
      </c>
      <c r="EK59" s="352" t="s">
        <v>121</v>
      </c>
      <c r="EL59" s="352" t="s">
        <v>121</v>
      </c>
      <c r="EM59" s="352" t="s">
        <v>121</v>
      </c>
      <c r="EN59" s="352" t="s">
        <v>121</v>
      </c>
      <c r="EO59" s="352" t="s">
        <v>121</v>
      </c>
      <c r="EP59" s="352" t="s">
        <v>121</v>
      </c>
      <c r="EQ59" s="352" t="s">
        <v>121</v>
      </c>
      <c r="ER59" s="352" t="s">
        <v>121</v>
      </c>
      <c r="ES59" s="352" t="s">
        <v>121</v>
      </c>
      <c r="ET59" s="352" t="s">
        <v>121</v>
      </c>
      <c r="EU59" s="352" t="s">
        <v>121</v>
      </c>
      <c r="EV59" s="352" t="s">
        <v>121</v>
      </c>
      <c r="EW59" s="352" t="s">
        <v>121</v>
      </c>
      <c r="EX59" s="352" t="s">
        <v>121</v>
      </c>
    </row>
    <row r="60" spans="1:154" s="19" customFormat="1" ht="26.25" customHeight="1" x14ac:dyDescent="0.25">
      <c r="A60" s="72">
        <v>60</v>
      </c>
      <c r="B60" s="54" t="s">
        <v>430</v>
      </c>
      <c r="C60" s="91" t="s">
        <v>121</v>
      </c>
      <c r="D60" s="86" t="s">
        <v>121</v>
      </c>
      <c r="E60" s="94" t="s">
        <v>121</v>
      </c>
      <c r="F60" s="65" t="s">
        <v>121</v>
      </c>
      <c r="G60" s="65" t="s">
        <v>121</v>
      </c>
      <c r="H60" s="256" t="s">
        <v>121</v>
      </c>
      <c r="I60" s="65" t="s">
        <v>121</v>
      </c>
      <c r="J60" s="65" t="s">
        <v>121</v>
      </c>
      <c r="K60" s="65" t="s">
        <v>121</v>
      </c>
      <c r="L60" s="256" t="s">
        <v>121</v>
      </c>
      <c r="M60" s="65" t="s">
        <v>121</v>
      </c>
      <c r="N60" s="65" t="s">
        <v>121</v>
      </c>
      <c r="O60" s="65" t="s">
        <v>121</v>
      </c>
      <c r="P60" s="65" t="s">
        <v>121</v>
      </c>
      <c r="Q60" s="405"/>
      <c r="R60" s="405"/>
      <c r="S60" s="405"/>
      <c r="T60" s="405"/>
      <c r="U60" s="65" t="s">
        <v>121</v>
      </c>
      <c r="V60" s="65" t="s">
        <v>121</v>
      </c>
      <c r="W60" s="65" t="s">
        <v>121</v>
      </c>
      <c r="X60" s="65" t="s">
        <v>121</v>
      </c>
      <c r="Y60" s="65" t="s">
        <v>121</v>
      </c>
      <c r="Z60" s="65" t="s">
        <v>121</v>
      </c>
      <c r="AA60" s="65" t="s">
        <v>121</v>
      </c>
      <c r="AB60" s="65" t="s">
        <v>121</v>
      </c>
      <c r="AC60" s="65" t="s">
        <v>121</v>
      </c>
      <c r="AD60" s="65" t="s">
        <v>121</v>
      </c>
      <c r="AE60" s="65" t="s">
        <v>121</v>
      </c>
      <c r="AF60" s="147" t="s">
        <v>121</v>
      </c>
      <c r="AG60" s="22" t="s">
        <v>121</v>
      </c>
      <c r="AH60" s="22" t="s">
        <v>121</v>
      </c>
      <c r="AI60" s="65" t="s">
        <v>121</v>
      </c>
      <c r="AJ60" s="65" t="s">
        <v>121</v>
      </c>
      <c r="AK60" s="65" t="s">
        <v>121</v>
      </c>
      <c r="AL60" s="65" t="s">
        <v>121</v>
      </c>
      <c r="AM60" s="65" t="s">
        <v>121</v>
      </c>
      <c r="AN60" s="65" t="s">
        <v>121</v>
      </c>
      <c r="AO60" s="65" t="s">
        <v>121</v>
      </c>
      <c r="AP60" s="65" t="s">
        <v>121</v>
      </c>
      <c r="AQ60" s="65" t="s">
        <v>121</v>
      </c>
      <c r="AR60" s="65" t="s">
        <v>121</v>
      </c>
      <c r="AS60" s="65" t="s">
        <v>121</v>
      </c>
      <c r="AT60" s="65" t="s">
        <v>121</v>
      </c>
      <c r="AU60" s="65" t="s">
        <v>121</v>
      </c>
      <c r="AV60" s="65" t="s">
        <v>121</v>
      </c>
      <c r="AW60" s="65" t="s">
        <v>121</v>
      </c>
      <c r="AX60" s="20" t="s">
        <v>121</v>
      </c>
      <c r="AY60" s="20" t="s">
        <v>121</v>
      </c>
      <c r="AZ60" s="65" t="s">
        <v>121</v>
      </c>
      <c r="BA60" s="20" t="s">
        <v>121</v>
      </c>
      <c r="BB60" s="20" t="s">
        <v>121</v>
      </c>
      <c r="BC60" s="20" t="s">
        <v>121</v>
      </c>
      <c r="BD60" s="20" t="s">
        <v>121</v>
      </c>
      <c r="BE60" s="20" t="s">
        <v>121</v>
      </c>
      <c r="BF60" s="20" t="s">
        <v>121</v>
      </c>
      <c r="BG60" s="20" t="s">
        <v>121</v>
      </c>
      <c r="BH60" s="20" t="s">
        <v>121</v>
      </c>
      <c r="BI60" s="20" t="s">
        <v>121</v>
      </c>
      <c r="BJ60" s="20" t="s">
        <v>121</v>
      </c>
      <c r="BK60" s="20" t="s">
        <v>121</v>
      </c>
      <c r="BL60" s="20" t="s">
        <v>121</v>
      </c>
      <c r="BM60" s="19" t="s">
        <v>121</v>
      </c>
      <c r="BN60" s="19" t="s">
        <v>121</v>
      </c>
      <c r="BO60" s="19" t="s">
        <v>121</v>
      </c>
      <c r="BP60" s="19" t="s">
        <v>121</v>
      </c>
      <c r="BQ60" s="19" t="s">
        <v>121</v>
      </c>
      <c r="BR60" s="19" t="s">
        <v>121</v>
      </c>
      <c r="BS60" s="19" t="s">
        <v>121</v>
      </c>
      <c r="BT60" s="19" t="s">
        <v>121</v>
      </c>
      <c r="BU60" s="19" t="s">
        <v>121</v>
      </c>
      <c r="BV60" s="19" t="s">
        <v>121</v>
      </c>
      <c r="BW60" s="19" t="s">
        <v>121</v>
      </c>
      <c r="BX60" s="19" t="s">
        <v>121</v>
      </c>
      <c r="BY60" s="19" t="s">
        <v>121</v>
      </c>
      <c r="BZ60" s="19" t="s">
        <v>121</v>
      </c>
      <c r="CA60" s="19" t="s">
        <v>121</v>
      </c>
      <c r="CB60" s="19" t="s">
        <v>121</v>
      </c>
      <c r="CC60" s="19" t="s">
        <v>121</v>
      </c>
      <c r="CD60" s="19" t="s">
        <v>121</v>
      </c>
      <c r="CE60" s="19" t="s">
        <v>121</v>
      </c>
      <c r="CF60" s="19" t="s">
        <v>121</v>
      </c>
      <c r="CG60" s="19" t="s">
        <v>121</v>
      </c>
      <c r="CH60" s="19" t="s">
        <v>121</v>
      </c>
      <c r="CI60" s="19" t="s">
        <v>121</v>
      </c>
      <c r="CJ60" s="19" t="s">
        <v>121</v>
      </c>
      <c r="CK60" s="19" t="s">
        <v>121</v>
      </c>
      <c r="CL60" s="19" t="s">
        <v>121</v>
      </c>
      <c r="CM60" s="19" t="s">
        <v>121</v>
      </c>
      <c r="CN60" s="19" t="s">
        <v>121</v>
      </c>
      <c r="CO60" s="19" t="s">
        <v>121</v>
      </c>
      <c r="CP60" s="19" t="s">
        <v>121</v>
      </c>
      <c r="CQ60" s="19" t="s">
        <v>121</v>
      </c>
      <c r="CR60" s="19" t="s">
        <v>121</v>
      </c>
      <c r="CS60" s="19" t="s">
        <v>121</v>
      </c>
      <c r="CT60" s="19" t="s">
        <v>121</v>
      </c>
      <c r="CU60" s="19" t="s">
        <v>121</v>
      </c>
      <c r="CV60" s="19" t="s">
        <v>121</v>
      </c>
      <c r="CW60" s="19" t="s">
        <v>121</v>
      </c>
      <c r="CX60" s="19" t="s">
        <v>121</v>
      </c>
      <c r="CY60" s="19" t="s">
        <v>121</v>
      </c>
      <c r="CZ60" s="19" t="s">
        <v>121</v>
      </c>
      <c r="DA60" s="19" t="s">
        <v>121</v>
      </c>
      <c r="DB60" s="19" t="s">
        <v>121</v>
      </c>
      <c r="DC60" s="19" t="s">
        <v>121</v>
      </c>
      <c r="DD60" s="19" t="s">
        <v>121</v>
      </c>
      <c r="DE60" s="19" t="s">
        <v>121</v>
      </c>
      <c r="DF60" s="19" t="s">
        <v>121</v>
      </c>
      <c r="DG60" s="19" t="s">
        <v>121</v>
      </c>
      <c r="DH60" s="19" t="s">
        <v>121</v>
      </c>
      <c r="DI60" s="19" t="s">
        <v>121</v>
      </c>
      <c r="DJ60" s="19" t="s">
        <v>121</v>
      </c>
      <c r="DK60" s="19" t="s">
        <v>121</v>
      </c>
      <c r="DL60" s="19" t="s">
        <v>121</v>
      </c>
      <c r="DM60" s="19" t="s">
        <v>121</v>
      </c>
      <c r="DN60" s="19" t="s">
        <v>121</v>
      </c>
      <c r="DO60" s="19" t="s">
        <v>121</v>
      </c>
      <c r="DP60" s="19" t="s">
        <v>121</v>
      </c>
      <c r="DQ60" s="19" t="s">
        <v>121</v>
      </c>
      <c r="DR60" s="19" t="s">
        <v>121</v>
      </c>
      <c r="DS60" s="19" t="s">
        <v>121</v>
      </c>
      <c r="DT60" s="19" t="s">
        <v>121</v>
      </c>
      <c r="DU60" s="19" t="s">
        <v>121</v>
      </c>
      <c r="DV60" s="19" t="s">
        <v>121</v>
      </c>
      <c r="DW60" s="19" t="s">
        <v>121</v>
      </c>
      <c r="DX60" s="19" t="s">
        <v>121</v>
      </c>
      <c r="DY60" s="19" t="s">
        <v>121</v>
      </c>
      <c r="DZ60" s="19" t="s">
        <v>121</v>
      </c>
      <c r="EA60" s="19" t="s">
        <v>121</v>
      </c>
      <c r="EB60" s="19" t="s">
        <v>121</v>
      </c>
      <c r="EC60" s="19" t="s">
        <v>121</v>
      </c>
      <c r="ED60" s="19" t="s">
        <v>121</v>
      </c>
      <c r="EE60" s="19" t="s">
        <v>121</v>
      </c>
      <c r="EF60" s="19" t="s">
        <v>121</v>
      </c>
      <c r="EG60" s="19" t="s">
        <v>121</v>
      </c>
      <c r="EH60" s="19" t="s">
        <v>121</v>
      </c>
      <c r="EI60" s="19" t="s">
        <v>121</v>
      </c>
      <c r="EJ60" s="19" t="s">
        <v>121</v>
      </c>
      <c r="EK60" s="19" t="s">
        <v>121</v>
      </c>
      <c r="EL60" s="19" t="s">
        <v>121</v>
      </c>
      <c r="EM60" s="19" t="s">
        <v>121</v>
      </c>
      <c r="EN60" s="19" t="s">
        <v>121</v>
      </c>
      <c r="EO60" s="19" t="s">
        <v>121</v>
      </c>
      <c r="EP60" s="19" t="s">
        <v>121</v>
      </c>
      <c r="EQ60" s="19" t="s">
        <v>121</v>
      </c>
      <c r="ER60" s="19" t="s">
        <v>121</v>
      </c>
      <c r="ES60" s="19" t="s">
        <v>121</v>
      </c>
      <c r="ET60" s="19" t="s">
        <v>121</v>
      </c>
      <c r="EU60" s="19" t="s">
        <v>121</v>
      </c>
      <c r="EV60" s="19" t="s">
        <v>121</v>
      </c>
      <c r="EW60" s="19" t="s">
        <v>121</v>
      </c>
      <c r="EX60" s="19" t="s">
        <v>121</v>
      </c>
    </row>
    <row r="61" spans="1:154" s="19" customFormat="1" ht="15" customHeight="1" x14ac:dyDescent="0.25">
      <c r="A61" s="72">
        <v>61</v>
      </c>
      <c r="B61" s="30" t="s">
        <v>428</v>
      </c>
      <c r="C61" s="91" t="s">
        <v>121</v>
      </c>
      <c r="D61" s="86" t="s">
        <v>121</v>
      </c>
      <c r="E61" s="94" t="s">
        <v>121</v>
      </c>
      <c r="F61" s="22">
        <v>33415</v>
      </c>
      <c r="G61" s="22">
        <v>24668</v>
      </c>
      <c r="H61" s="22">
        <v>15529</v>
      </c>
      <c r="I61" s="22">
        <v>50274</v>
      </c>
      <c r="J61" s="22">
        <v>37255</v>
      </c>
      <c r="K61" s="22">
        <v>24302</v>
      </c>
      <c r="L61" s="22">
        <v>13017</v>
      </c>
      <c r="M61" s="22">
        <v>47788</v>
      </c>
      <c r="N61" s="22">
        <v>36344</v>
      </c>
      <c r="O61" s="22">
        <v>28273</v>
      </c>
      <c r="P61" s="22">
        <v>14590</v>
      </c>
      <c r="Q61" s="405"/>
      <c r="R61" s="405"/>
      <c r="S61" s="405"/>
      <c r="T61" s="405"/>
      <c r="U61" s="22">
        <v>18376</v>
      </c>
      <c r="V61" s="22">
        <v>11523</v>
      </c>
      <c r="W61" s="22">
        <v>7380</v>
      </c>
      <c r="X61" s="22">
        <v>2418</v>
      </c>
      <c r="Y61" s="22">
        <v>10911</v>
      </c>
      <c r="Z61" s="22">
        <v>6469.3649999999961</v>
      </c>
      <c r="AA61" s="22">
        <v>3615.3250000000012</v>
      </c>
      <c r="AB61" s="22">
        <v>1573.721</v>
      </c>
      <c r="AC61" s="22">
        <v>8280.5489999999991</v>
      </c>
      <c r="AD61" s="22">
        <v>5856.768</v>
      </c>
      <c r="AE61" s="22">
        <v>3752.047</v>
      </c>
      <c r="AF61" s="147">
        <v>1246.1300000000001</v>
      </c>
      <c r="AG61" s="22">
        <v>7892.8180000000002</v>
      </c>
      <c r="AH61" s="22">
        <v>5625.2280000000001</v>
      </c>
      <c r="AI61" s="22">
        <v>4107.2479999999996</v>
      </c>
      <c r="AJ61" s="22">
        <v>2300.9389999999999</v>
      </c>
      <c r="AK61" s="22">
        <v>6930.5279999999993</v>
      </c>
      <c r="AL61" s="22">
        <v>5165.4409999999989</v>
      </c>
      <c r="AM61" s="22">
        <v>3351.7499999999995</v>
      </c>
      <c r="AN61" s="22">
        <v>1368.7280000000007</v>
      </c>
      <c r="AO61" s="22">
        <v>4474.6620000000003</v>
      </c>
      <c r="AP61" s="22">
        <v>3839.0239999999981</v>
      </c>
      <c r="AQ61" s="22">
        <v>2717.2679999999991</v>
      </c>
      <c r="AR61" s="22">
        <v>1727.2410000000009</v>
      </c>
      <c r="AS61" s="22">
        <v>5648.6949999999961</v>
      </c>
      <c r="AT61" s="22">
        <v>4606.9059999999972</v>
      </c>
      <c r="AU61" s="22">
        <v>3295.0710000000022</v>
      </c>
      <c r="AV61" s="22">
        <v>1597.6319999999998</v>
      </c>
      <c r="AW61" s="22">
        <v>4568.3450000000057</v>
      </c>
      <c r="AX61" s="22">
        <v>3808.0769999999998</v>
      </c>
      <c r="AY61" s="22">
        <v>2606.8709999999996</v>
      </c>
      <c r="AZ61" s="22">
        <v>1599.3860000000006</v>
      </c>
      <c r="BA61" s="22">
        <v>5206.2510000000038</v>
      </c>
      <c r="BB61" s="22">
        <v>3535.4609999999984</v>
      </c>
      <c r="BC61" s="22">
        <v>1935.434</v>
      </c>
      <c r="BD61" s="22">
        <v>827.50999999999988</v>
      </c>
      <c r="BE61" s="22">
        <v>1113.5179999999991</v>
      </c>
      <c r="BF61" s="22">
        <v>1000.8209999999999</v>
      </c>
      <c r="BG61" s="22">
        <v>306.81899999999814</v>
      </c>
      <c r="BH61" s="22">
        <v>125.6359999999998</v>
      </c>
      <c r="BI61" s="22">
        <v>9528.880000000001</v>
      </c>
      <c r="BJ61" s="22">
        <v>5645.2749999999969</v>
      </c>
      <c r="BK61" s="22">
        <v>4498.1730000000007</v>
      </c>
      <c r="BL61" s="22">
        <v>2083.6630000000005</v>
      </c>
      <c r="BM61" s="19">
        <v>4108.66</v>
      </c>
      <c r="BN61" s="19">
        <v>2295.2289999999985</v>
      </c>
      <c r="BO61" s="19">
        <v>1121.7890000000007</v>
      </c>
      <c r="BP61" s="19">
        <v>350.27900000000022</v>
      </c>
      <c r="BQ61" s="19" t="s">
        <v>121</v>
      </c>
      <c r="BR61" s="19" t="s">
        <v>121</v>
      </c>
      <c r="BS61" s="19" t="s">
        <v>121</v>
      </c>
      <c r="BT61" s="19" t="s">
        <v>121</v>
      </c>
      <c r="BU61" s="19" t="s">
        <v>121</v>
      </c>
      <c r="BV61" s="19" t="s">
        <v>121</v>
      </c>
      <c r="BW61" s="19" t="s">
        <v>121</v>
      </c>
      <c r="BX61" s="19" t="s">
        <v>121</v>
      </c>
      <c r="BY61" s="19" t="s">
        <v>121</v>
      </c>
      <c r="BZ61" s="19" t="s">
        <v>121</v>
      </c>
      <c r="CA61" s="19" t="s">
        <v>121</v>
      </c>
      <c r="CB61" s="19" t="s">
        <v>121</v>
      </c>
      <c r="CC61" s="19" t="s">
        <v>121</v>
      </c>
      <c r="CD61" s="19" t="s">
        <v>121</v>
      </c>
      <c r="CE61" s="19" t="s">
        <v>121</v>
      </c>
      <c r="CF61" s="19" t="s">
        <v>121</v>
      </c>
      <c r="CG61" s="19" t="s">
        <v>121</v>
      </c>
      <c r="CH61" s="19" t="s">
        <v>121</v>
      </c>
      <c r="CI61" s="19" t="s">
        <v>121</v>
      </c>
      <c r="CJ61" s="19" t="s">
        <v>121</v>
      </c>
      <c r="CK61" s="19" t="s">
        <v>121</v>
      </c>
      <c r="CL61" s="19" t="s">
        <v>121</v>
      </c>
      <c r="CM61" s="19" t="s">
        <v>121</v>
      </c>
      <c r="CN61" s="19" t="s">
        <v>121</v>
      </c>
      <c r="CO61" s="19" t="s">
        <v>121</v>
      </c>
      <c r="CP61" s="19" t="s">
        <v>121</v>
      </c>
      <c r="CQ61" s="19" t="s">
        <v>121</v>
      </c>
      <c r="CR61" s="19" t="s">
        <v>121</v>
      </c>
      <c r="CS61" s="19" t="s">
        <v>121</v>
      </c>
      <c r="CT61" s="19" t="s">
        <v>121</v>
      </c>
      <c r="CU61" s="19" t="s">
        <v>121</v>
      </c>
      <c r="CV61" s="19" t="s">
        <v>121</v>
      </c>
      <c r="CW61" s="19" t="s">
        <v>121</v>
      </c>
      <c r="CX61" s="19" t="s">
        <v>121</v>
      </c>
      <c r="CY61" s="19" t="s">
        <v>121</v>
      </c>
      <c r="CZ61" s="19" t="s">
        <v>121</v>
      </c>
      <c r="DA61" s="19" t="s">
        <v>121</v>
      </c>
      <c r="DB61" s="19" t="s">
        <v>121</v>
      </c>
      <c r="DC61" s="19" t="s">
        <v>121</v>
      </c>
      <c r="DD61" s="19" t="s">
        <v>121</v>
      </c>
      <c r="DE61" s="19" t="s">
        <v>121</v>
      </c>
      <c r="DF61" s="19" t="s">
        <v>121</v>
      </c>
      <c r="DG61" s="19" t="s">
        <v>121</v>
      </c>
      <c r="DH61" s="19" t="s">
        <v>121</v>
      </c>
      <c r="DI61" s="19" t="s">
        <v>121</v>
      </c>
      <c r="DJ61" s="19" t="s">
        <v>121</v>
      </c>
      <c r="DK61" s="19" t="s">
        <v>121</v>
      </c>
      <c r="DL61" s="19" t="s">
        <v>121</v>
      </c>
      <c r="DM61" s="19" t="s">
        <v>121</v>
      </c>
      <c r="DN61" s="19" t="s">
        <v>121</v>
      </c>
      <c r="DO61" s="19" t="s">
        <v>121</v>
      </c>
      <c r="DP61" s="19" t="s">
        <v>121</v>
      </c>
      <c r="DQ61" s="19" t="s">
        <v>121</v>
      </c>
      <c r="DR61" s="19" t="s">
        <v>121</v>
      </c>
      <c r="DS61" s="19" t="s">
        <v>121</v>
      </c>
      <c r="DT61" s="19" t="s">
        <v>121</v>
      </c>
      <c r="DU61" s="19" t="s">
        <v>121</v>
      </c>
      <c r="DV61" s="19" t="s">
        <v>121</v>
      </c>
      <c r="DW61" s="19" t="s">
        <v>121</v>
      </c>
      <c r="DX61" s="19" t="s">
        <v>121</v>
      </c>
      <c r="DY61" s="19" t="s">
        <v>121</v>
      </c>
      <c r="DZ61" s="19" t="s">
        <v>121</v>
      </c>
      <c r="EA61" s="19" t="s">
        <v>121</v>
      </c>
      <c r="EB61" s="19" t="s">
        <v>121</v>
      </c>
      <c r="EC61" s="19" t="s">
        <v>121</v>
      </c>
      <c r="ED61" s="19" t="s">
        <v>121</v>
      </c>
      <c r="EE61" s="19" t="s">
        <v>121</v>
      </c>
      <c r="EF61" s="19" t="s">
        <v>121</v>
      </c>
      <c r="EG61" s="19" t="s">
        <v>121</v>
      </c>
      <c r="EH61" s="19" t="s">
        <v>121</v>
      </c>
      <c r="EI61" s="19" t="s">
        <v>121</v>
      </c>
      <c r="EJ61" s="19" t="s">
        <v>121</v>
      </c>
      <c r="EK61" s="19" t="s">
        <v>121</v>
      </c>
      <c r="EL61" s="19" t="s">
        <v>121</v>
      </c>
      <c r="EM61" s="19" t="s">
        <v>121</v>
      </c>
      <c r="EN61" s="19" t="s">
        <v>121</v>
      </c>
      <c r="EO61" s="19" t="s">
        <v>121</v>
      </c>
      <c r="EP61" s="19" t="s">
        <v>121</v>
      </c>
      <c r="EQ61" s="19" t="s">
        <v>121</v>
      </c>
      <c r="ER61" s="19" t="s">
        <v>121</v>
      </c>
      <c r="ES61" s="19" t="s">
        <v>121</v>
      </c>
      <c r="ET61" s="19" t="s">
        <v>121</v>
      </c>
      <c r="EU61" s="19" t="s">
        <v>121</v>
      </c>
      <c r="EV61" s="19" t="s">
        <v>121</v>
      </c>
      <c r="EW61" s="19" t="s">
        <v>121</v>
      </c>
      <c r="EX61" s="19" t="s">
        <v>121</v>
      </c>
    </row>
    <row r="62" spans="1:154" s="19" customFormat="1" ht="15" customHeight="1" x14ac:dyDescent="0.25">
      <c r="A62" s="72">
        <v>62</v>
      </c>
      <c r="B62" s="30" t="s">
        <v>308</v>
      </c>
      <c r="C62" s="91" t="s">
        <v>121</v>
      </c>
      <c r="D62" s="86" t="s">
        <v>121</v>
      </c>
      <c r="E62" s="94" t="s">
        <v>121</v>
      </c>
      <c r="F62" s="22" t="s">
        <v>121</v>
      </c>
      <c r="G62" s="22" t="s">
        <v>121</v>
      </c>
      <c r="H62" s="22" t="s">
        <v>121</v>
      </c>
      <c r="I62" s="22" t="s">
        <v>121</v>
      </c>
      <c r="J62" s="22" t="s">
        <v>121</v>
      </c>
      <c r="K62" s="22" t="s">
        <v>121</v>
      </c>
      <c r="L62" s="22" t="s">
        <v>121</v>
      </c>
      <c r="M62" s="22" t="s">
        <v>121</v>
      </c>
      <c r="N62" s="22" t="s">
        <v>121</v>
      </c>
      <c r="O62" s="22" t="s">
        <v>121</v>
      </c>
      <c r="P62" s="22" t="s">
        <v>121</v>
      </c>
      <c r="Q62" s="405"/>
      <c r="R62" s="405"/>
      <c r="S62" s="405"/>
      <c r="T62" s="405"/>
      <c r="U62" s="22" t="s">
        <v>121</v>
      </c>
      <c r="V62" s="22" t="s">
        <v>121</v>
      </c>
      <c r="W62" s="22" t="s">
        <v>121</v>
      </c>
      <c r="X62" s="22" t="s">
        <v>121</v>
      </c>
      <c r="Y62" s="22" t="s">
        <v>121</v>
      </c>
      <c r="Z62" s="22" t="s">
        <v>121</v>
      </c>
      <c r="AA62" s="22" t="s">
        <v>121</v>
      </c>
      <c r="AB62" s="22" t="s">
        <v>121</v>
      </c>
      <c r="AC62" s="22" t="s">
        <v>121</v>
      </c>
      <c r="AD62" s="22">
        <v>2.4249999999999998</v>
      </c>
      <c r="AE62" s="22">
        <v>-0.28100000000000003</v>
      </c>
      <c r="AF62" s="147">
        <v>0.61699999999999999</v>
      </c>
      <c r="AG62" s="22">
        <v>109.887</v>
      </c>
      <c r="AH62" s="22">
        <v>88.759</v>
      </c>
      <c r="AI62" s="65">
        <v>45.113999999999997</v>
      </c>
      <c r="AJ62" s="65">
        <v>12.996</v>
      </c>
      <c r="AK62" s="65">
        <v>61.978999999999999</v>
      </c>
      <c r="AL62" s="65">
        <v>54.718000000000004</v>
      </c>
      <c r="AM62" s="65">
        <v>28.922999999999998</v>
      </c>
      <c r="AN62" s="65" t="s">
        <v>121</v>
      </c>
      <c r="AO62" s="65" t="s">
        <v>121</v>
      </c>
      <c r="AP62" s="65" t="s">
        <v>121</v>
      </c>
      <c r="AQ62" s="65" t="s">
        <v>121</v>
      </c>
      <c r="AR62" s="65" t="s">
        <v>121</v>
      </c>
      <c r="AS62" s="65" t="s">
        <v>121</v>
      </c>
      <c r="AT62" s="65" t="s">
        <v>121</v>
      </c>
      <c r="AU62" s="65" t="s">
        <v>121</v>
      </c>
      <c r="AV62" s="65" t="s">
        <v>121</v>
      </c>
      <c r="AW62" s="65" t="s">
        <v>121</v>
      </c>
      <c r="AX62" s="20" t="s">
        <v>121</v>
      </c>
      <c r="AY62" s="20" t="s">
        <v>121</v>
      </c>
      <c r="AZ62" s="65" t="s">
        <v>121</v>
      </c>
      <c r="BA62" s="20" t="s">
        <v>121</v>
      </c>
      <c r="BB62" s="20" t="s">
        <v>121</v>
      </c>
      <c r="BC62" s="20" t="s">
        <v>121</v>
      </c>
      <c r="BD62" s="20" t="s">
        <v>121</v>
      </c>
      <c r="BE62" s="20" t="s">
        <v>121</v>
      </c>
      <c r="BF62" s="20" t="s">
        <v>121</v>
      </c>
      <c r="BG62" s="20" t="s">
        <v>121</v>
      </c>
      <c r="BH62" s="20" t="s">
        <v>121</v>
      </c>
      <c r="BI62" s="20" t="s">
        <v>121</v>
      </c>
      <c r="BJ62" s="20" t="s">
        <v>121</v>
      </c>
      <c r="BK62" s="20" t="s">
        <v>121</v>
      </c>
      <c r="BL62" s="20" t="s">
        <v>121</v>
      </c>
      <c r="BM62" s="19" t="s">
        <v>121</v>
      </c>
      <c r="BN62" s="19" t="s">
        <v>121</v>
      </c>
      <c r="BO62" s="19" t="s">
        <v>121</v>
      </c>
      <c r="BP62" s="19" t="s">
        <v>121</v>
      </c>
      <c r="BQ62" s="19" t="s">
        <v>121</v>
      </c>
      <c r="BR62" s="19" t="s">
        <v>121</v>
      </c>
      <c r="BS62" s="19" t="s">
        <v>121</v>
      </c>
      <c r="BT62" s="19" t="s">
        <v>121</v>
      </c>
      <c r="BU62" s="19" t="s">
        <v>121</v>
      </c>
      <c r="BV62" s="19" t="s">
        <v>121</v>
      </c>
      <c r="BW62" s="19" t="s">
        <v>121</v>
      </c>
      <c r="BX62" s="19" t="s">
        <v>121</v>
      </c>
      <c r="BY62" s="19" t="s">
        <v>121</v>
      </c>
      <c r="BZ62" s="19" t="s">
        <v>121</v>
      </c>
      <c r="CA62" s="19" t="s">
        <v>121</v>
      </c>
      <c r="CB62" s="19" t="s">
        <v>121</v>
      </c>
      <c r="CC62" s="19" t="s">
        <v>121</v>
      </c>
      <c r="CD62" s="19" t="s">
        <v>121</v>
      </c>
      <c r="CE62" s="19" t="s">
        <v>121</v>
      </c>
      <c r="CF62" s="19" t="s">
        <v>121</v>
      </c>
      <c r="CG62" s="19" t="s">
        <v>121</v>
      </c>
      <c r="CH62" s="19" t="s">
        <v>121</v>
      </c>
      <c r="CI62" s="19" t="s">
        <v>121</v>
      </c>
      <c r="CJ62" s="19" t="s">
        <v>121</v>
      </c>
      <c r="CK62" s="19" t="s">
        <v>121</v>
      </c>
      <c r="CL62" s="19" t="s">
        <v>121</v>
      </c>
      <c r="CM62" s="19" t="s">
        <v>121</v>
      </c>
      <c r="CN62" s="19" t="s">
        <v>121</v>
      </c>
      <c r="CO62" s="19" t="s">
        <v>121</v>
      </c>
      <c r="CP62" s="19" t="s">
        <v>121</v>
      </c>
      <c r="CQ62" s="19" t="s">
        <v>121</v>
      </c>
      <c r="CR62" s="19" t="s">
        <v>121</v>
      </c>
      <c r="CS62" s="19" t="s">
        <v>121</v>
      </c>
      <c r="CT62" s="19" t="s">
        <v>121</v>
      </c>
      <c r="CU62" s="19" t="s">
        <v>121</v>
      </c>
      <c r="CV62" s="19" t="s">
        <v>121</v>
      </c>
      <c r="CW62" s="19" t="s">
        <v>121</v>
      </c>
      <c r="CX62" s="19" t="s">
        <v>121</v>
      </c>
      <c r="CY62" s="19" t="s">
        <v>121</v>
      </c>
      <c r="CZ62" s="19" t="s">
        <v>121</v>
      </c>
      <c r="DA62" s="19" t="s">
        <v>121</v>
      </c>
      <c r="DB62" s="19" t="s">
        <v>121</v>
      </c>
      <c r="DC62" s="19" t="s">
        <v>121</v>
      </c>
      <c r="DD62" s="19" t="s">
        <v>121</v>
      </c>
      <c r="DE62" s="19" t="s">
        <v>121</v>
      </c>
      <c r="DF62" s="19" t="s">
        <v>121</v>
      </c>
      <c r="DG62" s="19" t="s">
        <v>121</v>
      </c>
      <c r="DH62" s="19" t="s">
        <v>121</v>
      </c>
      <c r="DI62" s="19" t="s">
        <v>121</v>
      </c>
      <c r="DJ62" s="19" t="s">
        <v>121</v>
      </c>
      <c r="DK62" s="19" t="s">
        <v>121</v>
      </c>
      <c r="DL62" s="19" t="s">
        <v>121</v>
      </c>
      <c r="DM62" s="19" t="s">
        <v>121</v>
      </c>
      <c r="DN62" s="19" t="s">
        <v>121</v>
      </c>
      <c r="DO62" s="19" t="s">
        <v>121</v>
      </c>
      <c r="DP62" s="19" t="s">
        <v>121</v>
      </c>
      <c r="DQ62" s="19" t="s">
        <v>121</v>
      </c>
      <c r="DR62" s="19" t="s">
        <v>121</v>
      </c>
      <c r="DS62" s="19" t="s">
        <v>121</v>
      </c>
      <c r="DT62" s="19" t="s">
        <v>121</v>
      </c>
      <c r="DU62" s="19" t="s">
        <v>121</v>
      </c>
      <c r="DV62" s="19" t="s">
        <v>121</v>
      </c>
      <c r="DW62" s="19" t="s">
        <v>121</v>
      </c>
      <c r="DX62" s="19" t="s">
        <v>121</v>
      </c>
      <c r="DY62" s="19" t="s">
        <v>121</v>
      </c>
      <c r="DZ62" s="19" t="s">
        <v>121</v>
      </c>
      <c r="EA62" s="19" t="s">
        <v>121</v>
      </c>
      <c r="EB62" s="19" t="s">
        <v>121</v>
      </c>
      <c r="EC62" s="19" t="s">
        <v>121</v>
      </c>
      <c r="ED62" s="19" t="s">
        <v>121</v>
      </c>
      <c r="EE62" s="19" t="s">
        <v>121</v>
      </c>
      <c r="EF62" s="19" t="s">
        <v>121</v>
      </c>
      <c r="EG62" s="19" t="s">
        <v>121</v>
      </c>
      <c r="EH62" s="19" t="s">
        <v>121</v>
      </c>
      <c r="EI62" s="19" t="s">
        <v>121</v>
      </c>
      <c r="EJ62" s="19" t="s">
        <v>121</v>
      </c>
      <c r="EK62" s="19" t="s">
        <v>121</v>
      </c>
      <c r="EL62" s="19" t="s">
        <v>121</v>
      </c>
      <c r="EM62" s="19" t="s">
        <v>121</v>
      </c>
      <c r="EN62" s="19" t="s">
        <v>121</v>
      </c>
      <c r="EO62" s="19" t="s">
        <v>121</v>
      </c>
      <c r="EP62" s="19" t="s">
        <v>121</v>
      </c>
      <c r="EQ62" s="19" t="s">
        <v>121</v>
      </c>
      <c r="ER62" s="19" t="s">
        <v>121</v>
      </c>
      <c r="ES62" s="19" t="s">
        <v>121</v>
      </c>
      <c r="ET62" s="19" t="s">
        <v>121</v>
      </c>
      <c r="EU62" s="19" t="s">
        <v>121</v>
      </c>
      <c r="EV62" s="19" t="s">
        <v>121</v>
      </c>
      <c r="EW62" s="19" t="s">
        <v>121</v>
      </c>
      <c r="EX62" s="19" t="s">
        <v>121</v>
      </c>
    </row>
    <row r="63" spans="1:154" s="19" customFormat="1" ht="27" customHeight="1" x14ac:dyDescent="0.25">
      <c r="A63" s="72">
        <v>63</v>
      </c>
      <c r="B63" s="54" t="s">
        <v>431</v>
      </c>
      <c r="C63" s="91" t="s">
        <v>121</v>
      </c>
      <c r="D63" s="86" t="s">
        <v>121</v>
      </c>
      <c r="E63" s="94" t="s">
        <v>121</v>
      </c>
      <c r="F63" s="65">
        <v>33415</v>
      </c>
      <c r="G63" s="65">
        <v>24668</v>
      </c>
      <c r="H63" s="65">
        <v>15529</v>
      </c>
      <c r="I63" s="65">
        <v>50274</v>
      </c>
      <c r="J63" s="65">
        <v>37255</v>
      </c>
      <c r="K63" s="65">
        <v>24302</v>
      </c>
      <c r="L63" s="65">
        <v>13017</v>
      </c>
      <c r="M63" s="65">
        <v>47788</v>
      </c>
      <c r="N63" s="65">
        <v>36344</v>
      </c>
      <c r="O63" s="65">
        <v>28273</v>
      </c>
      <c r="P63" s="65">
        <v>14590</v>
      </c>
      <c r="Q63" s="405"/>
      <c r="R63" s="405"/>
      <c r="S63" s="405"/>
      <c r="T63" s="405"/>
      <c r="U63" s="65">
        <v>18376</v>
      </c>
      <c r="V63" s="65">
        <v>11523</v>
      </c>
      <c r="W63" s="65">
        <v>7380</v>
      </c>
      <c r="X63" s="65">
        <v>2418</v>
      </c>
      <c r="Y63" s="65">
        <v>10911</v>
      </c>
      <c r="Z63" s="65">
        <v>6469.3649999999961</v>
      </c>
      <c r="AA63" s="65">
        <v>3615.3250000000012</v>
      </c>
      <c r="AB63" s="65">
        <v>1573.7209999999995</v>
      </c>
      <c r="AC63" s="65">
        <v>8280.5490000000027</v>
      </c>
      <c r="AD63" s="65">
        <v>5859.1920000000018</v>
      </c>
      <c r="AE63" s="65">
        <v>3751.7659999999992</v>
      </c>
      <c r="AF63" s="167">
        <v>1246.7470000000005</v>
      </c>
      <c r="AG63" s="65">
        <v>8002.7049999999999</v>
      </c>
      <c r="AH63" s="65">
        <v>5713.9869999999928</v>
      </c>
      <c r="AI63" s="65">
        <v>4152.3619999999983</v>
      </c>
      <c r="AJ63" s="65">
        <v>2313.9649999999988</v>
      </c>
      <c r="AK63" s="65">
        <v>6796.4929999999949</v>
      </c>
      <c r="AL63" s="65">
        <v>5024.1449999999995</v>
      </c>
      <c r="AM63" s="65">
        <v>3184.6589999999997</v>
      </c>
      <c r="AN63" s="65">
        <v>1368.7280000000007</v>
      </c>
      <c r="AO63" s="65">
        <v>4474.6620000000003</v>
      </c>
      <c r="AP63" s="65">
        <v>3839.0239999999981</v>
      </c>
      <c r="AQ63" s="65">
        <v>2717.2679999999991</v>
      </c>
      <c r="AR63" s="65">
        <v>1727.2410000000009</v>
      </c>
      <c r="AS63" s="65">
        <v>5648.6949999999961</v>
      </c>
      <c r="AT63" s="65">
        <v>4606.9059999999972</v>
      </c>
      <c r="AU63" s="65">
        <v>3295.0710000000022</v>
      </c>
      <c r="AV63" s="65">
        <v>1597.6319999999998</v>
      </c>
      <c r="AW63" s="65">
        <v>4568.3450000000057</v>
      </c>
      <c r="AX63" s="65">
        <v>3808.0769999999998</v>
      </c>
      <c r="AY63" s="65">
        <v>2606.8709999999996</v>
      </c>
      <c r="AZ63" s="65">
        <v>1599.3860000000006</v>
      </c>
      <c r="BA63" s="65">
        <v>5206.2510000000038</v>
      </c>
      <c r="BB63" s="65">
        <v>3535.4609999999984</v>
      </c>
      <c r="BC63" s="65">
        <v>1935.434</v>
      </c>
      <c r="BD63" s="65">
        <v>827.50999999999988</v>
      </c>
      <c r="BE63" s="65">
        <v>1113.5179999999991</v>
      </c>
      <c r="BF63" s="65">
        <v>1000.8209999999999</v>
      </c>
      <c r="BG63" s="65">
        <v>306.81899999999814</v>
      </c>
      <c r="BH63" s="65">
        <v>125.6359999999998</v>
      </c>
      <c r="BI63" s="65">
        <v>9528.880000000001</v>
      </c>
      <c r="BJ63" s="65">
        <v>5645.2749999999969</v>
      </c>
      <c r="BK63" s="65">
        <v>4498.1730000000007</v>
      </c>
      <c r="BL63" s="65">
        <v>2083.6630000000005</v>
      </c>
      <c r="BM63" s="19">
        <v>4108.66</v>
      </c>
      <c r="BN63" s="19">
        <v>2295.2289999999985</v>
      </c>
      <c r="BO63" s="19">
        <v>1121.7890000000007</v>
      </c>
      <c r="BP63" s="19">
        <v>350.27900000000022</v>
      </c>
      <c r="BQ63" s="19" t="s">
        <v>121</v>
      </c>
      <c r="BR63" s="19" t="s">
        <v>121</v>
      </c>
      <c r="BS63" s="19" t="s">
        <v>121</v>
      </c>
      <c r="BT63" s="19" t="s">
        <v>121</v>
      </c>
      <c r="BU63" s="19" t="s">
        <v>121</v>
      </c>
      <c r="BV63" s="19" t="s">
        <v>121</v>
      </c>
      <c r="BW63" s="19" t="s">
        <v>121</v>
      </c>
      <c r="BX63" s="19" t="s">
        <v>121</v>
      </c>
      <c r="BY63" s="19" t="s">
        <v>121</v>
      </c>
      <c r="BZ63" s="19" t="s">
        <v>121</v>
      </c>
      <c r="CA63" s="19" t="s">
        <v>121</v>
      </c>
      <c r="CB63" s="19" t="s">
        <v>121</v>
      </c>
      <c r="CC63" s="19" t="s">
        <v>121</v>
      </c>
      <c r="CD63" s="19" t="s">
        <v>121</v>
      </c>
      <c r="CE63" s="19" t="s">
        <v>121</v>
      </c>
      <c r="CF63" s="19" t="s">
        <v>121</v>
      </c>
      <c r="CG63" s="19" t="s">
        <v>121</v>
      </c>
      <c r="CH63" s="19" t="s">
        <v>121</v>
      </c>
      <c r="CI63" s="19" t="s">
        <v>121</v>
      </c>
      <c r="CJ63" s="19" t="s">
        <v>121</v>
      </c>
      <c r="CK63" s="19" t="s">
        <v>121</v>
      </c>
      <c r="CL63" s="19" t="s">
        <v>121</v>
      </c>
      <c r="CM63" s="19" t="s">
        <v>121</v>
      </c>
      <c r="CN63" s="19" t="s">
        <v>121</v>
      </c>
      <c r="CO63" s="19" t="s">
        <v>121</v>
      </c>
      <c r="CP63" s="19" t="s">
        <v>121</v>
      </c>
      <c r="CQ63" s="19" t="s">
        <v>121</v>
      </c>
      <c r="CR63" s="19" t="s">
        <v>121</v>
      </c>
      <c r="CS63" s="19" t="s">
        <v>121</v>
      </c>
      <c r="CT63" s="19" t="s">
        <v>121</v>
      </c>
      <c r="CU63" s="19" t="s">
        <v>121</v>
      </c>
      <c r="CV63" s="19" t="s">
        <v>121</v>
      </c>
      <c r="CW63" s="19" t="s">
        <v>121</v>
      </c>
      <c r="CX63" s="19" t="s">
        <v>121</v>
      </c>
      <c r="CY63" s="19" t="s">
        <v>121</v>
      </c>
      <c r="CZ63" s="19" t="s">
        <v>121</v>
      </c>
      <c r="DA63" s="19" t="s">
        <v>121</v>
      </c>
      <c r="DB63" s="19" t="s">
        <v>121</v>
      </c>
      <c r="DC63" s="19" t="s">
        <v>121</v>
      </c>
      <c r="DD63" s="19" t="s">
        <v>121</v>
      </c>
      <c r="DE63" s="19" t="s">
        <v>121</v>
      </c>
      <c r="DF63" s="19" t="s">
        <v>121</v>
      </c>
      <c r="DG63" s="19" t="s">
        <v>121</v>
      </c>
      <c r="DH63" s="19" t="s">
        <v>121</v>
      </c>
      <c r="DI63" s="19" t="s">
        <v>121</v>
      </c>
      <c r="DJ63" s="19" t="s">
        <v>121</v>
      </c>
      <c r="DK63" s="19" t="s">
        <v>121</v>
      </c>
      <c r="DL63" s="19" t="s">
        <v>121</v>
      </c>
      <c r="DM63" s="19" t="s">
        <v>121</v>
      </c>
      <c r="DN63" s="19" t="s">
        <v>121</v>
      </c>
      <c r="DO63" s="19" t="s">
        <v>121</v>
      </c>
      <c r="DP63" s="19" t="s">
        <v>121</v>
      </c>
      <c r="DQ63" s="19" t="s">
        <v>121</v>
      </c>
      <c r="DR63" s="19" t="s">
        <v>121</v>
      </c>
      <c r="DS63" s="19" t="s">
        <v>121</v>
      </c>
      <c r="DT63" s="19" t="s">
        <v>121</v>
      </c>
      <c r="DU63" s="19" t="s">
        <v>121</v>
      </c>
      <c r="DV63" s="19" t="s">
        <v>121</v>
      </c>
      <c r="DW63" s="19" t="s">
        <v>121</v>
      </c>
      <c r="DX63" s="19" t="s">
        <v>121</v>
      </c>
      <c r="DY63" s="19" t="s">
        <v>121</v>
      </c>
      <c r="DZ63" s="19" t="s">
        <v>121</v>
      </c>
      <c r="EA63" s="19" t="s">
        <v>121</v>
      </c>
      <c r="EB63" s="19" t="s">
        <v>121</v>
      </c>
      <c r="EC63" s="19" t="s">
        <v>121</v>
      </c>
      <c r="ED63" s="19" t="s">
        <v>121</v>
      </c>
      <c r="EE63" s="19" t="s">
        <v>121</v>
      </c>
      <c r="EF63" s="19" t="s">
        <v>121</v>
      </c>
      <c r="EG63" s="19" t="s">
        <v>121</v>
      </c>
      <c r="EH63" s="19" t="s">
        <v>121</v>
      </c>
      <c r="EI63" s="19" t="s">
        <v>121</v>
      </c>
      <c r="EJ63" s="19" t="s">
        <v>121</v>
      </c>
      <c r="EK63" s="19" t="s">
        <v>121</v>
      </c>
      <c r="EL63" s="19" t="s">
        <v>121</v>
      </c>
      <c r="EM63" s="19" t="s">
        <v>121</v>
      </c>
      <c r="EN63" s="19" t="s">
        <v>121</v>
      </c>
      <c r="EO63" s="19" t="s">
        <v>121</v>
      </c>
      <c r="EP63" s="19" t="s">
        <v>121</v>
      </c>
      <c r="EQ63" s="19" t="s">
        <v>121</v>
      </c>
      <c r="ER63" s="19" t="s">
        <v>121</v>
      </c>
      <c r="ES63" s="19" t="s">
        <v>121</v>
      </c>
      <c r="ET63" s="19" t="s">
        <v>121</v>
      </c>
      <c r="EU63" s="19" t="s">
        <v>121</v>
      </c>
      <c r="EV63" s="19" t="s">
        <v>121</v>
      </c>
      <c r="EW63" s="19" t="s">
        <v>121</v>
      </c>
      <c r="EX63" s="19" t="s">
        <v>121</v>
      </c>
    </row>
    <row r="64" spans="1:154" ht="15" customHeight="1" x14ac:dyDescent="0.25">
      <c r="A64" s="72">
        <v>64</v>
      </c>
      <c r="AF64" s="149"/>
      <c r="AG64" s="25"/>
      <c r="AH64" s="25"/>
    </row>
    <row r="65" spans="1:168" ht="15" customHeight="1" x14ac:dyDescent="0.25">
      <c r="A65" s="72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</row>
    <row r="66" spans="1:168" ht="15" customHeight="1" x14ac:dyDescent="0.25">
      <c r="A66" s="72">
        <v>66</v>
      </c>
      <c r="AF66" s="149"/>
      <c r="AG66" s="25"/>
      <c r="AH66" s="25"/>
    </row>
    <row r="67" spans="1:168" ht="15.75" customHeight="1" x14ac:dyDescent="0.25">
      <c r="A67" s="72">
        <v>67</v>
      </c>
      <c r="B67" s="426" t="s">
        <v>432</v>
      </c>
      <c r="C67" s="462" t="s">
        <v>433</v>
      </c>
      <c r="D67" s="276" t="s">
        <v>121</v>
      </c>
      <c r="E67" s="462" t="s">
        <v>434</v>
      </c>
      <c r="F67" s="416" t="s">
        <v>197</v>
      </c>
      <c r="G67" s="416" t="s">
        <v>198</v>
      </c>
      <c r="H67" s="416" t="s">
        <v>131</v>
      </c>
      <c r="I67" s="416" t="s">
        <v>199</v>
      </c>
      <c r="J67" s="416" t="s">
        <v>200</v>
      </c>
      <c r="K67" s="416" t="s">
        <v>201</v>
      </c>
      <c r="L67" s="416" t="s">
        <v>135</v>
      </c>
      <c r="M67" s="416" t="s">
        <v>202</v>
      </c>
      <c r="N67" s="416" t="s">
        <v>203</v>
      </c>
      <c r="O67" s="416" t="s">
        <v>204</v>
      </c>
      <c r="P67" s="416" t="s">
        <v>139</v>
      </c>
      <c r="Q67" s="416" t="s">
        <v>205</v>
      </c>
      <c r="R67" s="416" t="s">
        <v>206</v>
      </c>
      <c r="S67" s="416" t="s">
        <v>435</v>
      </c>
      <c r="T67" s="416" t="s">
        <v>143</v>
      </c>
      <c r="U67" s="416" t="s">
        <v>208</v>
      </c>
      <c r="V67" s="416" t="s">
        <v>209</v>
      </c>
      <c r="W67" s="416" t="s">
        <v>207</v>
      </c>
      <c r="X67" s="419" t="s">
        <v>147</v>
      </c>
      <c r="Y67" s="416" t="s">
        <v>210</v>
      </c>
      <c r="Z67" s="416" t="s">
        <v>211</v>
      </c>
      <c r="AA67" s="416" t="s">
        <v>212</v>
      </c>
      <c r="AB67" s="419" t="s">
        <v>151</v>
      </c>
      <c r="AC67" s="419" t="s">
        <v>213</v>
      </c>
      <c r="AD67" s="416" t="s">
        <v>214</v>
      </c>
      <c r="AE67" s="416" t="s">
        <v>215</v>
      </c>
      <c r="AF67" s="421" t="s">
        <v>155</v>
      </c>
      <c r="AG67" s="419" t="s">
        <v>216</v>
      </c>
      <c r="AH67" s="419" t="s">
        <v>217</v>
      </c>
      <c r="AI67" s="416" t="s">
        <v>218</v>
      </c>
      <c r="AJ67" s="421" t="s">
        <v>159</v>
      </c>
      <c r="AK67" s="421" t="s">
        <v>219</v>
      </c>
      <c r="AL67" s="421" t="s">
        <v>220</v>
      </c>
      <c r="AM67" s="421" t="s">
        <v>221</v>
      </c>
      <c r="AN67" s="416" t="s">
        <v>163</v>
      </c>
      <c r="AO67" s="416" t="s">
        <v>222</v>
      </c>
      <c r="AP67" s="416" t="s">
        <v>223</v>
      </c>
      <c r="AQ67" s="416" t="s">
        <v>224</v>
      </c>
      <c r="AR67" s="416" t="s">
        <v>167</v>
      </c>
      <c r="AS67" s="416" t="s">
        <v>225</v>
      </c>
      <c r="AT67" s="416" t="s">
        <v>226</v>
      </c>
      <c r="AU67" s="416" t="s">
        <v>227</v>
      </c>
      <c r="AV67" s="416" t="s">
        <v>171</v>
      </c>
      <c r="AW67" s="416" t="s">
        <v>228</v>
      </c>
      <c r="AX67" s="416" t="s">
        <v>229</v>
      </c>
      <c r="AY67" s="416" t="s">
        <v>230</v>
      </c>
      <c r="AZ67" s="416" t="s">
        <v>175</v>
      </c>
      <c r="BA67" s="416" t="s">
        <v>231</v>
      </c>
      <c r="BB67" s="416" t="s">
        <v>232</v>
      </c>
      <c r="BC67" s="416" t="s">
        <v>233</v>
      </c>
      <c r="BD67" s="416" t="s">
        <v>179</v>
      </c>
      <c r="BE67" s="416" t="s">
        <v>234</v>
      </c>
      <c r="BF67" s="416" t="s">
        <v>235</v>
      </c>
      <c r="BG67" s="416" t="s">
        <v>236</v>
      </c>
      <c r="BH67" s="416" t="s">
        <v>183</v>
      </c>
      <c r="BI67" s="416" t="s">
        <v>237</v>
      </c>
      <c r="BJ67" s="416" t="s">
        <v>238</v>
      </c>
      <c r="BK67" s="416" t="s">
        <v>239</v>
      </c>
      <c r="BL67" s="416" t="s">
        <v>187</v>
      </c>
      <c r="BM67" s="1" t="s">
        <v>240</v>
      </c>
      <c r="BN67" s="1" t="s">
        <v>241</v>
      </c>
      <c r="BO67" s="1" t="s">
        <v>242</v>
      </c>
      <c r="BP67" s="1" t="s">
        <v>191</v>
      </c>
      <c r="BQ67" s="1" t="s">
        <v>121</v>
      </c>
      <c r="BR67" s="1" t="s">
        <v>121</v>
      </c>
      <c r="BS67" s="1" t="s">
        <v>121</v>
      </c>
      <c r="BT67" s="1" t="s">
        <v>121</v>
      </c>
      <c r="BU67" s="1" t="s">
        <v>121</v>
      </c>
      <c r="BV67" s="1" t="s">
        <v>121</v>
      </c>
      <c r="BW67" s="1" t="s">
        <v>121</v>
      </c>
      <c r="BX67" s="1" t="s">
        <v>121</v>
      </c>
      <c r="BY67" s="1" t="s">
        <v>121</v>
      </c>
      <c r="BZ67" s="1" t="s">
        <v>121</v>
      </c>
      <c r="CA67" s="1" t="s">
        <v>121</v>
      </c>
      <c r="CB67" s="1" t="s">
        <v>121</v>
      </c>
      <c r="CC67" s="1" t="s">
        <v>121</v>
      </c>
      <c r="CD67" s="1" t="s">
        <v>121</v>
      </c>
      <c r="CE67" s="1" t="s">
        <v>121</v>
      </c>
      <c r="CF67" s="1" t="s">
        <v>121</v>
      </c>
      <c r="CG67" s="1" t="s">
        <v>121</v>
      </c>
      <c r="CH67" s="1" t="s">
        <v>121</v>
      </c>
      <c r="CI67" s="1" t="s">
        <v>121</v>
      </c>
      <c r="CJ67" s="1" t="s">
        <v>121</v>
      </c>
      <c r="CK67" s="1" t="s">
        <v>121</v>
      </c>
      <c r="CL67" s="1" t="s">
        <v>121</v>
      </c>
      <c r="CM67" s="1" t="s">
        <v>121</v>
      </c>
      <c r="CN67" s="1" t="s">
        <v>121</v>
      </c>
      <c r="CO67" s="1" t="s">
        <v>121</v>
      </c>
      <c r="CP67" s="1" t="s">
        <v>121</v>
      </c>
      <c r="CQ67" s="1" t="s">
        <v>121</v>
      </c>
      <c r="CR67" s="1" t="s">
        <v>121</v>
      </c>
      <c r="CS67" s="1" t="s">
        <v>121</v>
      </c>
      <c r="CT67" s="1" t="s">
        <v>121</v>
      </c>
      <c r="CU67" s="1" t="s">
        <v>121</v>
      </c>
      <c r="CV67" s="1" t="s">
        <v>121</v>
      </c>
      <c r="CW67" s="1" t="s">
        <v>121</v>
      </c>
      <c r="CX67" s="1" t="s">
        <v>121</v>
      </c>
      <c r="CY67" s="1" t="s">
        <v>121</v>
      </c>
      <c r="CZ67" s="1" t="s">
        <v>121</v>
      </c>
      <c r="DA67" s="1" t="s">
        <v>121</v>
      </c>
      <c r="DB67" s="1" t="s">
        <v>121</v>
      </c>
      <c r="DC67" s="1" t="s">
        <v>121</v>
      </c>
      <c r="DD67" s="1" t="s">
        <v>121</v>
      </c>
      <c r="DE67" s="1" t="s">
        <v>121</v>
      </c>
      <c r="DF67" s="1" t="s">
        <v>121</v>
      </c>
      <c r="DG67" s="1" t="s">
        <v>121</v>
      </c>
      <c r="DH67" s="1" t="s">
        <v>121</v>
      </c>
      <c r="DI67" s="1" t="s">
        <v>121</v>
      </c>
      <c r="DJ67" s="1" t="s">
        <v>121</v>
      </c>
      <c r="DK67" s="1" t="s">
        <v>121</v>
      </c>
      <c r="DL67" s="1" t="s">
        <v>121</v>
      </c>
      <c r="DM67" s="1" t="s">
        <v>121</v>
      </c>
      <c r="DN67" s="1" t="s">
        <v>121</v>
      </c>
      <c r="DO67" s="1" t="s">
        <v>121</v>
      </c>
      <c r="DP67" s="1" t="s">
        <v>121</v>
      </c>
      <c r="DQ67" s="1" t="s">
        <v>121</v>
      </c>
      <c r="DR67" s="1" t="s">
        <v>121</v>
      </c>
      <c r="DS67" s="1" t="s">
        <v>121</v>
      </c>
      <c r="DT67" s="1" t="s">
        <v>121</v>
      </c>
      <c r="DU67" s="1" t="s">
        <v>121</v>
      </c>
      <c r="DV67" s="1" t="s">
        <v>121</v>
      </c>
      <c r="DW67" s="1" t="s">
        <v>121</v>
      </c>
      <c r="DX67" s="1" t="s">
        <v>121</v>
      </c>
      <c r="DY67" s="1" t="s">
        <v>121</v>
      </c>
      <c r="DZ67" s="1" t="s">
        <v>121</v>
      </c>
      <c r="EA67" s="1" t="s">
        <v>121</v>
      </c>
      <c r="EB67" s="1" t="s">
        <v>121</v>
      </c>
      <c r="EC67" s="1" t="s">
        <v>121</v>
      </c>
      <c r="ED67" s="1" t="s">
        <v>121</v>
      </c>
      <c r="EE67" s="1" t="s">
        <v>121</v>
      </c>
      <c r="EF67" s="1" t="s">
        <v>121</v>
      </c>
      <c r="EG67" s="1" t="s">
        <v>121</v>
      </c>
      <c r="EH67" s="1" t="s">
        <v>121</v>
      </c>
      <c r="EI67" s="1" t="s">
        <v>121</v>
      </c>
      <c r="EJ67" s="1" t="s">
        <v>121</v>
      </c>
      <c r="EK67" s="1" t="s">
        <v>121</v>
      </c>
      <c r="EL67" s="1" t="s">
        <v>121</v>
      </c>
      <c r="EM67" s="1" t="s">
        <v>121</v>
      </c>
      <c r="EN67" s="1" t="s">
        <v>121</v>
      </c>
      <c r="EO67" s="1" t="s">
        <v>121</v>
      </c>
      <c r="EP67" s="1" t="s">
        <v>121</v>
      </c>
      <c r="EQ67" s="1" t="s">
        <v>121</v>
      </c>
      <c r="ER67" s="1" t="s">
        <v>121</v>
      </c>
      <c r="ES67" s="1" t="s">
        <v>121</v>
      </c>
      <c r="ET67" s="1" t="s">
        <v>121</v>
      </c>
      <c r="EU67" s="1" t="s">
        <v>121</v>
      </c>
      <c r="EV67" s="1" t="s">
        <v>121</v>
      </c>
      <c r="EW67" s="1" t="s">
        <v>121</v>
      </c>
      <c r="EX67" s="1" t="s">
        <v>121</v>
      </c>
    </row>
    <row r="68" spans="1:168" ht="15" customHeight="1" x14ac:dyDescent="0.25">
      <c r="A68" s="72">
        <v>68</v>
      </c>
      <c r="B68" s="427"/>
      <c r="C68" s="463"/>
      <c r="D68" s="277"/>
      <c r="E68" s="463"/>
      <c r="F68" s="417"/>
      <c r="G68" s="417"/>
      <c r="H68" s="418"/>
      <c r="I68" s="417"/>
      <c r="J68" s="417"/>
      <c r="K68" s="417"/>
      <c r="L68" s="418"/>
      <c r="M68" s="417"/>
      <c r="N68" s="417"/>
      <c r="O68" s="417"/>
      <c r="P68" s="418"/>
      <c r="Q68" s="418"/>
      <c r="R68" s="418"/>
      <c r="S68" s="418"/>
      <c r="T68" s="418"/>
      <c r="U68" s="418"/>
      <c r="V68" s="418"/>
      <c r="W68" s="417"/>
      <c r="X68" s="420"/>
      <c r="Y68" s="418"/>
      <c r="Z68" s="418"/>
      <c r="AA68" s="417"/>
      <c r="AB68" s="420"/>
      <c r="AC68" s="420"/>
      <c r="AD68" s="417"/>
      <c r="AE68" s="417"/>
      <c r="AF68" s="422"/>
      <c r="AG68" s="420"/>
      <c r="AH68" s="420"/>
      <c r="AI68" s="417"/>
      <c r="AJ68" s="422"/>
      <c r="AK68" s="422"/>
      <c r="AL68" s="422"/>
      <c r="AM68" s="422"/>
      <c r="AN68" s="417"/>
      <c r="AO68" s="417"/>
      <c r="AP68" s="417"/>
      <c r="AQ68" s="417"/>
      <c r="AR68" s="417"/>
      <c r="AS68" s="417"/>
      <c r="AT68" s="417"/>
      <c r="AU68" s="417"/>
      <c r="AV68" s="417"/>
      <c r="AW68" s="417"/>
      <c r="AX68" s="417"/>
      <c r="AY68" s="417"/>
      <c r="AZ68" s="417"/>
      <c r="BA68" s="417"/>
      <c r="BB68" s="417"/>
      <c r="BC68" s="417"/>
      <c r="BD68" s="417"/>
      <c r="BE68" s="417"/>
      <c r="BF68" s="417"/>
      <c r="BG68" s="417"/>
      <c r="BH68" s="417"/>
      <c r="BI68" s="417"/>
      <c r="BJ68" s="417"/>
      <c r="BK68" s="417"/>
      <c r="BL68" s="417"/>
    </row>
    <row r="69" spans="1:168" ht="9.75" customHeight="1" x14ac:dyDescent="0.25">
      <c r="A69" s="72">
        <v>69</v>
      </c>
      <c r="B69" s="8" t="s">
        <v>4</v>
      </c>
      <c r="C69" s="87" t="s">
        <v>121</v>
      </c>
      <c r="D69" s="56" t="s">
        <v>121</v>
      </c>
      <c r="E69" s="88" t="s">
        <v>121</v>
      </c>
      <c r="F69" s="56" t="s">
        <v>121</v>
      </c>
      <c r="G69" s="56" t="s">
        <v>121</v>
      </c>
      <c r="H69" s="56" t="s">
        <v>121</v>
      </c>
      <c r="I69" s="56" t="s">
        <v>121</v>
      </c>
      <c r="J69" s="56" t="s">
        <v>121</v>
      </c>
      <c r="K69" s="56" t="s">
        <v>121</v>
      </c>
      <c r="L69" s="56" t="s">
        <v>121</v>
      </c>
      <c r="M69" s="56" t="s">
        <v>121</v>
      </c>
      <c r="N69" s="56" t="s">
        <v>121</v>
      </c>
      <c r="O69" s="56" t="s">
        <v>121</v>
      </c>
      <c r="P69" s="56" t="s">
        <v>121</v>
      </c>
      <c r="Q69" s="56" t="s">
        <v>121</v>
      </c>
      <c r="R69" s="56" t="s">
        <v>121</v>
      </c>
      <c r="S69" s="56" t="s">
        <v>121</v>
      </c>
      <c r="T69" s="56" t="s">
        <v>121</v>
      </c>
      <c r="U69" s="56" t="s">
        <v>121</v>
      </c>
      <c r="V69" s="56" t="s">
        <v>121</v>
      </c>
      <c r="W69" s="56" t="s">
        <v>121</v>
      </c>
      <c r="X69" s="56" t="s">
        <v>121</v>
      </c>
      <c r="Y69" s="56" t="s">
        <v>121</v>
      </c>
      <c r="Z69" s="56" t="s">
        <v>121</v>
      </c>
      <c r="AA69" s="56" t="s">
        <v>121</v>
      </c>
      <c r="AB69" s="56" t="s">
        <v>121</v>
      </c>
      <c r="AC69" s="56" t="s">
        <v>121</v>
      </c>
      <c r="AD69" s="56" t="s">
        <v>121</v>
      </c>
      <c r="AE69" s="56" t="s">
        <v>121</v>
      </c>
      <c r="AF69" s="56" t="s">
        <v>121</v>
      </c>
      <c r="AG69" s="56" t="s">
        <v>121</v>
      </c>
      <c r="AH69" s="56" t="s">
        <v>121</v>
      </c>
      <c r="AI69" s="56" t="s">
        <v>121</v>
      </c>
      <c r="AJ69" s="56" t="s">
        <v>121</v>
      </c>
      <c r="AK69" s="56" t="s">
        <v>121</v>
      </c>
      <c r="AL69" s="56" t="s">
        <v>121</v>
      </c>
      <c r="AM69" s="56" t="s">
        <v>121</v>
      </c>
      <c r="AN69" s="56" t="s">
        <v>121</v>
      </c>
      <c r="AO69" s="56" t="s">
        <v>121</v>
      </c>
      <c r="AP69" s="56" t="s">
        <v>121</v>
      </c>
      <c r="AQ69" s="56" t="s">
        <v>121</v>
      </c>
      <c r="AR69" s="56" t="s">
        <v>121</v>
      </c>
      <c r="AS69" s="56" t="s">
        <v>121</v>
      </c>
      <c r="AT69" s="56" t="s">
        <v>121</v>
      </c>
      <c r="AU69" s="56" t="s">
        <v>121</v>
      </c>
      <c r="AV69" s="56" t="s">
        <v>121</v>
      </c>
      <c r="AW69" s="56" t="s">
        <v>121</v>
      </c>
      <c r="AX69" s="56" t="s">
        <v>121</v>
      </c>
      <c r="AY69" s="56" t="s">
        <v>121</v>
      </c>
      <c r="AZ69" s="8" t="s">
        <v>121</v>
      </c>
      <c r="BA69" s="1" t="s">
        <v>121</v>
      </c>
      <c r="BB69" s="1" t="s">
        <v>121</v>
      </c>
      <c r="BC69" s="1" t="s">
        <v>121</v>
      </c>
      <c r="BD69" s="1" t="s">
        <v>121</v>
      </c>
      <c r="BE69" s="1" t="s">
        <v>121</v>
      </c>
      <c r="BF69" s="1" t="s">
        <v>121</v>
      </c>
      <c r="BG69" s="1" t="s">
        <v>121</v>
      </c>
      <c r="BH69" s="1" t="s">
        <v>121</v>
      </c>
      <c r="BI69" s="1" t="s">
        <v>121</v>
      </c>
      <c r="BJ69" s="1" t="s">
        <v>121</v>
      </c>
      <c r="BK69" s="1" t="s">
        <v>121</v>
      </c>
      <c r="BL69" s="1" t="s">
        <v>121</v>
      </c>
      <c r="BM69" s="1" t="s">
        <v>121</v>
      </c>
      <c r="BN69" s="1" t="s">
        <v>121</v>
      </c>
      <c r="BO69" s="1" t="s">
        <v>121</v>
      </c>
      <c r="BP69" s="1" t="s">
        <v>121</v>
      </c>
      <c r="BQ69" s="1" t="s">
        <v>121</v>
      </c>
      <c r="BR69" s="1" t="s">
        <v>121</v>
      </c>
      <c r="BS69" s="1" t="s">
        <v>121</v>
      </c>
      <c r="BT69" s="1" t="s">
        <v>121</v>
      </c>
      <c r="BU69" s="1" t="s">
        <v>121</v>
      </c>
      <c r="BV69" s="1" t="s">
        <v>121</v>
      </c>
      <c r="BW69" s="1" t="s">
        <v>121</v>
      </c>
      <c r="BX69" s="1" t="s">
        <v>121</v>
      </c>
      <c r="BY69" s="1" t="s">
        <v>121</v>
      </c>
      <c r="BZ69" s="1" t="s">
        <v>121</v>
      </c>
      <c r="CA69" s="1" t="s">
        <v>121</v>
      </c>
      <c r="CB69" s="1" t="s">
        <v>121</v>
      </c>
      <c r="CC69" s="1" t="s">
        <v>121</v>
      </c>
      <c r="CD69" s="1" t="s">
        <v>121</v>
      </c>
      <c r="CE69" s="1" t="s">
        <v>121</v>
      </c>
      <c r="CF69" s="1" t="s">
        <v>121</v>
      </c>
      <c r="CG69" s="1" t="s">
        <v>121</v>
      </c>
      <c r="CH69" s="1" t="s">
        <v>121</v>
      </c>
      <c r="CI69" s="1" t="s">
        <v>121</v>
      </c>
      <c r="CJ69" s="1" t="s">
        <v>121</v>
      </c>
      <c r="CK69" s="1" t="s">
        <v>121</v>
      </c>
      <c r="CL69" s="1" t="s">
        <v>121</v>
      </c>
      <c r="CM69" s="1" t="s">
        <v>121</v>
      </c>
      <c r="CN69" s="1" t="s">
        <v>121</v>
      </c>
      <c r="CO69" s="1" t="s">
        <v>121</v>
      </c>
      <c r="CP69" s="1" t="s">
        <v>121</v>
      </c>
      <c r="CQ69" s="1" t="s">
        <v>121</v>
      </c>
      <c r="CR69" s="1" t="s">
        <v>121</v>
      </c>
      <c r="CS69" s="1" t="s">
        <v>121</v>
      </c>
      <c r="CT69" s="1" t="s">
        <v>121</v>
      </c>
      <c r="CU69" s="1" t="s">
        <v>121</v>
      </c>
      <c r="CV69" s="1" t="s">
        <v>121</v>
      </c>
      <c r="CW69" s="1" t="s">
        <v>121</v>
      </c>
      <c r="CX69" s="1" t="s">
        <v>121</v>
      </c>
      <c r="CY69" s="1" t="s">
        <v>121</v>
      </c>
      <c r="CZ69" s="1" t="s">
        <v>121</v>
      </c>
      <c r="DA69" s="1" t="s">
        <v>121</v>
      </c>
      <c r="DB69" s="1" t="s">
        <v>121</v>
      </c>
      <c r="DC69" s="1" t="s">
        <v>121</v>
      </c>
      <c r="DD69" s="1" t="s">
        <v>121</v>
      </c>
      <c r="DE69" s="1" t="s">
        <v>121</v>
      </c>
      <c r="DF69" s="1" t="s">
        <v>121</v>
      </c>
      <c r="DG69" s="1" t="s">
        <v>121</v>
      </c>
      <c r="DH69" s="1" t="s">
        <v>121</v>
      </c>
      <c r="DI69" s="1" t="s">
        <v>121</v>
      </c>
      <c r="DJ69" s="1" t="s">
        <v>121</v>
      </c>
      <c r="DK69" s="1" t="s">
        <v>121</v>
      </c>
      <c r="DL69" s="1" t="s">
        <v>121</v>
      </c>
      <c r="DM69" s="1" t="s">
        <v>121</v>
      </c>
      <c r="DN69" s="1" t="s">
        <v>121</v>
      </c>
      <c r="DO69" s="1" t="s">
        <v>121</v>
      </c>
      <c r="DP69" s="1" t="s">
        <v>121</v>
      </c>
      <c r="DQ69" s="1" t="s">
        <v>121</v>
      </c>
      <c r="DR69" s="1" t="s">
        <v>121</v>
      </c>
      <c r="DS69" s="1" t="s">
        <v>121</v>
      </c>
      <c r="DT69" s="1" t="s">
        <v>121</v>
      </c>
      <c r="DU69" s="1" t="s">
        <v>121</v>
      </c>
      <c r="DV69" s="1" t="s">
        <v>121</v>
      </c>
      <c r="DW69" s="1" t="s">
        <v>121</v>
      </c>
      <c r="DX69" s="1" t="s">
        <v>121</v>
      </c>
      <c r="DY69" s="1" t="s">
        <v>121</v>
      </c>
      <c r="DZ69" s="1" t="s">
        <v>121</v>
      </c>
      <c r="EA69" s="1" t="s">
        <v>121</v>
      </c>
      <c r="EB69" s="1" t="s">
        <v>121</v>
      </c>
      <c r="EC69" s="1" t="s">
        <v>121</v>
      </c>
      <c r="ED69" s="1" t="s">
        <v>121</v>
      </c>
      <c r="EE69" s="1" t="s">
        <v>121</v>
      </c>
      <c r="EF69" s="1" t="s">
        <v>121</v>
      </c>
      <c r="EG69" s="1" t="s">
        <v>121</v>
      </c>
      <c r="EH69" s="1" t="s">
        <v>121</v>
      </c>
      <c r="EI69" s="1" t="s">
        <v>121</v>
      </c>
      <c r="EJ69" s="1" t="s">
        <v>121</v>
      </c>
      <c r="EK69" s="1" t="s">
        <v>121</v>
      </c>
      <c r="EL69" s="1" t="s">
        <v>121</v>
      </c>
      <c r="EM69" s="1" t="s">
        <v>121</v>
      </c>
      <c r="EN69" s="1" t="s">
        <v>121</v>
      </c>
      <c r="EO69" s="1" t="s">
        <v>121</v>
      </c>
      <c r="EP69" s="1" t="s">
        <v>121</v>
      </c>
      <c r="EQ69" s="1" t="s">
        <v>121</v>
      </c>
      <c r="ER69" s="1" t="s">
        <v>121</v>
      </c>
      <c r="ES69" s="1" t="s">
        <v>121</v>
      </c>
      <c r="ET69" s="1" t="s">
        <v>121</v>
      </c>
      <c r="EU69" s="1" t="s">
        <v>121</v>
      </c>
      <c r="EV69" s="1" t="s">
        <v>121</v>
      </c>
      <c r="EW69" s="1" t="s">
        <v>121</v>
      </c>
      <c r="EX69" s="1" t="s">
        <v>121</v>
      </c>
    </row>
    <row r="70" spans="1:168" s="25" customFormat="1" ht="15" customHeight="1" x14ac:dyDescent="0.25">
      <c r="A70" s="72">
        <v>70</v>
      </c>
      <c r="B70" s="30" t="s">
        <v>409</v>
      </c>
      <c r="C70" s="91">
        <v>7.0778048206014077E-2</v>
      </c>
      <c r="D70" s="86" t="s">
        <v>121</v>
      </c>
      <c r="E70" s="92">
        <v>0.41960498581800199</v>
      </c>
      <c r="F70" s="22">
        <v>54554</v>
      </c>
      <c r="G70" s="22">
        <v>50948</v>
      </c>
      <c r="H70" s="22">
        <v>49474</v>
      </c>
      <c r="I70" s="22">
        <v>46911</v>
      </c>
      <c r="J70" s="22">
        <v>38429</v>
      </c>
      <c r="K70" s="22">
        <v>34883</v>
      </c>
      <c r="L70" s="22">
        <v>33965</v>
      </c>
      <c r="M70" s="22">
        <v>30139</v>
      </c>
      <c r="N70" s="22">
        <v>20386</v>
      </c>
      <c r="O70" s="22">
        <v>17366</v>
      </c>
      <c r="P70" s="22">
        <v>16768</v>
      </c>
      <c r="Q70" s="405"/>
      <c r="R70" s="405"/>
      <c r="S70" s="405"/>
      <c r="T70" s="405"/>
      <c r="U70" s="22">
        <v>13270</v>
      </c>
      <c r="V70" s="22">
        <v>11061</v>
      </c>
      <c r="W70" s="22">
        <v>11385</v>
      </c>
      <c r="X70" s="22">
        <v>10080</v>
      </c>
      <c r="Y70" s="22">
        <v>11078.653999999999</v>
      </c>
      <c r="Z70" s="22">
        <v>10374.486000000001</v>
      </c>
      <c r="AA70" s="22">
        <v>10710.966</v>
      </c>
      <c r="AB70" s="22">
        <v>11265.894</v>
      </c>
      <c r="AC70" s="22">
        <v>12005.321000000004</v>
      </c>
      <c r="AD70" s="22">
        <v>12067.470000000001</v>
      </c>
      <c r="AE70" s="22">
        <v>11574.052999999998</v>
      </c>
      <c r="AF70" s="22">
        <v>12846.710000000001</v>
      </c>
      <c r="AG70" s="22">
        <v>12330.641000000003</v>
      </c>
      <c r="AH70" s="22">
        <v>11412.367999999999</v>
      </c>
      <c r="AI70" s="22">
        <v>11332.708999999999</v>
      </c>
      <c r="AJ70" s="22">
        <v>10962.853999999999</v>
      </c>
      <c r="AK70" s="22">
        <v>11844.102999999996</v>
      </c>
      <c r="AL70" s="22">
        <v>11535.064000000002</v>
      </c>
      <c r="AM70" s="22">
        <v>11674.451999999999</v>
      </c>
      <c r="AN70" s="22">
        <v>12116.299000000001</v>
      </c>
      <c r="AO70" s="22">
        <v>12844.277999999998</v>
      </c>
      <c r="AP70" s="22">
        <v>13006.412</v>
      </c>
      <c r="AQ70" s="22">
        <v>13104.124999999998</v>
      </c>
      <c r="AR70" s="22">
        <v>12896.995000000001</v>
      </c>
      <c r="AS70" s="22">
        <v>13155.93</v>
      </c>
      <c r="AT70" s="22">
        <v>12749.339999999997</v>
      </c>
      <c r="AU70" s="22">
        <v>12609.874000000002</v>
      </c>
      <c r="AV70" s="22">
        <v>12278.331</v>
      </c>
      <c r="AW70" s="22">
        <v>11134.423000000003</v>
      </c>
      <c r="AX70" s="11">
        <v>9618.6959999999999</v>
      </c>
      <c r="AY70" s="11">
        <v>9285.4740000000002</v>
      </c>
      <c r="AZ70" s="22">
        <v>8721.7070000000003</v>
      </c>
      <c r="BA70" s="11">
        <v>8350.9050000000025</v>
      </c>
      <c r="BB70" s="11">
        <v>7937.8519999999999</v>
      </c>
      <c r="BC70" s="11">
        <v>7537.6270000000004</v>
      </c>
      <c r="BD70" s="11">
        <v>7005.1409999999996</v>
      </c>
      <c r="BE70" s="11">
        <v>7155.4580000000024</v>
      </c>
      <c r="BF70" s="11">
        <v>6785.7690000000002</v>
      </c>
      <c r="BG70" s="11">
        <v>6997.2439999999997</v>
      </c>
      <c r="BH70" s="11">
        <v>6422.6959999999999</v>
      </c>
      <c r="BI70" s="11">
        <v>6577.5379999999996</v>
      </c>
      <c r="BJ70" s="11">
        <v>6587.1639999999998</v>
      </c>
      <c r="BK70" s="11">
        <v>6491.2179999999998</v>
      </c>
      <c r="BL70" s="11">
        <v>6121.1850000000004</v>
      </c>
      <c r="BM70" s="1">
        <v>5904.0020000000004</v>
      </c>
      <c r="BN70" s="1">
        <v>5746.13</v>
      </c>
      <c r="BO70" s="1">
        <v>6112.3770000000004</v>
      </c>
      <c r="BP70" s="1">
        <v>6497.2579999999998</v>
      </c>
      <c r="BQ70" s="1" t="s">
        <v>121</v>
      </c>
      <c r="BR70" s="1" t="s">
        <v>121</v>
      </c>
      <c r="BS70" s="1" t="s">
        <v>121</v>
      </c>
      <c r="BT70" s="1" t="s">
        <v>121</v>
      </c>
      <c r="BU70" s="1" t="s">
        <v>121</v>
      </c>
      <c r="BV70" s="1" t="s">
        <v>121</v>
      </c>
      <c r="BW70" s="1" t="s">
        <v>121</v>
      </c>
      <c r="BX70" s="1" t="s">
        <v>121</v>
      </c>
      <c r="BY70" s="1" t="s">
        <v>121</v>
      </c>
      <c r="BZ70" s="1" t="s">
        <v>121</v>
      </c>
      <c r="CA70" s="1" t="s">
        <v>121</v>
      </c>
      <c r="CB70" s="1" t="s">
        <v>121</v>
      </c>
      <c r="CC70" s="1" t="s">
        <v>121</v>
      </c>
      <c r="CD70" s="1" t="s">
        <v>121</v>
      </c>
      <c r="CE70" s="1" t="s">
        <v>121</v>
      </c>
      <c r="CF70" s="1" t="s">
        <v>121</v>
      </c>
      <c r="CG70" s="1" t="s">
        <v>121</v>
      </c>
      <c r="CH70" s="1" t="s">
        <v>121</v>
      </c>
      <c r="CI70" s="1" t="s">
        <v>121</v>
      </c>
      <c r="CJ70" s="1" t="s">
        <v>121</v>
      </c>
      <c r="CK70" s="1" t="s">
        <v>121</v>
      </c>
      <c r="CL70" s="1" t="s">
        <v>121</v>
      </c>
      <c r="CM70" s="1" t="s">
        <v>121</v>
      </c>
      <c r="CN70" s="1" t="s">
        <v>121</v>
      </c>
      <c r="CO70" s="1" t="s">
        <v>121</v>
      </c>
      <c r="CP70" s="1" t="s">
        <v>121</v>
      </c>
      <c r="CQ70" s="1" t="s">
        <v>121</v>
      </c>
      <c r="CR70" s="1" t="s">
        <v>121</v>
      </c>
      <c r="CS70" s="1" t="s">
        <v>121</v>
      </c>
      <c r="CT70" s="1" t="s">
        <v>121</v>
      </c>
      <c r="CU70" s="1" t="s">
        <v>121</v>
      </c>
      <c r="CV70" s="1" t="s">
        <v>121</v>
      </c>
      <c r="CW70" s="1" t="s">
        <v>121</v>
      </c>
      <c r="CX70" s="1" t="s">
        <v>121</v>
      </c>
      <c r="CY70" s="1" t="s">
        <v>121</v>
      </c>
      <c r="CZ70" s="1" t="s">
        <v>121</v>
      </c>
      <c r="DA70" s="1" t="s">
        <v>121</v>
      </c>
      <c r="DB70" s="1" t="s">
        <v>121</v>
      </c>
      <c r="DC70" s="1" t="s">
        <v>121</v>
      </c>
      <c r="DD70" s="1" t="s">
        <v>121</v>
      </c>
      <c r="DE70" s="1" t="s">
        <v>121</v>
      </c>
      <c r="DF70" s="1" t="s">
        <v>121</v>
      </c>
      <c r="DG70" s="1" t="s">
        <v>121</v>
      </c>
      <c r="DH70" s="1" t="s">
        <v>121</v>
      </c>
      <c r="DI70" s="1" t="s">
        <v>121</v>
      </c>
      <c r="DJ70" s="1" t="s">
        <v>121</v>
      </c>
      <c r="DK70" s="1" t="s">
        <v>121</v>
      </c>
      <c r="DL70" s="1" t="s">
        <v>121</v>
      </c>
      <c r="DM70" s="1" t="s">
        <v>121</v>
      </c>
      <c r="DN70" s="1" t="s">
        <v>121</v>
      </c>
      <c r="DO70" s="1" t="s">
        <v>121</v>
      </c>
      <c r="DP70" s="1" t="s">
        <v>121</v>
      </c>
      <c r="DQ70" s="1" t="s">
        <v>121</v>
      </c>
      <c r="DR70" s="1" t="s">
        <v>121</v>
      </c>
      <c r="DS70" s="1" t="s">
        <v>121</v>
      </c>
      <c r="DT70" s="1" t="s">
        <v>121</v>
      </c>
      <c r="DU70" s="1" t="s">
        <v>121</v>
      </c>
      <c r="DV70" s="1" t="s">
        <v>121</v>
      </c>
      <c r="DW70" s="1" t="s">
        <v>121</v>
      </c>
      <c r="DX70" s="1" t="s">
        <v>121</v>
      </c>
      <c r="DY70" s="1" t="s">
        <v>121</v>
      </c>
      <c r="DZ70" s="1" t="s">
        <v>121</v>
      </c>
      <c r="EA70" s="1" t="s">
        <v>121</v>
      </c>
      <c r="EB70" s="1" t="s">
        <v>121</v>
      </c>
      <c r="EC70" s="1" t="s">
        <v>121</v>
      </c>
      <c r="ED70" s="1" t="s">
        <v>121</v>
      </c>
      <c r="EE70" s="1" t="s">
        <v>121</v>
      </c>
      <c r="EF70" s="1" t="s">
        <v>121</v>
      </c>
      <c r="EG70" s="1" t="s">
        <v>121</v>
      </c>
      <c r="EH70" s="1" t="s">
        <v>121</v>
      </c>
      <c r="EI70" s="1" t="s">
        <v>121</v>
      </c>
      <c r="EJ70" s="1" t="s">
        <v>121</v>
      </c>
      <c r="EK70" s="1" t="s">
        <v>121</v>
      </c>
      <c r="EL70" s="1" t="s">
        <v>121</v>
      </c>
      <c r="EM70" s="1" t="s">
        <v>121</v>
      </c>
      <c r="EN70" s="1" t="s">
        <v>121</v>
      </c>
      <c r="EO70" s="1" t="s">
        <v>121</v>
      </c>
      <c r="EP70" s="1" t="s">
        <v>121</v>
      </c>
      <c r="EQ70" s="1" t="s">
        <v>121</v>
      </c>
      <c r="ER70" s="1" t="s">
        <v>121</v>
      </c>
      <c r="ES70" s="1" t="s">
        <v>121</v>
      </c>
      <c r="ET70" s="1" t="s">
        <v>121</v>
      </c>
      <c r="EU70" s="1" t="s">
        <v>121</v>
      </c>
      <c r="EV70" s="1" t="s">
        <v>121</v>
      </c>
      <c r="EW70" s="1" t="s">
        <v>121</v>
      </c>
      <c r="EX70" s="1" t="s">
        <v>121</v>
      </c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</row>
    <row r="71" spans="1:168" s="25" customFormat="1" ht="15" customHeight="1" x14ac:dyDescent="0.25">
      <c r="A71" s="72">
        <v>71</v>
      </c>
      <c r="B71" s="30" t="s">
        <v>410</v>
      </c>
      <c r="C71" s="91">
        <v>0.11132032594227836</v>
      </c>
      <c r="D71" s="86" t="s">
        <v>121</v>
      </c>
      <c r="E71" s="92">
        <v>0.66879539804026722</v>
      </c>
      <c r="F71" s="22">
        <v>-34232</v>
      </c>
      <c r="G71" s="22">
        <v>-30803</v>
      </c>
      <c r="H71" s="22">
        <v>-28915</v>
      </c>
      <c r="I71" s="22">
        <v>-26978</v>
      </c>
      <c r="J71" s="22">
        <v>-20513</v>
      </c>
      <c r="K71" s="22">
        <v>-17635</v>
      </c>
      <c r="L71" s="22">
        <v>-16186</v>
      </c>
      <c r="M71" s="22">
        <v>-13516</v>
      </c>
      <c r="N71" s="22">
        <v>-7207</v>
      </c>
      <c r="O71" s="22">
        <v>-5960</v>
      </c>
      <c r="P71" s="22">
        <v>-5030</v>
      </c>
      <c r="Q71" s="405"/>
      <c r="R71" s="405"/>
      <c r="S71" s="405"/>
      <c r="T71" s="405"/>
      <c r="U71" s="22">
        <v>-4890</v>
      </c>
      <c r="V71" s="22">
        <v>-3585</v>
      </c>
      <c r="W71" s="22">
        <v>-3613</v>
      </c>
      <c r="X71" s="22">
        <v>-3276</v>
      </c>
      <c r="Y71" s="22">
        <v>-3557.9459999999999</v>
      </c>
      <c r="Z71" s="22">
        <v>-4012.3320000000003</v>
      </c>
      <c r="AA71" s="22">
        <v>-4515.8679999999995</v>
      </c>
      <c r="AB71" s="22">
        <v>-4577.8540000000003</v>
      </c>
      <c r="AC71" s="22">
        <v>-5194.0270000000019</v>
      </c>
      <c r="AD71" s="22">
        <v>-5768.9479999999985</v>
      </c>
      <c r="AE71" s="22">
        <v>-5813.1</v>
      </c>
      <c r="AF71" s="22">
        <v>-6668.5190000000002</v>
      </c>
      <c r="AG71" s="22">
        <v>-5932.4519999999975</v>
      </c>
      <c r="AH71" s="22">
        <v>-5573.8950000000023</v>
      </c>
      <c r="AI71" s="22">
        <v>-5771.6639999999998</v>
      </c>
      <c r="AJ71" s="22">
        <v>-5614.9849999999997</v>
      </c>
      <c r="AK71" s="22">
        <v>-5901.4320000000007</v>
      </c>
      <c r="AL71" s="22">
        <v>-6159.7939999999999</v>
      </c>
      <c r="AM71" s="22">
        <v>-7113.2990000000009</v>
      </c>
      <c r="AN71" s="22">
        <v>-7447.4279999999999</v>
      </c>
      <c r="AO71" s="22">
        <v>-6777.9609999999993</v>
      </c>
      <c r="AP71" s="22">
        <v>-7308.6799999999985</v>
      </c>
      <c r="AQ71" s="22">
        <v>-7791.152000000001</v>
      </c>
      <c r="AR71" s="22">
        <v>-7829.1279999999997</v>
      </c>
      <c r="AS71" s="22">
        <v>-8001.0119999999997</v>
      </c>
      <c r="AT71" s="22">
        <v>-8666.6949999999997</v>
      </c>
      <c r="AU71" s="22">
        <v>-8492.0760000000009</v>
      </c>
      <c r="AV71" s="22">
        <v>-8156.21</v>
      </c>
      <c r="AW71" s="22">
        <v>-5597.8159999999989</v>
      </c>
      <c r="AX71" s="22">
        <v>-5147.905999999999</v>
      </c>
      <c r="AY71" s="22">
        <v>-4871.7350000000006</v>
      </c>
      <c r="AZ71" s="22">
        <v>-4631.9470000000001</v>
      </c>
      <c r="BA71" s="22">
        <v>-4532.9549999999999</v>
      </c>
      <c r="BB71" s="22">
        <v>-4532.8829999999998</v>
      </c>
      <c r="BC71" s="22">
        <v>-4375.9110000000001</v>
      </c>
      <c r="BD71" s="22">
        <v>-4017.7829999999999</v>
      </c>
      <c r="BE71" s="22">
        <v>-4054.0440000000017</v>
      </c>
      <c r="BF71" s="22">
        <v>-3866.5369999999998</v>
      </c>
      <c r="BG71" s="22">
        <v>-3959.0590000000002</v>
      </c>
      <c r="BH71" s="22">
        <v>-3499.3809999999999</v>
      </c>
      <c r="BI71" s="22">
        <v>-3293.4760000000001</v>
      </c>
      <c r="BJ71" s="22">
        <v>-3039.11</v>
      </c>
      <c r="BK71" s="22">
        <v>-2971.1779999999999</v>
      </c>
      <c r="BL71" s="22">
        <v>-2853.4140000000002</v>
      </c>
      <c r="BM71" s="25">
        <v>-2926.4079999999999</v>
      </c>
      <c r="BN71" s="25">
        <v>-2777.5309999999999</v>
      </c>
      <c r="BO71" s="25">
        <v>-3119.1570000000002</v>
      </c>
      <c r="BP71" s="25">
        <v>-3412.2429999999999</v>
      </c>
      <c r="BQ71" s="25" t="s">
        <v>121</v>
      </c>
      <c r="BR71" s="25" t="s">
        <v>121</v>
      </c>
      <c r="BS71" s="25" t="s">
        <v>121</v>
      </c>
      <c r="BT71" s="25" t="s">
        <v>121</v>
      </c>
      <c r="BU71" s="25" t="s">
        <v>121</v>
      </c>
      <c r="BV71" s="25" t="s">
        <v>121</v>
      </c>
      <c r="BW71" s="25" t="s">
        <v>121</v>
      </c>
      <c r="BX71" s="25" t="s">
        <v>121</v>
      </c>
      <c r="BY71" s="25" t="s">
        <v>121</v>
      </c>
      <c r="BZ71" s="25" t="s">
        <v>121</v>
      </c>
      <c r="CA71" s="25" t="s">
        <v>121</v>
      </c>
      <c r="CB71" s="25" t="s">
        <v>121</v>
      </c>
      <c r="CC71" s="25" t="s">
        <v>121</v>
      </c>
      <c r="CD71" s="25" t="s">
        <v>121</v>
      </c>
      <c r="CE71" s="25" t="s">
        <v>121</v>
      </c>
      <c r="CF71" s="25" t="s">
        <v>121</v>
      </c>
      <c r="CG71" s="25" t="s">
        <v>121</v>
      </c>
      <c r="CH71" s="25" t="s">
        <v>121</v>
      </c>
      <c r="CI71" s="25" t="s">
        <v>121</v>
      </c>
      <c r="CJ71" s="25" t="s">
        <v>121</v>
      </c>
      <c r="CK71" s="25" t="s">
        <v>121</v>
      </c>
      <c r="CL71" s="25" t="s">
        <v>121</v>
      </c>
      <c r="CM71" s="25" t="s">
        <v>121</v>
      </c>
      <c r="CN71" s="25" t="s">
        <v>121</v>
      </c>
      <c r="CO71" s="25" t="s">
        <v>121</v>
      </c>
      <c r="CP71" s="25" t="s">
        <v>121</v>
      </c>
      <c r="CQ71" s="25" t="s">
        <v>121</v>
      </c>
      <c r="CR71" s="25" t="s">
        <v>121</v>
      </c>
      <c r="CS71" s="25" t="s">
        <v>121</v>
      </c>
      <c r="CT71" s="25" t="s">
        <v>121</v>
      </c>
      <c r="CU71" s="25" t="s">
        <v>121</v>
      </c>
      <c r="CV71" s="25" t="s">
        <v>121</v>
      </c>
      <c r="CW71" s="25" t="s">
        <v>121</v>
      </c>
      <c r="CX71" s="25" t="s">
        <v>121</v>
      </c>
      <c r="CY71" s="25" t="s">
        <v>121</v>
      </c>
      <c r="CZ71" s="25" t="s">
        <v>121</v>
      </c>
      <c r="DA71" s="25" t="s">
        <v>121</v>
      </c>
      <c r="DB71" s="25" t="s">
        <v>121</v>
      </c>
      <c r="DC71" s="25" t="s">
        <v>121</v>
      </c>
      <c r="DD71" s="25" t="s">
        <v>121</v>
      </c>
      <c r="DE71" s="25" t="s">
        <v>121</v>
      </c>
      <c r="DF71" s="25" t="s">
        <v>121</v>
      </c>
      <c r="DG71" s="25" t="s">
        <v>121</v>
      </c>
      <c r="DH71" s="25" t="s">
        <v>121</v>
      </c>
      <c r="DI71" s="25" t="s">
        <v>121</v>
      </c>
      <c r="DJ71" s="25" t="s">
        <v>121</v>
      </c>
      <c r="DK71" s="25" t="s">
        <v>121</v>
      </c>
      <c r="DL71" s="25" t="s">
        <v>121</v>
      </c>
      <c r="DM71" s="25" t="s">
        <v>121</v>
      </c>
      <c r="DN71" s="25" t="s">
        <v>121</v>
      </c>
      <c r="DO71" s="25" t="s">
        <v>121</v>
      </c>
      <c r="DP71" s="25" t="s">
        <v>121</v>
      </c>
      <c r="DQ71" s="25" t="s">
        <v>121</v>
      </c>
      <c r="DR71" s="25" t="s">
        <v>121</v>
      </c>
      <c r="DS71" s="25" t="s">
        <v>121</v>
      </c>
      <c r="DT71" s="25" t="s">
        <v>121</v>
      </c>
      <c r="DU71" s="25" t="s">
        <v>121</v>
      </c>
      <c r="DV71" s="25" t="s">
        <v>121</v>
      </c>
      <c r="DW71" s="25" t="s">
        <v>121</v>
      </c>
      <c r="DX71" s="25" t="s">
        <v>121</v>
      </c>
      <c r="DY71" s="25" t="s">
        <v>121</v>
      </c>
      <c r="DZ71" s="25" t="s">
        <v>121</v>
      </c>
      <c r="EA71" s="25" t="s">
        <v>121</v>
      </c>
      <c r="EB71" s="25" t="s">
        <v>121</v>
      </c>
      <c r="EC71" s="25" t="s">
        <v>121</v>
      </c>
      <c r="ED71" s="25" t="s">
        <v>121</v>
      </c>
      <c r="EE71" s="25" t="s">
        <v>121</v>
      </c>
      <c r="EF71" s="25" t="s">
        <v>121</v>
      </c>
      <c r="EG71" s="25" t="s">
        <v>121</v>
      </c>
      <c r="EH71" s="25" t="s">
        <v>121</v>
      </c>
      <c r="EI71" s="25" t="s">
        <v>121</v>
      </c>
      <c r="EJ71" s="25" t="s">
        <v>121</v>
      </c>
      <c r="EK71" s="25" t="s">
        <v>121</v>
      </c>
      <c r="EL71" s="25" t="s">
        <v>121</v>
      </c>
      <c r="EM71" s="25" t="s">
        <v>121</v>
      </c>
      <c r="EN71" s="25" t="s">
        <v>121</v>
      </c>
      <c r="EO71" s="25" t="s">
        <v>121</v>
      </c>
      <c r="EP71" s="25" t="s">
        <v>121</v>
      </c>
      <c r="EQ71" s="25" t="s">
        <v>121</v>
      </c>
      <c r="ER71" s="25" t="s">
        <v>121</v>
      </c>
      <c r="ES71" s="25" t="s">
        <v>121</v>
      </c>
      <c r="ET71" s="25" t="s">
        <v>121</v>
      </c>
      <c r="EU71" s="25" t="s">
        <v>121</v>
      </c>
      <c r="EV71" s="25" t="s">
        <v>121</v>
      </c>
      <c r="EW71" s="25" t="s">
        <v>121</v>
      </c>
      <c r="EX71" s="25" t="s">
        <v>121</v>
      </c>
    </row>
    <row r="72" spans="1:168" s="25" customFormat="1" ht="15" customHeight="1" x14ac:dyDescent="0.25">
      <c r="A72" s="72">
        <v>72</v>
      </c>
      <c r="B72" s="236" t="s">
        <v>411</v>
      </c>
      <c r="C72" s="91">
        <v>5.7542768273716849E-2</v>
      </c>
      <c r="D72" s="86" t="s">
        <v>121</v>
      </c>
      <c r="E72" s="92">
        <v>0.18881118881118875</v>
      </c>
      <c r="F72" s="22">
        <v>-680</v>
      </c>
      <c r="G72" s="22">
        <v>-643</v>
      </c>
      <c r="H72" s="22">
        <v>-631</v>
      </c>
      <c r="I72" s="22">
        <v>-586</v>
      </c>
      <c r="J72" s="22">
        <v>-572</v>
      </c>
      <c r="K72" s="22">
        <v>-584</v>
      </c>
      <c r="L72" s="22">
        <v>-577</v>
      </c>
      <c r="M72" s="22">
        <v>-546</v>
      </c>
      <c r="N72" s="22">
        <v>-519</v>
      </c>
      <c r="O72" s="22">
        <v>-520</v>
      </c>
      <c r="P72" s="22">
        <v>-529</v>
      </c>
      <c r="Q72" s="405"/>
      <c r="R72" s="405"/>
      <c r="S72" s="405"/>
      <c r="T72" s="405"/>
      <c r="U72" s="22">
        <v>-426</v>
      </c>
      <c r="V72" s="22">
        <v>-419</v>
      </c>
      <c r="W72" s="22">
        <v>-338</v>
      </c>
      <c r="X72" s="22">
        <v>-338</v>
      </c>
      <c r="Y72" s="22">
        <v>-330.29499999999996</v>
      </c>
      <c r="Z72" s="22">
        <v>-321.73</v>
      </c>
      <c r="AA72" s="22">
        <v>-137.54000000000002</v>
      </c>
      <c r="AB72" s="22">
        <v>-452.435</v>
      </c>
      <c r="AC72" s="22">
        <v>-443.95900000000006</v>
      </c>
      <c r="AD72" s="22">
        <v>-442.14899999999989</v>
      </c>
      <c r="AE72" s="22">
        <v>-439.58300000000003</v>
      </c>
      <c r="AF72" s="22">
        <v>-441.8</v>
      </c>
      <c r="AG72" s="22">
        <v>-332.38699999999994</v>
      </c>
      <c r="AH72" s="22">
        <v>-319.024</v>
      </c>
      <c r="AI72" s="22">
        <v>-304.87299999999999</v>
      </c>
      <c r="AJ72" s="22">
        <v>-294.02699999999999</v>
      </c>
      <c r="AK72" s="22">
        <v>-226.702</v>
      </c>
      <c r="AL72" s="22">
        <v>-226.97</v>
      </c>
      <c r="AM72" s="22">
        <v>-221.5</v>
      </c>
      <c r="AN72" s="22">
        <v>-215.27199999999999</v>
      </c>
      <c r="AO72" s="22">
        <v>-215.70500000000004</v>
      </c>
      <c r="AP72" s="22">
        <v>-217.37799999999999</v>
      </c>
      <c r="AQ72" s="22">
        <v>-176.01</v>
      </c>
      <c r="AR72" s="22">
        <v>-178.214</v>
      </c>
      <c r="AS72" s="22">
        <v>-163.17199999999997</v>
      </c>
      <c r="AT72" s="22">
        <v>-157.63299999999998</v>
      </c>
      <c r="AU72" s="22">
        <v>-142.501</v>
      </c>
      <c r="AV72" s="22">
        <v>-144.42699999999999</v>
      </c>
      <c r="AW72" s="22">
        <v>-139.71600000000001</v>
      </c>
      <c r="AX72" s="22">
        <v>-127.61600000000001</v>
      </c>
      <c r="AY72" s="22">
        <v>-121.997</v>
      </c>
      <c r="AZ72" s="22">
        <v>-121.867</v>
      </c>
      <c r="BA72" s="22">
        <v>-113.32900000000001</v>
      </c>
      <c r="BB72" s="22">
        <v>-111.905</v>
      </c>
      <c r="BC72" s="22">
        <v>-107.01900000000001</v>
      </c>
      <c r="BD72" s="22">
        <v>-96.717999999999989</v>
      </c>
      <c r="BE72" s="22">
        <v>-87.545999999999992</v>
      </c>
      <c r="BF72" s="22">
        <v>-97.788000000000011</v>
      </c>
      <c r="BG72" s="22">
        <v>-89.008999999999986</v>
      </c>
      <c r="BH72" s="22">
        <v>-83.703000000000003</v>
      </c>
      <c r="BI72" s="22">
        <v>-79.331999999999994</v>
      </c>
      <c r="BJ72" s="22">
        <v>-76.099000000000018</v>
      </c>
      <c r="BK72" s="22">
        <v>-141.93199999999999</v>
      </c>
      <c r="BL72" s="22" t="s">
        <v>121</v>
      </c>
      <c r="BM72" s="25">
        <v>-67.200000000000017</v>
      </c>
      <c r="BN72" s="25">
        <v>69.992000000000019</v>
      </c>
      <c r="BO72" s="25">
        <v>-197.21600000000001</v>
      </c>
      <c r="BP72" s="25">
        <v>-60.643999999999998</v>
      </c>
      <c r="BQ72" s="25" t="s">
        <v>121</v>
      </c>
      <c r="BR72" s="25" t="s">
        <v>121</v>
      </c>
      <c r="BS72" s="25" t="s">
        <v>121</v>
      </c>
      <c r="BT72" s="25" t="s">
        <v>121</v>
      </c>
      <c r="BU72" s="25" t="s">
        <v>121</v>
      </c>
      <c r="BV72" s="25" t="s">
        <v>121</v>
      </c>
      <c r="BW72" s="25" t="s">
        <v>121</v>
      </c>
      <c r="BX72" s="25" t="s">
        <v>121</v>
      </c>
      <c r="BY72" s="25" t="s">
        <v>121</v>
      </c>
      <c r="BZ72" s="25" t="s">
        <v>121</v>
      </c>
      <c r="CA72" s="25" t="s">
        <v>121</v>
      </c>
      <c r="CB72" s="25" t="s">
        <v>121</v>
      </c>
      <c r="CC72" s="25" t="s">
        <v>121</v>
      </c>
      <c r="CD72" s="25" t="s">
        <v>121</v>
      </c>
      <c r="CE72" s="25" t="s">
        <v>121</v>
      </c>
      <c r="CF72" s="25" t="s">
        <v>121</v>
      </c>
      <c r="CG72" s="25" t="s">
        <v>121</v>
      </c>
      <c r="CH72" s="25" t="s">
        <v>121</v>
      </c>
      <c r="CI72" s="25" t="s">
        <v>121</v>
      </c>
      <c r="CJ72" s="25" t="s">
        <v>121</v>
      </c>
      <c r="CK72" s="25" t="s">
        <v>121</v>
      </c>
      <c r="CL72" s="25" t="s">
        <v>121</v>
      </c>
      <c r="CM72" s="25" t="s">
        <v>121</v>
      </c>
      <c r="CN72" s="25" t="s">
        <v>121</v>
      </c>
      <c r="CO72" s="25" t="s">
        <v>121</v>
      </c>
      <c r="CP72" s="25" t="s">
        <v>121</v>
      </c>
      <c r="CQ72" s="25" t="s">
        <v>121</v>
      </c>
      <c r="CR72" s="25" t="s">
        <v>121</v>
      </c>
      <c r="CS72" s="25" t="s">
        <v>121</v>
      </c>
      <c r="CT72" s="25" t="s">
        <v>121</v>
      </c>
      <c r="CU72" s="25" t="s">
        <v>121</v>
      </c>
      <c r="CV72" s="25" t="s">
        <v>121</v>
      </c>
      <c r="CW72" s="25" t="s">
        <v>121</v>
      </c>
      <c r="CX72" s="25" t="s">
        <v>121</v>
      </c>
      <c r="CY72" s="25" t="s">
        <v>121</v>
      </c>
      <c r="CZ72" s="25" t="s">
        <v>121</v>
      </c>
      <c r="DA72" s="25" t="s">
        <v>121</v>
      </c>
      <c r="DB72" s="25" t="s">
        <v>121</v>
      </c>
      <c r="DC72" s="25" t="s">
        <v>121</v>
      </c>
      <c r="DD72" s="25" t="s">
        <v>121</v>
      </c>
      <c r="DE72" s="25" t="s">
        <v>121</v>
      </c>
      <c r="DF72" s="25" t="s">
        <v>121</v>
      </c>
      <c r="DG72" s="25" t="s">
        <v>121</v>
      </c>
      <c r="DH72" s="25" t="s">
        <v>121</v>
      </c>
      <c r="DI72" s="25" t="s">
        <v>121</v>
      </c>
      <c r="DJ72" s="25" t="s">
        <v>121</v>
      </c>
      <c r="DK72" s="25" t="s">
        <v>121</v>
      </c>
      <c r="DL72" s="25" t="s">
        <v>121</v>
      </c>
      <c r="DM72" s="25" t="s">
        <v>121</v>
      </c>
      <c r="DN72" s="25" t="s">
        <v>121</v>
      </c>
      <c r="DO72" s="25" t="s">
        <v>121</v>
      </c>
      <c r="DP72" s="25" t="s">
        <v>121</v>
      </c>
      <c r="DQ72" s="25" t="s">
        <v>121</v>
      </c>
      <c r="DR72" s="25" t="s">
        <v>121</v>
      </c>
      <c r="DS72" s="25" t="s">
        <v>121</v>
      </c>
      <c r="DT72" s="25" t="s">
        <v>121</v>
      </c>
      <c r="DU72" s="25" t="s">
        <v>121</v>
      </c>
      <c r="DV72" s="25" t="s">
        <v>121</v>
      </c>
      <c r="DW72" s="25" t="s">
        <v>121</v>
      </c>
      <c r="DX72" s="25" t="s">
        <v>121</v>
      </c>
      <c r="DY72" s="25" t="s">
        <v>121</v>
      </c>
      <c r="DZ72" s="25" t="s">
        <v>121</v>
      </c>
      <c r="EA72" s="25" t="s">
        <v>121</v>
      </c>
      <c r="EB72" s="25" t="s">
        <v>121</v>
      </c>
      <c r="EC72" s="25" t="s">
        <v>121</v>
      </c>
      <c r="ED72" s="25" t="s">
        <v>121</v>
      </c>
      <c r="EE72" s="25" t="s">
        <v>121</v>
      </c>
      <c r="EF72" s="25" t="s">
        <v>121</v>
      </c>
      <c r="EG72" s="25" t="s">
        <v>121</v>
      </c>
      <c r="EH72" s="25" t="s">
        <v>121</v>
      </c>
      <c r="EI72" s="25" t="s">
        <v>121</v>
      </c>
      <c r="EJ72" s="25" t="s">
        <v>121</v>
      </c>
      <c r="EK72" s="25" t="s">
        <v>121</v>
      </c>
      <c r="EL72" s="25" t="s">
        <v>121</v>
      </c>
      <c r="EM72" s="25" t="s">
        <v>121</v>
      </c>
      <c r="EN72" s="25" t="s">
        <v>121</v>
      </c>
      <c r="EO72" s="25" t="s">
        <v>121</v>
      </c>
      <c r="EP72" s="25" t="s">
        <v>121</v>
      </c>
      <c r="EQ72" s="25" t="s">
        <v>121</v>
      </c>
      <c r="ER72" s="25" t="s">
        <v>121</v>
      </c>
      <c r="ES72" s="25" t="s">
        <v>121</v>
      </c>
      <c r="ET72" s="25" t="s">
        <v>121</v>
      </c>
      <c r="EU72" s="25" t="s">
        <v>121</v>
      </c>
      <c r="EV72" s="25" t="s">
        <v>121</v>
      </c>
      <c r="EW72" s="25" t="s">
        <v>121</v>
      </c>
      <c r="EX72" s="25" t="s">
        <v>121</v>
      </c>
    </row>
    <row r="73" spans="1:168" s="66" customFormat="1" ht="15" customHeight="1" x14ac:dyDescent="0.25">
      <c r="A73" s="72">
        <v>73</v>
      </c>
      <c r="B73" s="29" t="s">
        <v>412</v>
      </c>
      <c r="C73" s="91">
        <v>7.1787508973437664E-3</v>
      </c>
      <c r="D73" s="86" t="s">
        <v>121</v>
      </c>
      <c r="E73" s="94">
        <v>0.13249538745387457</v>
      </c>
      <c r="F73" s="65">
        <v>19642</v>
      </c>
      <c r="G73" s="65">
        <v>19502</v>
      </c>
      <c r="H73" s="65">
        <v>19928</v>
      </c>
      <c r="I73" s="65">
        <v>19347</v>
      </c>
      <c r="J73" s="65">
        <v>17344</v>
      </c>
      <c r="K73" s="65">
        <v>16664</v>
      </c>
      <c r="L73" s="65">
        <v>17202</v>
      </c>
      <c r="M73" s="65">
        <v>16077</v>
      </c>
      <c r="N73" s="65">
        <v>12660</v>
      </c>
      <c r="O73" s="65">
        <v>10886</v>
      </c>
      <c r="P73" s="65">
        <v>11209</v>
      </c>
      <c r="Q73" s="405"/>
      <c r="R73" s="405"/>
      <c r="S73" s="405"/>
      <c r="T73" s="405"/>
      <c r="U73" s="65">
        <v>7954</v>
      </c>
      <c r="V73" s="65">
        <v>7057</v>
      </c>
      <c r="W73" s="65">
        <v>7434</v>
      </c>
      <c r="X73" s="65">
        <v>6466</v>
      </c>
      <c r="Y73" s="65">
        <v>7190.4130000000005</v>
      </c>
      <c r="Z73" s="65">
        <v>6040.4239999999991</v>
      </c>
      <c r="AA73" s="65">
        <v>6057.5580000000009</v>
      </c>
      <c r="AB73" s="65">
        <v>6235.6049999999996</v>
      </c>
      <c r="AC73" s="65">
        <v>6367.3350000000028</v>
      </c>
      <c r="AD73" s="65">
        <v>5856.3730000000032</v>
      </c>
      <c r="AE73" s="65">
        <v>5321.3699999999981</v>
      </c>
      <c r="AF73" s="65">
        <v>5736.3910000000005</v>
      </c>
      <c r="AG73" s="65">
        <v>6065.8020000000033</v>
      </c>
      <c r="AH73" s="65">
        <v>5519.4489999999969</v>
      </c>
      <c r="AI73" s="65">
        <v>5256.1719999999996</v>
      </c>
      <c r="AJ73" s="65">
        <v>5053.8419999999996</v>
      </c>
      <c r="AK73" s="65">
        <v>5715.9689999999946</v>
      </c>
      <c r="AL73" s="65">
        <v>5148.300000000002</v>
      </c>
      <c r="AM73" s="65">
        <v>4339.6529999999984</v>
      </c>
      <c r="AN73" s="65">
        <v>4453.5990000000011</v>
      </c>
      <c r="AO73" s="65">
        <v>5850.6119999999992</v>
      </c>
      <c r="AP73" s="65">
        <v>5480.3540000000021</v>
      </c>
      <c r="AQ73" s="65">
        <v>5136.962999999997</v>
      </c>
      <c r="AR73" s="65">
        <v>4889.6530000000012</v>
      </c>
      <c r="AS73" s="65">
        <v>4991.746000000001</v>
      </c>
      <c r="AT73" s="65">
        <v>3925.011999999997</v>
      </c>
      <c r="AU73" s="65">
        <v>3975.2970000000005</v>
      </c>
      <c r="AV73" s="65">
        <v>3977.694</v>
      </c>
      <c r="AW73" s="65">
        <v>5396.8910000000033</v>
      </c>
      <c r="AX73" s="65">
        <v>4343.1740000000009</v>
      </c>
      <c r="AY73" s="65">
        <v>4291.7419999999993</v>
      </c>
      <c r="AZ73" s="65">
        <v>3967.893</v>
      </c>
      <c r="BA73" s="65">
        <v>3704.6210000000024</v>
      </c>
      <c r="BB73" s="65">
        <v>3293.0639999999999</v>
      </c>
      <c r="BC73" s="65">
        <v>3054.6970000000001</v>
      </c>
      <c r="BD73" s="65">
        <v>2890.64</v>
      </c>
      <c r="BE73" s="65">
        <v>3013.8680000000008</v>
      </c>
      <c r="BF73" s="65">
        <v>2821.4440000000004</v>
      </c>
      <c r="BG73" s="65">
        <v>2949.1759999999995</v>
      </c>
      <c r="BH73" s="65">
        <v>2839.6120000000001</v>
      </c>
      <c r="BI73" s="65">
        <v>3204.7299999999996</v>
      </c>
      <c r="BJ73" s="65">
        <v>3471.9549999999995</v>
      </c>
      <c r="BK73" s="65">
        <v>3378.1080000000002</v>
      </c>
      <c r="BL73" s="65">
        <v>3267.7710000000002</v>
      </c>
      <c r="BM73" s="19">
        <v>2910.3940000000007</v>
      </c>
      <c r="BN73" s="19">
        <v>3038.5910000000003</v>
      </c>
      <c r="BO73" s="19">
        <v>2796.0040000000004</v>
      </c>
      <c r="BP73" s="19">
        <v>3024.3710000000001</v>
      </c>
      <c r="BQ73" s="19" t="s">
        <v>121</v>
      </c>
      <c r="BR73" s="19" t="s">
        <v>121</v>
      </c>
      <c r="BS73" s="19" t="s">
        <v>121</v>
      </c>
      <c r="BT73" s="19" t="s">
        <v>121</v>
      </c>
      <c r="BU73" s="19" t="s">
        <v>121</v>
      </c>
      <c r="BV73" s="19" t="s">
        <v>121</v>
      </c>
      <c r="BW73" s="19" t="s">
        <v>121</v>
      </c>
      <c r="BX73" s="19" t="s">
        <v>121</v>
      </c>
      <c r="BY73" s="19" t="s">
        <v>121</v>
      </c>
      <c r="BZ73" s="19" t="s">
        <v>121</v>
      </c>
      <c r="CA73" s="19" t="s">
        <v>121</v>
      </c>
      <c r="CB73" s="19" t="s">
        <v>121</v>
      </c>
      <c r="CC73" s="19" t="s">
        <v>121</v>
      </c>
      <c r="CD73" s="19" t="s">
        <v>121</v>
      </c>
      <c r="CE73" s="19" t="s">
        <v>121</v>
      </c>
      <c r="CF73" s="19" t="s">
        <v>121</v>
      </c>
      <c r="CG73" s="19" t="s">
        <v>121</v>
      </c>
      <c r="CH73" s="19" t="s">
        <v>121</v>
      </c>
      <c r="CI73" s="19" t="s">
        <v>121</v>
      </c>
      <c r="CJ73" s="19" t="s">
        <v>121</v>
      </c>
      <c r="CK73" s="19" t="s">
        <v>121</v>
      </c>
      <c r="CL73" s="19" t="s">
        <v>121</v>
      </c>
      <c r="CM73" s="19" t="s">
        <v>121</v>
      </c>
      <c r="CN73" s="19" t="s">
        <v>121</v>
      </c>
      <c r="CO73" s="19" t="s">
        <v>121</v>
      </c>
      <c r="CP73" s="19" t="s">
        <v>121</v>
      </c>
      <c r="CQ73" s="19" t="s">
        <v>121</v>
      </c>
      <c r="CR73" s="19" t="s">
        <v>121</v>
      </c>
      <c r="CS73" s="19" t="s">
        <v>121</v>
      </c>
      <c r="CT73" s="19" t="s">
        <v>121</v>
      </c>
      <c r="CU73" s="19" t="s">
        <v>121</v>
      </c>
      <c r="CV73" s="19" t="s">
        <v>121</v>
      </c>
      <c r="CW73" s="19" t="s">
        <v>121</v>
      </c>
      <c r="CX73" s="19" t="s">
        <v>121</v>
      </c>
      <c r="CY73" s="19" t="s">
        <v>121</v>
      </c>
      <c r="CZ73" s="19" t="s">
        <v>121</v>
      </c>
      <c r="DA73" s="19" t="s">
        <v>121</v>
      </c>
      <c r="DB73" s="19" t="s">
        <v>121</v>
      </c>
      <c r="DC73" s="19" t="s">
        <v>121</v>
      </c>
      <c r="DD73" s="19" t="s">
        <v>121</v>
      </c>
      <c r="DE73" s="19" t="s">
        <v>121</v>
      </c>
      <c r="DF73" s="19" t="s">
        <v>121</v>
      </c>
      <c r="DG73" s="19" t="s">
        <v>121</v>
      </c>
      <c r="DH73" s="19" t="s">
        <v>121</v>
      </c>
      <c r="DI73" s="19" t="s">
        <v>121</v>
      </c>
      <c r="DJ73" s="19" t="s">
        <v>121</v>
      </c>
      <c r="DK73" s="19" t="s">
        <v>121</v>
      </c>
      <c r="DL73" s="19" t="s">
        <v>121</v>
      </c>
      <c r="DM73" s="19" t="s">
        <v>121</v>
      </c>
      <c r="DN73" s="19" t="s">
        <v>121</v>
      </c>
      <c r="DO73" s="19" t="s">
        <v>121</v>
      </c>
      <c r="DP73" s="19" t="s">
        <v>121</v>
      </c>
      <c r="DQ73" s="19" t="s">
        <v>121</v>
      </c>
      <c r="DR73" s="19" t="s">
        <v>121</v>
      </c>
      <c r="DS73" s="19" t="s">
        <v>121</v>
      </c>
      <c r="DT73" s="19" t="s">
        <v>121</v>
      </c>
      <c r="DU73" s="19" t="s">
        <v>121</v>
      </c>
      <c r="DV73" s="19" t="s">
        <v>121</v>
      </c>
      <c r="DW73" s="19" t="s">
        <v>121</v>
      </c>
      <c r="DX73" s="19" t="s">
        <v>121</v>
      </c>
      <c r="DY73" s="19" t="s">
        <v>121</v>
      </c>
      <c r="DZ73" s="19" t="s">
        <v>121</v>
      </c>
      <c r="EA73" s="19" t="s">
        <v>121</v>
      </c>
      <c r="EB73" s="19" t="s">
        <v>121</v>
      </c>
      <c r="EC73" s="19" t="s">
        <v>121</v>
      </c>
      <c r="ED73" s="19" t="s">
        <v>121</v>
      </c>
      <c r="EE73" s="19" t="s">
        <v>121</v>
      </c>
      <c r="EF73" s="19" t="s">
        <v>121</v>
      </c>
      <c r="EG73" s="19" t="s">
        <v>121</v>
      </c>
      <c r="EH73" s="19" t="s">
        <v>121</v>
      </c>
      <c r="EI73" s="19" t="s">
        <v>121</v>
      </c>
      <c r="EJ73" s="19" t="s">
        <v>121</v>
      </c>
      <c r="EK73" s="19" t="s">
        <v>121</v>
      </c>
      <c r="EL73" s="19" t="s">
        <v>121</v>
      </c>
      <c r="EM73" s="19" t="s">
        <v>121</v>
      </c>
      <c r="EN73" s="19" t="s">
        <v>121</v>
      </c>
      <c r="EO73" s="19" t="s">
        <v>121</v>
      </c>
      <c r="EP73" s="19" t="s">
        <v>121</v>
      </c>
      <c r="EQ73" s="19" t="s">
        <v>121</v>
      </c>
      <c r="ER73" s="19" t="s">
        <v>121</v>
      </c>
      <c r="ES73" s="19" t="s">
        <v>121</v>
      </c>
      <c r="ET73" s="19" t="s">
        <v>121</v>
      </c>
      <c r="EU73" s="19" t="s">
        <v>121</v>
      </c>
      <c r="EV73" s="19" t="s">
        <v>121</v>
      </c>
      <c r="EW73" s="19" t="s">
        <v>121</v>
      </c>
      <c r="EX73" s="19" t="s">
        <v>121</v>
      </c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</row>
    <row r="74" spans="1:168" s="25" customFormat="1" ht="26.1" customHeight="1" x14ac:dyDescent="0.25">
      <c r="A74" s="72">
        <v>74</v>
      </c>
      <c r="B74" s="30" t="s">
        <v>413</v>
      </c>
      <c r="C74" s="91">
        <v>-0.25974254981484746</v>
      </c>
      <c r="D74" s="86" t="s">
        <v>121</v>
      </c>
      <c r="E74" s="92">
        <v>6.0792580101180436</v>
      </c>
      <c r="F74" s="22">
        <v>-4198</v>
      </c>
      <c r="G74" s="22">
        <v>-5671</v>
      </c>
      <c r="H74" s="22">
        <v>78</v>
      </c>
      <c r="I74" s="22">
        <v>-1634</v>
      </c>
      <c r="J74" s="22">
        <v>-593</v>
      </c>
      <c r="K74" s="22">
        <v>-2868</v>
      </c>
      <c r="L74" s="22">
        <v>-189</v>
      </c>
      <c r="M74" s="22">
        <v>-240</v>
      </c>
      <c r="N74" s="22">
        <v>167</v>
      </c>
      <c r="O74" s="22">
        <v>706</v>
      </c>
      <c r="P74" s="22">
        <v>3691</v>
      </c>
      <c r="Q74" s="405"/>
      <c r="R74" s="405"/>
      <c r="S74" s="405"/>
      <c r="T74" s="405"/>
      <c r="U74" s="22">
        <v>15</v>
      </c>
      <c r="V74" s="22">
        <v>-1074</v>
      </c>
      <c r="W74" s="22">
        <v>-1987</v>
      </c>
      <c r="X74" s="22">
        <v>-2112</v>
      </c>
      <c r="Y74" s="22">
        <v>-1772.652</v>
      </c>
      <c r="Z74" s="22">
        <v>-2010.3900000000003</v>
      </c>
      <c r="AA74" s="255">
        <v>-2468.2029999999995</v>
      </c>
      <c r="AB74" s="22">
        <v>-2599.7550000000001</v>
      </c>
      <c r="AC74" s="22">
        <v>-2067.6780000000008</v>
      </c>
      <c r="AD74" s="22">
        <v>-1772.2189999999996</v>
      </c>
      <c r="AE74" s="255">
        <v>-1596.0529999999999</v>
      </c>
      <c r="AF74" s="22">
        <v>-2219.3290000000002</v>
      </c>
      <c r="AG74" s="22">
        <v>-1809.9039999999995</v>
      </c>
      <c r="AH74" s="22">
        <v>-2234.152</v>
      </c>
      <c r="AI74" s="22">
        <v>-1910.8509999999999</v>
      </c>
      <c r="AJ74" s="22">
        <v>-1758.6980000000001</v>
      </c>
      <c r="AK74" s="22">
        <v>-2358.2900000000009</v>
      </c>
      <c r="AL74" s="22">
        <v>-2013.4110000000001</v>
      </c>
      <c r="AM74" s="22">
        <v>-2548.1439999999998</v>
      </c>
      <c r="AN74" s="22">
        <v>-2654.989</v>
      </c>
      <c r="AO74" s="22">
        <v>-3098.2240000000002</v>
      </c>
      <c r="AP74" s="22">
        <v>-3260.5619999999999</v>
      </c>
      <c r="AQ74" s="22">
        <v>-3189.2289999999998</v>
      </c>
      <c r="AR74" s="22">
        <v>-2942.0909999999999</v>
      </c>
      <c r="AS74" s="22">
        <v>-3412.7919999999999</v>
      </c>
      <c r="AT74" s="22">
        <v>-3286.4330000000009</v>
      </c>
      <c r="AU74" s="22">
        <v>-3039.2029999999995</v>
      </c>
      <c r="AV74" s="22">
        <v>-2554.7150000000001</v>
      </c>
      <c r="AW74" s="22">
        <v>-2911.1719999999996</v>
      </c>
      <c r="AX74" s="22">
        <v>-1601.5300000000002</v>
      </c>
      <c r="AY74" s="22">
        <v>-1557.896</v>
      </c>
      <c r="AZ74" s="22">
        <v>-1215.3109999999999</v>
      </c>
      <c r="BA74" s="63">
        <v>-1158.9870000000001</v>
      </c>
      <c r="BB74" s="22">
        <v>-1100.6180000000002</v>
      </c>
      <c r="BC74" s="22">
        <v>-1145.6609999999998</v>
      </c>
      <c r="BD74" s="22">
        <v>-1089.8030000000001</v>
      </c>
      <c r="BE74" s="22">
        <v>-1470.5140000000001</v>
      </c>
      <c r="BF74" s="22">
        <v>-1612.1659999999999</v>
      </c>
      <c r="BG74" s="22">
        <v>-1539.492</v>
      </c>
      <c r="BH74" s="22">
        <v>-1767.7650000000001</v>
      </c>
      <c r="BI74" s="22">
        <v>-1819.1389999999999</v>
      </c>
      <c r="BJ74" s="22">
        <v>-720.80499999999995</v>
      </c>
      <c r="BK74" s="22">
        <v>-220.983</v>
      </c>
      <c r="BL74" s="22">
        <v>-741.97199999999998</v>
      </c>
      <c r="BM74" s="25">
        <v>477.35199999999998</v>
      </c>
      <c r="BN74" s="25">
        <v>-997.85900000000004</v>
      </c>
      <c r="BO74" s="25">
        <v>-1185.1769999999999</v>
      </c>
      <c r="BP74" s="25">
        <v>-2779.527</v>
      </c>
      <c r="BQ74" s="25" t="s">
        <v>121</v>
      </c>
      <c r="BR74" s="25" t="s">
        <v>121</v>
      </c>
      <c r="BS74" s="25" t="s">
        <v>121</v>
      </c>
      <c r="BT74" s="25" t="s">
        <v>121</v>
      </c>
      <c r="BU74" s="25" t="s">
        <v>121</v>
      </c>
      <c r="BV74" s="25" t="s">
        <v>121</v>
      </c>
      <c r="BW74" s="25" t="s">
        <v>121</v>
      </c>
      <c r="BX74" s="25" t="s">
        <v>121</v>
      </c>
      <c r="BY74" s="25" t="s">
        <v>121</v>
      </c>
      <c r="BZ74" s="25" t="s">
        <v>121</v>
      </c>
      <c r="CA74" s="25" t="s">
        <v>121</v>
      </c>
      <c r="CB74" s="25" t="s">
        <v>121</v>
      </c>
      <c r="CC74" s="25" t="s">
        <v>121</v>
      </c>
      <c r="CD74" s="25" t="s">
        <v>121</v>
      </c>
      <c r="CE74" s="25" t="s">
        <v>121</v>
      </c>
      <c r="CF74" s="25" t="s">
        <v>121</v>
      </c>
      <c r="CG74" s="25" t="s">
        <v>121</v>
      </c>
      <c r="CH74" s="25" t="s">
        <v>121</v>
      </c>
      <c r="CI74" s="25" t="s">
        <v>121</v>
      </c>
      <c r="CJ74" s="25" t="s">
        <v>121</v>
      </c>
      <c r="CK74" s="25" t="s">
        <v>121</v>
      </c>
      <c r="CL74" s="25" t="s">
        <v>121</v>
      </c>
      <c r="CM74" s="25" t="s">
        <v>121</v>
      </c>
      <c r="CN74" s="25" t="s">
        <v>121</v>
      </c>
      <c r="CO74" s="25" t="s">
        <v>121</v>
      </c>
      <c r="CP74" s="25" t="s">
        <v>121</v>
      </c>
      <c r="CQ74" s="25" t="s">
        <v>121</v>
      </c>
      <c r="CR74" s="25" t="s">
        <v>121</v>
      </c>
      <c r="CS74" s="25" t="s">
        <v>121</v>
      </c>
      <c r="CT74" s="25" t="s">
        <v>121</v>
      </c>
      <c r="CU74" s="25" t="s">
        <v>121</v>
      </c>
      <c r="CV74" s="25" t="s">
        <v>121</v>
      </c>
      <c r="CW74" s="25" t="s">
        <v>121</v>
      </c>
      <c r="CX74" s="25" t="s">
        <v>121</v>
      </c>
      <c r="CY74" s="25" t="s">
        <v>121</v>
      </c>
      <c r="CZ74" s="25" t="s">
        <v>121</v>
      </c>
      <c r="DA74" s="25" t="s">
        <v>121</v>
      </c>
      <c r="DB74" s="25" t="s">
        <v>121</v>
      </c>
      <c r="DC74" s="25" t="s">
        <v>121</v>
      </c>
      <c r="DD74" s="25" t="s">
        <v>121</v>
      </c>
      <c r="DE74" s="25" t="s">
        <v>121</v>
      </c>
      <c r="DF74" s="25" t="s">
        <v>121</v>
      </c>
      <c r="DG74" s="25" t="s">
        <v>121</v>
      </c>
      <c r="DH74" s="25" t="s">
        <v>121</v>
      </c>
      <c r="DI74" s="25" t="s">
        <v>121</v>
      </c>
      <c r="DJ74" s="25" t="s">
        <v>121</v>
      </c>
      <c r="DK74" s="25" t="s">
        <v>121</v>
      </c>
      <c r="DL74" s="25" t="s">
        <v>121</v>
      </c>
      <c r="DM74" s="25" t="s">
        <v>121</v>
      </c>
      <c r="DN74" s="25" t="s">
        <v>121</v>
      </c>
      <c r="DO74" s="25" t="s">
        <v>121</v>
      </c>
      <c r="DP74" s="25" t="s">
        <v>121</v>
      </c>
      <c r="DQ74" s="25" t="s">
        <v>121</v>
      </c>
      <c r="DR74" s="25" t="s">
        <v>121</v>
      </c>
      <c r="DS74" s="25" t="s">
        <v>121</v>
      </c>
      <c r="DT74" s="25" t="s">
        <v>121</v>
      </c>
      <c r="DU74" s="25" t="s">
        <v>121</v>
      </c>
      <c r="DV74" s="25" t="s">
        <v>121</v>
      </c>
      <c r="DW74" s="25" t="s">
        <v>121</v>
      </c>
      <c r="DX74" s="25" t="s">
        <v>121</v>
      </c>
      <c r="DY74" s="25" t="s">
        <v>121</v>
      </c>
      <c r="DZ74" s="25" t="s">
        <v>121</v>
      </c>
      <c r="EA74" s="25" t="s">
        <v>121</v>
      </c>
      <c r="EB74" s="25" t="s">
        <v>121</v>
      </c>
      <c r="EC74" s="25" t="s">
        <v>121</v>
      </c>
      <c r="ED74" s="25" t="s">
        <v>121</v>
      </c>
      <c r="EE74" s="25" t="s">
        <v>121</v>
      </c>
      <c r="EF74" s="25" t="s">
        <v>121</v>
      </c>
      <c r="EG74" s="25" t="s">
        <v>121</v>
      </c>
      <c r="EH74" s="25" t="s">
        <v>121</v>
      </c>
      <c r="EI74" s="25" t="s">
        <v>121</v>
      </c>
      <c r="EJ74" s="25" t="s">
        <v>121</v>
      </c>
      <c r="EK74" s="25" t="s">
        <v>121</v>
      </c>
      <c r="EL74" s="25" t="s">
        <v>121</v>
      </c>
      <c r="EM74" s="25" t="s">
        <v>121</v>
      </c>
      <c r="EN74" s="25" t="s">
        <v>121</v>
      </c>
      <c r="EO74" s="25" t="s">
        <v>121</v>
      </c>
      <c r="EP74" s="25" t="s">
        <v>121</v>
      </c>
      <c r="EQ74" s="25" t="s">
        <v>121</v>
      </c>
      <c r="ER74" s="25" t="s">
        <v>121</v>
      </c>
      <c r="ES74" s="25" t="s">
        <v>121</v>
      </c>
      <c r="ET74" s="25" t="s">
        <v>121</v>
      </c>
      <c r="EU74" s="25" t="s">
        <v>121</v>
      </c>
      <c r="EV74" s="25" t="s">
        <v>121</v>
      </c>
      <c r="EW74" s="25" t="s">
        <v>121</v>
      </c>
      <c r="EX74" s="25" t="s">
        <v>121</v>
      </c>
    </row>
    <row r="75" spans="1:168" s="25" customFormat="1" ht="26.1" customHeight="1" x14ac:dyDescent="0.25">
      <c r="A75" s="72">
        <v>75</v>
      </c>
      <c r="B75" s="360" t="s">
        <v>414</v>
      </c>
      <c r="C75" s="91" t="s">
        <v>121</v>
      </c>
      <c r="D75" s="86" t="s">
        <v>121</v>
      </c>
      <c r="E75" s="92" t="s">
        <v>121</v>
      </c>
      <c r="F75" s="22">
        <v>-4195</v>
      </c>
      <c r="G75" s="22">
        <v>-5675</v>
      </c>
      <c r="H75" s="22">
        <v>72</v>
      </c>
      <c r="I75" s="22">
        <v>-1598</v>
      </c>
      <c r="J75" s="22">
        <v>-1017</v>
      </c>
      <c r="K75" s="22">
        <v>-2888</v>
      </c>
      <c r="L75" s="22">
        <v>-192</v>
      </c>
      <c r="M75" s="22">
        <v>-276</v>
      </c>
      <c r="N75" s="22">
        <v>171.90700000000015</v>
      </c>
      <c r="O75" s="22">
        <v>607.09299999999985</v>
      </c>
      <c r="P75" s="22">
        <v>3834</v>
      </c>
      <c r="Q75" s="405"/>
      <c r="R75" s="405"/>
      <c r="S75" s="405"/>
      <c r="T75" s="405"/>
      <c r="U75" s="22">
        <v>435</v>
      </c>
      <c r="V75" s="22">
        <v>-1081</v>
      </c>
      <c r="W75" s="22">
        <v>-1996</v>
      </c>
      <c r="X75" s="22">
        <v>-2118</v>
      </c>
      <c r="Y75" s="22">
        <v>-1788.942</v>
      </c>
      <c r="Z75" s="22">
        <v>-2006.8050000000003</v>
      </c>
      <c r="AA75" s="255">
        <v>-2468.9649999999997</v>
      </c>
      <c r="AB75" s="22">
        <v>-2577.288</v>
      </c>
      <c r="AC75" s="22">
        <v>-2069.009</v>
      </c>
      <c r="AD75" s="22">
        <v>-1773.1110000000003</v>
      </c>
      <c r="AE75" s="255">
        <v>-1593.6219999999998</v>
      </c>
      <c r="AF75" s="22">
        <v>-2268.7809999999999</v>
      </c>
      <c r="AG75" s="22">
        <v>-1834.2190000000001</v>
      </c>
      <c r="AH75" s="22">
        <v>-2234.152</v>
      </c>
      <c r="AI75" s="22">
        <v>-1910.8509999999999</v>
      </c>
      <c r="AJ75" s="22">
        <v>-1758.6980000000001</v>
      </c>
      <c r="AK75" s="22">
        <v>-2358.2900000000009</v>
      </c>
      <c r="AL75" s="22">
        <v>-2013.4110000000001</v>
      </c>
      <c r="AM75" s="22">
        <v>-2548.1439999999998</v>
      </c>
      <c r="AN75" s="22">
        <v>-2654.989</v>
      </c>
      <c r="AO75" s="22">
        <v>-3098.2240000000002</v>
      </c>
      <c r="AP75" s="22">
        <v>-3260.5619999999999</v>
      </c>
      <c r="AQ75" s="22">
        <v>-3189.2289999999998</v>
      </c>
      <c r="AR75" s="22">
        <v>-2942.0909999999999</v>
      </c>
      <c r="AS75" s="22">
        <v>-3412.7919999999999</v>
      </c>
      <c r="AT75" s="22">
        <v>-3286.4330000000009</v>
      </c>
      <c r="AU75" s="22">
        <v>-3039.2029999999995</v>
      </c>
      <c r="AV75" s="22">
        <v>-2554.7150000000001</v>
      </c>
      <c r="AW75" s="22">
        <v>-2911.1719999999996</v>
      </c>
      <c r="AX75" s="22">
        <v>-1601.5300000000002</v>
      </c>
      <c r="AY75" s="22">
        <v>-1557.896</v>
      </c>
      <c r="AZ75" s="22">
        <v>-1215.3109999999999</v>
      </c>
      <c r="BA75" s="63">
        <v>-1158.9870000000001</v>
      </c>
      <c r="BB75" s="22">
        <v>-1100.6180000000002</v>
      </c>
      <c r="BC75" s="22">
        <v>-1145.6609999999998</v>
      </c>
      <c r="BD75" s="22">
        <v>-1089.8030000000001</v>
      </c>
      <c r="BE75" s="22">
        <v>-1470.5140000000001</v>
      </c>
      <c r="BF75" s="22">
        <v>-1612.1659999999999</v>
      </c>
      <c r="BG75" s="22">
        <v>-1539.492</v>
      </c>
      <c r="BH75" s="22">
        <v>-1767.7650000000001</v>
      </c>
      <c r="BI75" s="22">
        <v>-1819.1389999999999</v>
      </c>
      <c r="BJ75" s="22">
        <v>-720.80499999999995</v>
      </c>
      <c r="BK75" s="22">
        <v>-220.983</v>
      </c>
      <c r="BL75" s="22">
        <v>-741.97199999999998</v>
      </c>
      <c r="BM75" s="25">
        <v>477.35199999999998</v>
      </c>
      <c r="BN75" s="25">
        <v>-997.85900000000004</v>
      </c>
      <c r="BO75" s="25">
        <v>-1185.1769999999999</v>
      </c>
      <c r="BP75" s="25">
        <v>-2779.527</v>
      </c>
      <c r="BQ75" s="25" t="s">
        <v>121</v>
      </c>
      <c r="BR75" s="25" t="s">
        <v>121</v>
      </c>
      <c r="BS75" s="25" t="s">
        <v>121</v>
      </c>
      <c r="BT75" s="25" t="s">
        <v>121</v>
      </c>
      <c r="BU75" s="25" t="s">
        <v>121</v>
      </c>
      <c r="BV75" s="25" t="s">
        <v>121</v>
      </c>
      <c r="BW75" s="25" t="s">
        <v>121</v>
      </c>
      <c r="BX75" s="25" t="s">
        <v>121</v>
      </c>
      <c r="BY75" s="25" t="s">
        <v>121</v>
      </c>
      <c r="BZ75" s="25" t="s">
        <v>121</v>
      </c>
      <c r="CA75" s="25" t="s">
        <v>121</v>
      </c>
      <c r="CB75" s="25" t="s">
        <v>121</v>
      </c>
      <c r="CC75" s="25" t="s">
        <v>121</v>
      </c>
      <c r="CD75" s="25" t="s">
        <v>121</v>
      </c>
      <c r="CE75" s="25" t="s">
        <v>121</v>
      </c>
      <c r="CF75" s="25" t="s">
        <v>121</v>
      </c>
      <c r="CG75" s="25" t="s">
        <v>121</v>
      </c>
      <c r="CH75" s="25" t="s">
        <v>121</v>
      </c>
      <c r="CI75" s="25" t="s">
        <v>121</v>
      </c>
      <c r="CJ75" s="25" t="s">
        <v>121</v>
      </c>
      <c r="CK75" s="25" t="s">
        <v>121</v>
      </c>
      <c r="CL75" s="25" t="s">
        <v>121</v>
      </c>
      <c r="CM75" s="25" t="s">
        <v>121</v>
      </c>
      <c r="CN75" s="25" t="s">
        <v>121</v>
      </c>
      <c r="CO75" s="25" t="s">
        <v>121</v>
      </c>
      <c r="CP75" s="25" t="s">
        <v>121</v>
      </c>
      <c r="CQ75" s="25" t="s">
        <v>121</v>
      </c>
      <c r="CR75" s="25" t="s">
        <v>121</v>
      </c>
      <c r="CS75" s="25" t="s">
        <v>121</v>
      </c>
      <c r="CT75" s="25" t="s">
        <v>121</v>
      </c>
      <c r="CU75" s="25" t="s">
        <v>121</v>
      </c>
      <c r="CV75" s="25" t="s">
        <v>121</v>
      </c>
      <c r="CW75" s="25" t="s">
        <v>121</v>
      </c>
      <c r="CX75" s="25" t="s">
        <v>121</v>
      </c>
      <c r="CY75" s="25" t="s">
        <v>121</v>
      </c>
      <c r="CZ75" s="25" t="s">
        <v>121</v>
      </c>
      <c r="DA75" s="25" t="s">
        <v>121</v>
      </c>
      <c r="DB75" s="25" t="s">
        <v>121</v>
      </c>
      <c r="DC75" s="25" t="s">
        <v>121</v>
      </c>
      <c r="DD75" s="25" t="s">
        <v>121</v>
      </c>
      <c r="DE75" s="25" t="s">
        <v>121</v>
      </c>
      <c r="DF75" s="25" t="s">
        <v>121</v>
      </c>
      <c r="DG75" s="25" t="s">
        <v>121</v>
      </c>
      <c r="DH75" s="25" t="s">
        <v>121</v>
      </c>
      <c r="DI75" s="25" t="s">
        <v>121</v>
      </c>
      <c r="DJ75" s="25" t="s">
        <v>121</v>
      </c>
      <c r="DK75" s="25" t="s">
        <v>121</v>
      </c>
      <c r="DL75" s="25" t="s">
        <v>121</v>
      </c>
      <c r="DM75" s="25" t="s">
        <v>121</v>
      </c>
      <c r="DN75" s="25" t="s">
        <v>121</v>
      </c>
      <c r="DO75" s="25" t="s">
        <v>121</v>
      </c>
      <c r="DP75" s="25" t="s">
        <v>121</v>
      </c>
      <c r="DQ75" s="25" t="s">
        <v>121</v>
      </c>
      <c r="DR75" s="25" t="s">
        <v>121</v>
      </c>
      <c r="DS75" s="25" t="s">
        <v>121</v>
      </c>
      <c r="DT75" s="25" t="s">
        <v>121</v>
      </c>
      <c r="DU75" s="25" t="s">
        <v>121</v>
      </c>
      <c r="DV75" s="25" t="s">
        <v>121</v>
      </c>
      <c r="DW75" s="25" t="s">
        <v>121</v>
      </c>
      <c r="DX75" s="25" t="s">
        <v>121</v>
      </c>
      <c r="DY75" s="25" t="s">
        <v>121</v>
      </c>
      <c r="DZ75" s="25" t="s">
        <v>121</v>
      </c>
      <c r="EA75" s="25" t="s">
        <v>121</v>
      </c>
      <c r="EB75" s="25" t="s">
        <v>121</v>
      </c>
      <c r="EC75" s="25" t="s">
        <v>121</v>
      </c>
      <c r="ED75" s="25" t="s">
        <v>121</v>
      </c>
      <c r="EE75" s="25" t="s">
        <v>121</v>
      </c>
      <c r="EF75" s="25" t="s">
        <v>121</v>
      </c>
      <c r="EG75" s="25" t="s">
        <v>121</v>
      </c>
      <c r="EH75" s="25" t="s">
        <v>121</v>
      </c>
      <c r="EI75" s="25" t="s">
        <v>121</v>
      </c>
      <c r="EJ75" s="25" t="s">
        <v>121</v>
      </c>
      <c r="EK75" s="25" t="s">
        <v>121</v>
      </c>
      <c r="EL75" s="25" t="s">
        <v>121</v>
      </c>
      <c r="EM75" s="25" t="s">
        <v>121</v>
      </c>
      <c r="EN75" s="25" t="s">
        <v>121</v>
      </c>
      <c r="EO75" s="25" t="s">
        <v>121</v>
      </c>
      <c r="EP75" s="25" t="s">
        <v>121</v>
      </c>
      <c r="EQ75" s="25" t="s">
        <v>121</v>
      </c>
      <c r="ER75" s="25" t="s">
        <v>121</v>
      </c>
      <c r="ES75" s="25" t="s">
        <v>121</v>
      </c>
      <c r="ET75" s="25" t="s">
        <v>121</v>
      </c>
      <c r="EU75" s="25" t="s">
        <v>121</v>
      </c>
      <c r="EV75" s="25" t="s">
        <v>121</v>
      </c>
      <c r="EW75" s="25" t="s">
        <v>121</v>
      </c>
      <c r="EX75" s="25" t="s">
        <v>121</v>
      </c>
    </row>
    <row r="76" spans="1:168" s="66" customFormat="1" ht="15" customHeight="1" x14ac:dyDescent="0.25">
      <c r="A76" s="72">
        <v>76</v>
      </c>
      <c r="B76" s="29" t="s">
        <v>415</v>
      </c>
      <c r="C76" s="91">
        <v>0.11662208083291148</v>
      </c>
      <c r="D76" s="86" t="s">
        <v>121</v>
      </c>
      <c r="E76" s="94">
        <v>-7.8025192525819409E-2</v>
      </c>
      <c r="F76" s="65">
        <v>15444</v>
      </c>
      <c r="G76" s="65">
        <v>13831</v>
      </c>
      <c r="H76" s="65">
        <v>20006</v>
      </c>
      <c r="I76" s="65">
        <v>17713</v>
      </c>
      <c r="J76" s="65">
        <v>16751</v>
      </c>
      <c r="K76" s="65">
        <v>13796</v>
      </c>
      <c r="L76" s="65">
        <v>17013</v>
      </c>
      <c r="M76" s="65">
        <v>15837</v>
      </c>
      <c r="N76" s="65">
        <v>12827</v>
      </c>
      <c r="O76" s="65">
        <v>11592</v>
      </c>
      <c r="P76" s="65">
        <v>14900</v>
      </c>
      <c r="Q76" s="405"/>
      <c r="R76" s="405"/>
      <c r="S76" s="405"/>
      <c r="T76" s="405"/>
      <c r="U76" s="65">
        <v>7969</v>
      </c>
      <c r="V76" s="65">
        <v>5983</v>
      </c>
      <c r="W76" s="65">
        <v>5447</v>
      </c>
      <c r="X76" s="65">
        <v>4354</v>
      </c>
      <c r="Y76" s="65">
        <v>5417.7610000000004</v>
      </c>
      <c r="Z76" s="65">
        <v>4030.0339999999987</v>
      </c>
      <c r="AA76" s="256">
        <v>3589.3550000000014</v>
      </c>
      <c r="AB76" s="65">
        <v>3635.8499999999995</v>
      </c>
      <c r="AC76" s="65">
        <v>4299.6570000000011</v>
      </c>
      <c r="AD76" s="65">
        <v>4084.1540000000041</v>
      </c>
      <c r="AE76" s="65">
        <v>3725.3169999999986</v>
      </c>
      <c r="AF76" s="65">
        <v>3517.0620000000004</v>
      </c>
      <c r="AG76" s="65">
        <v>4255.8980000000047</v>
      </c>
      <c r="AH76" s="65">
        <v>3285.2969999999959</v>
      </c>
      <c r="AI76" s="65">
        <v>3345.3209999999999</v>
      </c>
      <c r="AJ76" s="65">
        <v>3295.1439999999993</v>
      </c>
      <c r="AK76" s="65">
        <v>3357.6789999999937</v>
      </c>
      <c r="AL76" s="65">
        <v>3134.8890000000019</v>
      </c>
      <c r="AM76" s="65">
        <v>1791.5089999999987</v>
      </c>
      <c r="AN76" s="65">
        <v>1798.610000000001</v>
      </c>
      <c r="AO76" s="65">
        <v>2752.387999999999</v>
      </c>
      <c r="AP76" s="65">
        <v>2219.7920000000022</v>
      </c>
      <c r="AQ76" s="65">
        <v>1947.7339999999972</v>
      </c>
      <c r="AR76" s="65">
        <v>1947.5620000000013</v>
      </c>
      <c r="AS76" s="65">
        <v>1578.9540000000011</v>
      </c>
      <c r="AT76" s="65">
        <v>638.57899999999609</v>
      </c>
      <c r="AU76" s="65">
        <v>936.09400000000096</v>
      </c>
      <c r="AV76" s="65">
        <v>1422.9789999999998</v>
      </c>
      <c r="AW76" s="65">
        <v>2485.7190000000037</v>
      </c>
      <c r="AX76" s="20">
        <v>2741.6440000000007</v>
      </c>
      <c r="AY76" s="20">
        <v>2733.8459999999995</v>
      </c>
      <c r="AZ76" s="65">
        <v>2752.5820000000003</v>
      </c>
      <c r="BA76" s="20">
        <v>2545.6340000000023</v>
      </c>
      <c r="BB76" s="20">
        <v>2192.4459999999999</v>
      </c>
      <c r="BC76" s="20">
        <v>1909.0360000000003</v>
      </c>
      <c r="BD76" s="20">
        <v>1800.8369999999998</v>
      </c>
      <c r="BE76" s="20">
        <v>1543.3540000000007</v>
      </c>
      <c r="BF76" s="20">
        <v>1209.2780000000005</v>
      </c>
      <c r="BG76" s="20">
        <v>1409.6839999999995</v>
      </c>
      <c r="BH76" s="20">
        <v>1071.847</v>
      </c>
      <c r="BI76" s="20">
        <v>1385.5909999999997</v>
      </c>
      <c r="BJ76" s="20">
        <v>2751.1499999999996</v>
      </c>
      <c r="BK76" s="20">
        <v>3157.125</v>
      </c>
      <c r="BL76" s="20">
        <v>2525.799</v>
      </c>
      <c r="BM76" s="19">
        <v>3387.7460000000005</v>
      </c>
      <c r="BN76" s="19">
        <v>2040.7320000000004</v>
      </c>
      <c r="BO76" s="19">
        <v>1610.8270000000005</v>
      </c>
      <c r="BP76" s="19">
        <v>244.84400000000005</v>
      </c>
      <c r="BQ76" s="19" t="s">
        <v>121</v>
      </c>
      <c r="BR76" s="19" t="s">
        <v>121</v>
      </c>
      <c r="BS76" s="19" t="s">
        <v>121</v>
      </c>
      <c r="BT76" s="19" t="s">
        <v>121</v>
      </c>
      <c r="BU76" s="19" t="s">
        <v>121</v>
      </c>
      <c r="BV76" s="19" t="s">
        <v>121</v>
      </c>
      <c r="BW76" s="19" t="s">
        <v>121</v>
      </c>
      <c r="BX76" s="19" t="s">
        <v>121</v>
      </c>
      <c r="BY76" s="19" t="s">
        <v>121</v>
      </c>
      <c r="BZ76" s="19" t="s">
        <v>121</v>
      </c>
      <c r="CA76" s="19" t="s">
        <v>121</v>
      </c>
      <c r="CB76" s="19" t="s">
        <v>121</v>
      </c>
      <c r="CC76" s="19" t="s">
        <v>121</v>
      </c>
      <c r="CD76" s="19" t="s">
        <v>121</v>
      </c>
      <c r="CE76" s="19" t="s">
        <v>121</v>
      </c>
      <c r="CF76" s="19" t="s">
        <v>121</v>
      </c>
      <c r="CG76" s="19" t="s">
        <v>121</v>
      </c>
      <c r="CH76" s="19" t="s">
        <v>121</v>
      </c>
      <c r="CI76" s="19" t="s">
        <v>121</v>
      </c>
      <c r="CJ76" s="19" t="s">
        <v>121</v>
      </c>
      <c r="CK76" s="19" t="s">
        <v>121</v>
      </c>
      <c r="CL76" s="19" t="s">
        <v>121</v>
      </c>
      <c r="CM76" s="19" t="s">
        <v>121</v>
      </c>
      <c r="CN76" s="19" t="s">
        <v>121</v>
      </c>
      <c r="CO76" s="19" t="s">
        <v>121</v>
      </c>
      <c r="CP76" s="19" t="s">
        <v>121</v>
      </c>
      <c r="CQ76" s="19" t="s">
        <v>121</v>
      </c>
      <c r="CR76" s="19" t="s">
        <v>121</v>
      </c>
      <c r="CS76" s="19" t="s">
        <v>121</v>
      </c>
      <c r="CT76" s="19" t="s">
        <v>121</v>
      </c>
      <c r="CU76" s="19" t="s">
        <v>121</v>
      </c>
      <c r="CV76" s="19" t="s">
        <v>121</v>
      </c>
      <c r="CW76" s="19" t="s">
        <v>121</v>
      </c>
      <c r="CX76" s="19" t="s">
        <v>121</v>
      </c>
      <c r="CY76" s="19" t="s">
        <v>121</v>
      </c>
      <c r="CZ76" s="19" t="s">
        <v>121</v>
      </c>
      <c r="DA76" s="19" t="s">
        <v>121</v>
      </c>
      <c r="DB76" s="19" t="s">
        <v>121</v>
      </c>
      <c r="DC76" s="19" t="s">
        <v>121</v>
      </c>
      <c r="DD76" s="19" t="s">
        <v>121</v>
      </c>
      <c r="DE76" s="19" t="s">
        <v>121</v>
      </c>
      <c r="DF76" s="19" t="s">
        <v>121</v>
      </c>
      <c r="DG76" s="19" t="s">
        <v>121</v>
      </c>
      <c r="DH76" s="19" t="s">
        <v>121</v>
      </c>
      <c r="DI76" s="19" t="s">
        <v>121</v>
      </c>
      <c r="DJ76" s="19" t="s">
        <v>121</v>
      </c>
      <c r="DK76" s="19" t="s">
        <v>121</v>
      </c>
      <c r="DL76" s="19" t="s">
        <v>121</v>
      </c>
      <c r="DM76" s="19" t="s">
        <v>121</v>
      </c>
      <c r="DN76" s="19" t="s">
        <v>121</v>
      </c>
      <c r="DO76" s="19" t="s">
        <v>121</v>
      </c>
      <c r="DP76" s="19" t="s">
        <v>121</v>
      </c>
      <c r="DQ76" s="19" t="s">
        <v>121</v>
      </c>
      <c r="DR76" s="19" t="s">
        <v>121</v>
      </c>
      <c r="DS76" s="19" t="s">
        <v>121</v>
      </c>
      <c r="DT76" s="19" t="s">
        <v>121</v>
      </c>
      <c r="DU76" s="19" t="s">
        <v>121</v>
      </c>
      <c r="DV76" s="19" t="s">
        <v>121</v>
      </c>
      <c r="DW76" s="19" t="s">
        <v>121</v>
      </c>
      <c r="DX76" s="19" t="s">
        <v>121</v>
      </c>
      <c r="DY76" s="19" t="s">
        <v>121</v>
      </c>
      <c r="DZ76" s="19" t="s">
        <v>121</v>
      </c>
      <c r="EA76" s="19" t="s">
        <v>121</v>
      </c>
      <c r="EB76" s="19" t="s">
        <v>121</v>
      </c>
      <c r="EC76" s="19" t="s">
        <v>121</v>
      </c>
      <c r="ED76" s="19" t="s">
        <v>121</v>
      </c>
      <c r="EE76" s="19" t="s">
        <v>121</v>
      </c>
      <c r="EF76" s="19" t="s">
        <v>121</v>
      </c>
      <c r="EG76" s="19" t="s">
        <v>121</v>
      </c>
      <c r="EH76" s="19" t="s">
        <v>121</v>
      </c>
      <c r="EI76" s="19" t="s">
        <v>121</v>
      </c>
      <c r="EJ76" s="19" t="s">
        <v>121</v>
      </c>
      <c r="EK76" s="19" t="s">
        <v>121</v>
      </c>
      <c r="EL76" s="19" t="s">
        <v>121</v>
      </c>
      <c r="EM76" s="19" t="s">
        <v>121</v>
      </c>
      <c r="EN76" s="19" t="s">
        <v>121</v>
      </c>
      <c r="EO76" s="19" t="s">
        <v>121</v>
      </c>
      <c r="EP76" s="19" t="s">
        <v>121</v>
      </c>
      <c r="EQ76" s="19" t="s">
        <v>121</v>
      </c>
      <c r="ER76" s="19" t="s">
        <v>121</v>
      </c>
      <c r="ES76" s="19" t="s">
        <v>121</v>
      </c>
      <c r="ET76" s="19" t="s">
        <v>121</v>
      </c>
      <c r="EU76" s="19" t="s">
        <v>121</v>
      </c>
      <c r="EV76" s="19" t="s">
        <v>121</v>
      </c>
      <c r="EW76" s="19" t="s">
        <v>121</v>
      </c>
      <c r="EX76" s="19" t="s">
        <v>121</v>
      </c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</row>
    <row r="77" spans="1:168" s="390" customFormat="1" ht="41.45" customHeight="1" x14ac:dyDescent="0.2">
      <c r="A77" s="388">
        <v>77</v>
      </c>
      <c r="B77" s="371" t="s">
        <v>93</v>
      </c>
      <c r="C77" s="372" t="s">
        <v>121</v>
      </c>
      <c r="D77" s="373" t="s">
        <v>121</v>
      </c>
      <c r="E77" s="374" t="s">
        <v>121</v>
      </c>
      <c r="F77" s="389">
        <v>-434</v>
      </c>
      <c r="G77" s="389">
        <v>811</v>
      </c>
      <c r="H77" s="389">
        <v>-126</v>
      </c>
      <c r="I77" s="389">
        <v>-814</v>
      </c>
      <c r="J77" s="389">
        <v>-863</v>
      </c>
      <c r="K77" s="389">
        <v>-280</v>
      </c>
      <c r="L77" s="389">
        <v>-169</v>
      </c>
      <c r="M77" s="389">
        <v>-1021</v>
      </c>
      <c r="N77" s="389">
        <v>-687</v>
      </c>
      <c r="O77" s="389">
        <v>205</v>
      </c>
      <c r="P77" s="389">
        <v>1376</v>
      </c>
      <c r="Q77" s="405"/>
      <c r="R77" s="405"/>
      <c r="S77" s="405"/>
      <c r="T77" s="405"/>
      <c r="U77" s="389">
        <v>-76</v>
      </c>
      <c r="V77" s="389">
        <v>-102</v>
      </c>
      <c r="W77" s="389">
        <v>-30</v>
      </c>
      <c r="X77" s="389">
        <v>-216</v>
      </c>
      <c r="Y77" s="389">
        <v>-82.72</v>
      </c>
      <c r="Z77" s="389">
        <v>-79.285999999999987</v>
      </c>
      <c r="AA77" s="389">
        <v>-56.425000000000011</v>
      </c>
      <c r="AB77" s="389">
        <v>-66.569000000000003</v>
      </c>
      <c r="AC77" s="389">
        <v>-5.3949999999998681</v>
      </c>
      <c r="AD77" s="389">
        <v>-202.6450000000001</v>
      </c>
      <c r="AE77" s="389">
        <v>-407.16200000000003</v>
      </c>
      <c r="AF77" s="389">
        <v>-191.52500000000001</v>
      </c>
      <c r="AG77" s="389">
        <v>-509.28099999999972</v>
      </c>
      <c r="AH77" s="389">
        <v>-1196.627</v>
      </c>
      <c r="AI77" s="389">
        <v>-237.77700000000004</v>
      </c>
      <c r="AJ77" s="389">
        <v>-144.77600000000001</v>
      </c>
      <c r="AK77" s="389">
        <v>-124.82000000000001</v>
      </c>
      <c r="AL77" s="389">
        <v>41.492999999999981</v>
      </c>
      <c r="AM77" s="389">
        <v>-30.486999999999981</v>
      </c>
      <c r="AN77" s="389">
        <v>-124.64700000000001</v>
      </c>
      <c r="AO77" s="389">
        <v>354.74399999999991</v>
      </c>
      <c r="AP77" s="389">
        <v>-147.78700000000001</v>
      </c>
      <c r="AQ77" s="389">
        <v>68.93100000000004</v>
      </c>
      <c r="AR77" s="389">
        <v>301.86399999999998</v>
      </c>
      <c r="AS77" s="389">
        <v>794.54499999999996</v>
      </c>
      <c r="AT77" s="389">
        <v>237.89099999999999</v>
      </c>
      <c r="AU77" s="389">
        <v>89.787999999999982</v>
      </c>
      <c r="AV77" s="389">
        <v>-282.96499999999997</v>
      </c>
      <c r="AW77" s="389">
        <v>-2449.6669999999999</v>
      </c>
      <c r="AX77" s="389">
        <v>-726.48700000000008</v>
      </c>
      <c r="AY77" s="389">
        <v>-221.137</v>
      </c>
      <c r="AZ77" s="389">
        <v>-946.41</v>
      </c>
      <c r="BA77" s="389">
        <v>-89.674999999999997</v>
      </c>
      <c r="BB77" s="389">
        <v>-15.095000000000001</v>
      </c>
      <c r="BC77" s="389">
        <v>-215.12899999999999</v>
      </c>
      <c r="BD77" s="389">
        <v>121.86799999999999</v>
      </c>
      <c r="BE77" s="389">
        <v>66.277999999999963</v>
      </c>
      <c r="BF77" s="389">
        <v>271.16500000000002</v>
      </c>
      <c r="BG77" s="389">
        <v>-278.45999999999998</v>
      </c>
      <c r="BH77" s="389">
        <v>77.927999999999997</v>
      </c>
      <c r="BI77" s="389">
        <v>141.42400000000001</v>
      </c>
      <c r="BJ77" s="389">
        <v>-1100.115</v>
      </c>
      <c r="BK77" s="389">
        <v>21.971</v>
      </c>
      <c r="BL77" s="389">
        <v>141.86000000000001</v>
      </c>
      <c r="BM77" s="390">
        <v>-83.525000000000006</v>
      </c>
      <c r="BN77" s="390">
        <v>10.747999999999999</v>
      </c>
      <c r="BO77" s="390">
        <v>-310.07299999999998</v>
      </c>
      <c r="BP77" s="390">
        <v>685.30499999999995</v>
      </c>
      <c r="BQ77" s="390" t="s">
        <v>121</v>
      </c>
      <c r="BR77" s="390" t="s">
        <v>121</v>
      </c>
      <c r="BS77" s="390" t="s">
        <v>121</v>
      </c>
      <c r="BT77" s="390" t="s">
        <v>121</v>
      </c>
      <c r="BU77" s="390" t="s">
        <v>121</v>
      </c>
      <c r="BV77" s="390" t="s">
        <v>121</v>
      </c>
      <c r="BW77" s="390" t="s">
        <v>121</v>
      </c>
      <c r="BX77" s="390" t="s">
        <v>121</v>
      </c>
      <c r="BY77" s="390" t="s">
        <v>121</v>
      </c>
      <c r="BZ77" s="390" t="s">
        <v>121</v>
      </c>
      <c r="CA77" s="390" t="s">
        <v>121</v>
      </c>
      <c r="CB77" s="390" t="s">
        <v>121</v>
      </c>
      <c r="CC77" s="390" t="s">
        <v>121</v>
      </c>
      <c r="CD77" s="390" t="s">
        <v>121</v>
      </c>
      <c r="CE77" s="390" t="s">
        <v>121</v>
      </c>
      <c r="CF77" s="390" t="s">
        <v>121</v>
      </c>
      <c r="CG77" s="390" t="s">
        <v>121</v>
      </c>
      <c r="CH77" s="390" t="s">
        <v>121</v>
      </c>
      <c r="CI77" s="390" t="s">
        <v>121</v>
      </c>
      <c r="CJ77" s="390" t="s">
        <v>121</v>
      </c>
      <c r="CK77" s="390" t="s">
        <v>121</v>
      </c>
      <c r="CL77" s="390" t="s">
        <v>121</v>
      </c>
      <c r="CM77" s="390" t="s">
        <v>121</v>
      </c>
      <c r="CN77" s="390" t="s">
        <v>121</v>
      </c>
      <c r="CO77" s="390" t="s">
        <v>121</v>
      </c>
      <c r="CP77" s="390" t="s">
        <v>121</v>
      </c>
      <c r="CQ77" s="390" t="s">
        <v>121</v>
      </c>
      <c r="CR77" s="390" t="s">
        <v>121</v>
      </c>
      <c r="CS77" s="390" t="s">
        <v>121</v>
      </c>
      <c r="CT77" s="390" t="s">
        <v>121</v>
      </c>
      <c r="CU77" s="390" t="s">
        <v>121</v>
      </c>
      <c r="CV77" s="390" t="s">
        <v>121</v>
      </c>
      <c r="CW77" s="390" t="s">
        <v>121</v>
      </c>
      <c r="CX77" s="390" t="s">
        <v>121</v>
      </c>
      <c r="CY77" s="390" t="s">
        <v>121</v>
      </c>
      <c r="CZ77" s="390" t="s">
        <v>121</v>
      </c>
      <c r="DA77" s="390" t="s">
        <v>121</v>
      </c>
      <c r="DB77" s="390" t="s">
        <v>121</v>
      </c>
      <c r="DC77" s="390" t="s">
        <v>121</v>
      </c>
      <c r="DD77" s="390" t="s">
        <v>121</v>
      </c>
      <c r="DE77" s="390" t="s">
        <v>121</v>
      </c>
      <c r="DF77" s="390" t="s">
        <v>121</v>
      </c>
      <c r="DG77" s="390" t="s">
        <v>121</v>
      </c>
      <c r="DH77" s="390" t="s">
        <v>121</v>
      </c>
      <c r="DI77" s="390" t="s">
        <v>121</v>
      </c>
      <c r="DJ77" s="390" t="s">
        <v>121</v>
      </c>
      <c r="DK77" s="390" t="s">
        <v>121</v>
      </c>
      <c r="DL77" s="390" t="s">
        <v>121</v>
      </c>
      <c r="DM77" s="390" t="s">
        <v>121</v>
      </c>
      <c r="DN77" s="390" t="s">
        <v>121</v>
      </c>
      <c r="DO77" s="390" t="s">
        <v>121</v>
      </c>
      <c r="DP77" s="390" t="s">
        <v>121</v>
      </c>
      <c r="DQ77" s="390" t="s">
        <v>121</v>
      </c>
      <c r="DR77" s="390" t="s">
        <v>121</v>
      </c>
      <c r="DS77" s="390" t="s">
        <v>121</v>
      </c>
      <c r="DT77" s="390" t="s">
        <v>121</v>
      </c>
      <c r="DU77" s="390" t="s">
        <v>121</v>
      </c>
      <c r="DV77" s="390" t="s">
        <v>121</v>
      </c>
      <c r="DW77" s="390" t="s">
        <v>121</v>
      </c>
      <c r="DX77" s="390" t="s">
        <v>121</v>
      </c>
      <c r="DY77" s="390" t="s">
        <v>121</v>
      </c>
      <c r="DZ77" s="390" t="s">
        <v>121</v>
      </c>
      <c r="EA77" s="390" t="s">
        <v>121</v>
      </c>
      <c r="EB77" s="390" t="s">
        <v>121</v>
      </c>
      <c r="EC77" s="390" t="s">
        <v>121</v>
      </c>
      <c r="ED77" s="390" t="s">
        <v>121</v>
      </c>
      <c r="EE77" s="390" t="s">
        <v>121</v>
      </c>
      <c r="EF77" s="390" t="s">
        <v>121</v>
      </c>
      <c r="EG77" s="390" t="s">
        <v>121</v>
      </c>
      <c r="EH77" s="390" t="s">
        <v>121</v>
      </c>
      <c r="EI77" s="390" t="s">
        <v>121</v>
      </c>
      <c r="EJ77" s="390" t="s">
        <v>121</v>
      </c>
      <c r="EK77" s="390" t="s">
        <v>121</v>
      </c>
      <c r="EL77" s="390" t="s">
        <v>121</v>
      </c>
      <c r="EM77" s="390" t="s">
        <v>121</v>
      </c>
      <c r="EN77" s="390" t="s">
        <v>121</v>
      </c>
      <c r="EO77" s="390" t="s">
        <v>121</v>
      </c>
      <c r="EP77" s="390" t="s">
        <v>121</v>
      </c>
      <c r="EQ77" s="390" t="s">
        <v>121</v>
      </c>
      <c r="ER77" s="390" t="s">
        <v>121</v>
      </c>
      <c r="ES77" s="390" t="s">
        <v>121</v>
      </c>
      <c r="ET77" s="390" t="s">
        <v>121</v>
      </c>
      <c r="EU77" s="390" t="s">
        <v>121</v>
      </c>
      <c r="EV77" s="390" t="s">
        <v>121</v>
      </c>
      <c r="EW77" s="390" t="s">
        <v>121</v>
      </c>
      <c r="EX77" s="390" t="s">
        <v>121</v>
      </c>
    </row>
    <row r="78" spans="1:168" s="352" customFormat="1" ht="15" hidden="1" customHeight="1" x14ac:dyDescent="0.25">
      <c r="A78" s="273">
        <v>78</v>
      </c>
      <c r="B78" s="305"/>
      <c r="C78" s="345" t="s">
        <v>121</v>
      </c>
      <c r="D78" s="275" t="s">
        <v>121</v>
      </c>
      <c r="E78" s="270" t="s">
        <v>121</v>
      </c>
      <c r="F78" s="255">
        <v>0</v>
      </c>
      <c r="G78" s="255">
        <v>0</v>
      </c>
      <c r="H78" s="255">
        <v>0</v>
      </c>
      <c r="I78" s="255">
        <v>0</v>
      </c>
      <c r="J78" s="255">
        <v>0</v>
      </c>
      <c r="K78" s="255">
        <v>0</v>
      </c>
      <c r="L78" s="255">
        <v>0</v>
      </c>
      <c r="M78" s="255">
        <v>0</v>
      </c>
      <c r="N78" s="255">
        <v>0</v>
      </c>
      <c r="O78" s="255">
        <v>0</v>
      </c>
      <c r="P78" s="255">
        <v>0</v>
      </c>
      <c r="Q78" s="405"/>
      <c r="R78" s="405"/>
      <c r="S78" s="405"/>
      <c r="T78" s="405"/>
      <c r="U78" s="255" t="s">
        <v>121</v>
      </c>
      <c r="V78" s="255" t="s">
        <v>121</v>
      </c>
      <c r="W78" s="255" t="s">
        <v>121</v>
      </c>
      <c r="X78" s="255" t="s">
        <v>121</v>
      </c>
      <c r="Y78" s="255" t="s">
        <v>121</v>
      </c>
      <c r="Z78" s="255" t="s">
        <v>121</v>
      </c>
      <c r="AA78" s="255" t="s">
        <v>121</v>
      </c>
      <c r="AB78" s="255" t="s">
        <v>121</v>
      </c>
      <c r="AC78" s="255" t="s">
        <v>121</v>
      </c>
      <c r="AD78" s="255" t="s">
        <v>121</v>
      </c>
      <c r="AE78" s="255" t="s">
        <v>121</v>
      </c>
      <c r="AF78" s="255" t="s">
        <v>121</v>
      </c>
      <c r="AG78" s="255" t="s">
        <v>121</v>
      </c>
      <c r="AH78" s="255" t="s">
        <v>121</v>
      </c>
      <c r="AI78" s="255" t="s">
        <v>121</v>
      </c>
      <c r="AJ78" s="255" t="s">
        <v>121</v>
      </c>
      <c r="AK78" s="255" t="s">
        <v>121</v>
      </c>
      <c r="AL78" s="255" t="s">
        <v>121</v>
      </c>
      <c r="AM78" s="255" t="s">
        <v>121</v>
      </c>
      <c r="AN78" s="255" t="s">
        <v>121</v>
      </c>
      <c r="AO78" s="255" t="s">
        <v>121</v>
      </c>
      <c r="AP78" s="255" t="s">
        <v>121</v>
      </c>
      <c r="AQ78" s="255" t="s">
        <v>121</v>
      </c>
      <c r="AR78" s="255" t="s">
        <v>121</v>
      </c>
      <c r="AS78" s="255" t="s">
        <v>121</v>
      </c>
      <c r="AT78" s="255" t="s">
        <v>121</v>
      </c>
      <c r="AU78" s="255" t="s">
        <v>121</v>
      </c>
      <c r="AV78" s="255" t="s">
        <v>121</v>
      </c>
      <c r="AW78" s="255" t="s">
        <v>121</v>
      </c>
      <c r="AX78" s="255" t="s">
        <v>121</v>
      </c>
      <c r="AY78" s="255" t="s">
        <v>121</v>
      </c>
      <c r="AZ78" s="255" t="s">
        <v>121</v>
      </c>
      <c r="BA78" s="255" t="s">
        <v>121</v>
      </c>
      <c r="BB78" s="255" t="s">
        <v>121</v>
      </c>
      <c r="BC78" s="255" t="s">
        <v>121</v>
      </c>
      <c r="BD78" s="255" t="s">
        <v>121</v>
      </c>
      <c r="BE78" s="255" t="s">
        <v>121</v>
      </c>
      <c r="BF78" s="255" t="s">
        <v>121</v>
      </c>
      <c r="BG78" s="255" t="s">
        <v>121</v>
      </c>
      <c r="BH78" s="255" t="s">
        <v>121</v>
      </c>
      <c r="BI78" s="255" t="s">
        <v>121</v>
      </c>
      <c r="BJ78" s="255" t="s">
        <v>121</v>
      </c>
      <c r="BK78" s="255" t="s">
        <v>121</v>
      </c>
      <c r="BL78" s="255" t="s">
        <v>121</v>
      </c>
      <c r="BM78" s="352" t="s">
        <v>121</v>
      </c>
      <c r="BN78" s="352" t="s">
        <v>121</v>
      </c>
      <c r="BO78" s="352" t="s">
        <v>121</v>
      </c>
      <c r="BP78" s="352" t="s">
        <v>121</v>
      </c>
      <c r="BQ78" s="352" t="s">
        <v>121</v>
      </c>
      <c r="BR78" s="352" t="s">
        <v>121</v>
      </c>
      <c r="BS78" s="352" t="s">
        <v>121</v>
      </c>
      <c r="BT78" s="352" t="s">
        <v>121</v>
      </c>
      <c r="BU78" s="352" t="s">
        <v>121</v>
      </c>
      <c r="BV78" s="352" t="s">
        <v>121</v>
      </c>
      <c r="BW78" s="352" t="s">
        <v>121</v>
      </c>
      <c r="BX78" s="352" t="s">
        <v>121</v>
      </c>
      <c r="BY78" s="352" t="s">
        <v>121</v>
      </c>
      <c r="BZ78" s="352" t="s">
        <v>121</v>
      </c>
      <c r="CA78" s="352" t="s">
        <v>121</v>
      </c>
      <c r="CB78" s="352" t="s">
        <v>121</v>
      </c>
      <c r="CC78" s="352" t="s">
        <v>121</v>
      </c>
      <c r="CD78" s="352" t="s">
        <v>121</v>
      </c>
      <c r="CE78" s="352" t="s">
        <v>121</v>
      </c>
      <c r="CF78" s="352" t="s">
        <v>121</v>
      </c>
      <c r="CG78" s="352" t="s">
        <v>121</v>
      </c>
      <c r="CH78" s="352" t="s">
        <v>121</v>
      </c>
      <c r="CI78" s="352" t="s">
        <v>121</v>
      </c>
      <c r="CJ78" s="352" t="s">
        <v>121</v>
      </c>
      <c r="CK78" s="352" t="s">
        <v>121</v>
      </c>
      <c r="CL78" s="352" t="s">
        <v>121</v>
      </c>
      <c r="CM78" s="352" t="s">
        <v>121</v>
      </c>
      <c r="CN78" s="352" t="s">
        <v>121</v>
      </c>
      <c r="CO78" s="352" t="s">
        <v>121</v>
      </c>
      <c r="CP78" s="352" t="s">
        <v>121</v>
      </c>
      <c r="CQ78" s="352" t="s">
        <v>121</v>
      </c>
      <c r="CR78" s="352" t="s">
        <v>121</v>
      </c>
      <c r="CS78" s="352" t="s">
        <v>121</v>
      </c>
      <c r="CT78" s="352" t="s">
        <v>121</v>
      </c>
      <c r="CU78" s="352" t="s">
        <v>121</v>
      </c>
      <c r="CV78" s="352" t="s">
        <v>121</v>
      </c>
      <c r="CW78" s="352" t="s">
        <v>121</v>
      </c>
      <c r="CX78" s="352" t="s">
        <v>121</v>
      </c>
      <c r="CY78" s="352" t="s">
        <v>121</v>
      </c>
      <c r="CZ78" s="352" t="s">
        <v>121</v>
      </c>
      <c r="DA78" s="352" t="s">
        <v>121</v>
      </c>
      <c r="DB78" s="352" t="s">
        <v>121</v>
      </c>
      <c r="DC78" s="352" t="s">
        <v>121</v>
      </c>
      <c r="DD78" s="352" t="s">
        <v>121</v>
      </c>
      <c r="DE78" s="352" t="s">
        <v>121</v>
      </c>
      <c r="DF78" s="352" t="s">
        <v>121</v>
      </c>
      <c r="DG78" s="352" t="s">
        <v>121</v>
      </c>
      <c r="DH78" s="352" t="s">
        <v>121</v>
      </c>
      <c r="DI78" s="352" t="s">
        <v>121</v>
      </c>
      <c r="DJ78" s="352" t="s">
        <v>121</v>
      </c>
      <c r="DK78" s="352" t="s">
        <v>121</v>
      </c>
      <c r="DL78" s="352" t="s">
        <v>121</v>
      </c>
      <c r="DM78" s="352" t="s">
        <v>121</v>
      </c>
      <c r="DN78" s="352" t="s">
        <v>121</v>
      </c>
      <c r="DO78" s="352" t="s">
        <v>121</v>
      </c>
      <c r="DP78" s="352" t="s">
        <v>121</v>
      </c>
      <c r="DQ78" s="352" t="s">
        <v>121</v>
      </c>
      <c r="DR78" s="352" t="s">
        <v>121</v>
      </c>
      <c r="DS78" s="352" t="s">
        <v>121</v>
      </c>
      <c r="DT78" s="352" t="s">
        <v>121</v>
      </c>
      <c r="DU78" s="352" t="s">
        <v>121</v>
      </c>
      <c r="DV78" s="352" t="s">
        <v>121</v>
      </c>
      <c r="DW78" s="352" t="s">
        <v>121</v>
      </c>
      <c r="DX78" s="352" t="s">
        <v>121</v>
      </c>
      <c r="DY78" s="352" t="s">
        <v>121</v>
      </c>
      <c r="DZ78" s="352" t="s">
        <v>121</v>
      </c>
      <c r="EA78" s="352" t="s">
        <v>121</v>
      </c>
      <c r="EB78" s="352" t="s">
        <v>121</v>
      </c>
      <c r="EC78" s="352" t="s">
        <v>121</v>
      </c>
      <c r="ED78" s="352" t="s">
        <v>121</v>
      </c>
      <c r="EE78" s="352" t="s">
        <v>121</v>
      </c>
      <c r="EF78" s="352" t="s">
        <v>121</v>
      </c>
      <c r="EG78" s="352" t="s">
        <v>121</v>
      </c>
      <c r="EH78" s="352" t="s">
        <v>121</v>
      </c>
      <c r="EI78" s="352" t="s">
        <v>121</v>
      </c>
      <c r="EJ78" s="352" t="s">
        <v>121</v>
      </c>
      <c r="EK78" s="352" t="s">
        <v>121</v>
      </c>
      <c r="EL78" s="352" t="s">
        <v>121</v>
      </c>
      <c r="EM78" s="352" t="s">
        <v>121</v>
      </c>
      <c r="EN78" s="352" t="s">
        <v>121</v>
      </c>
      <c r="EO78" s="352" t="s">
        <v>121</v>
      </c>
      <c r="EP78" s="352" t="s">
        <v>121</v>
      </c>
      <c r="EQ78" s="352" t="s">
        <v>121</v>
      </c>
      <c r="ER78" s="352" t="s">
        <v>121</v>
      </c>
      <c r="ES78" s="352" t="s">
        <v>121</v>
      </c>
      <c r="ET78" s="352" t="s">
        <v>121</v>
      </c>
      <c r="EU78" s="352" t="s">
        <v>121</v>
      </c>
      <c r="EV78" s="352" t="s">
        <v>121</v>
      </c>
      <c r="EW78" s="352" t="s">
        <v>121</v>
      </c>
      <c r="EX78" s="352" t="s">
        <v>121</v>
      </c>
    </row>
    <row r="79" spans="1:168" s="392" customFormat="1" ht="26.1" customHeight="1" x14ac:dyDescent="0.25">
      <c r="A79" s="273">
        <v>79</v>
      </c>
      <c r="B79" s="375" t="s">
        <v>94</v>
      </c>
      <c r="C79" s="376" t="s">
        <v>121</v>
      </c>
      <c r="D79" s="377" t="s">
        <v>121</v>
      </c>
      <c r="E79" s="378" t="s">
        <v>121</v>
      </c>
      <c r="F79" s="391">
        <v>-356</v>
      </c>
      <c r="G79" s="391">
        <v>2000</v>
      </c>
      <c r="H79" s="391">
        <v>2444</v>
      </c>
      <c r="I79" s="391">
        <v>4087</v>
      </c>
      <c r="J79" s="391">
        <v>3691</v>
      </c>
      <c r="K79" s="391">
        <v>2868</v>
      </c>
      <c r="L79" s="391">
        <v>2376</v>
      </c>
      <c r="M79" s="391">
        <v>2086</v>
      </c>
      <c r="N79" s="391">
        <v>2217</v>
      </c>
      <c r="O79" s="391">
        <v>1584</v>
      </c>
      <c r="P79" s="391">
        <v>4510</v>
      </c>
      <c r="Q79" s="405"/>
      <c r="R79" s="405"/>
      <c r="S79" s="405"/>
      <c r="T79" s="405"/>
      <c r="U79" s="391">
        <v>2086</v>
      </c>
      <c r="V79" s="391">
        <v>1305</v>
      </c>
      <c r="W79" s="391">
        <v>1568</v>
      </c>
      <c r="X79" s="391">
        <v>799</v>
      </c>
      <c r="Y79" s="391">
        <v>1631.8209999999999</v>
      </c>
      <c r="Z79" s="391">
        <v>644.59100000000012</v>
      </c>
      <c r="AA79" s="391">
        <v>484.25399999999996</v>
      </c>
      <c r="AB79" s="391">
        <v>41.334000000000003</v>
      </c>
      <c r="AC79" s="391">
        <v>163.27999999999997</v>
      </c>
      <c r="AD79" s="391">
        <v>-218.45399999999995</v>
      </c>
      <c r="AE79" s="391">
        <v>997.02699999999993</v>
      </c>
      <c r="AF79" s="391">
        <v>98.58</v>
      </c>
      <c r="AG79" s="255">
        <v>2125.4389999999999</v>
      </c>
      <c r="AH79" s="391">
        <v>1706.3890000000001</v>
      </c>
      <c r="AI79" s="391">
        <v>1640.2249999999997</v>
      </c>
      <c r="AJ79" s="391">
        <v>441.07499999999999</v>
      </c>
      <c r="AK79" s="391">
        <v>707.31600000000071</v>
      </c>
      <c r="AL79" s="391">
        <v>654.05099999999766</v>
      </c>
      <c r="AM79" s="391">
        <v>2372.6600000000008</v>
      </c>
      <c r="AN79" s="391">
        <v>1551.049</v>
      </c>
      <c r="AO79" s="391">
        <v>47.483000000000175</v>
      </c>
      <c r="AP79" s="391">
        <v>1001.3179999999993</v>
      </c>
      <c r="AQ79" s="391">
        <v>969.73600000000079</v>
      </c>
      <c r="AR79" s="391">
        <v>589.61599999999953</v>
      </c>
      <c r="AS79" s="391">
        <v>858.20600000000195</v>
      </c>
      <c r="AT79" s="391">
        <v>1794.6709999999989</v>
      </c>
      <c r="AU79" s="391">
        <v>1427.527</v>
      </c>
      <c r="AV79" s="391">
        <v>784.851</v>
      </c>
      <c r="AW79" s="391">
        <v>2436.8389999999999</v>
      </c>
      <c r="AX79" s="391">
        <v>558.32900000000018</v>
      </c>
      <c r="AY79" s="391">
        <v>201.89499999999998</v>
      </c>
      <c r="AZ79" s="391">
        <v>758.90000000000009</v>
      </c>
      <c r="BA79" s="391">
        <v>623.4689999999996</v>
      </c>
      <c r="BB79" s="391">
        <v>572.46400000000006</v>
      </c>
      <c r="BC79" s="391">
        <v>439.30200000000019</v>
      </c>
      <c r="BD79" s="391">
        <v>375.69300000000004</v>
      </c>
      <c r="BE79" s="391">
        <v>220.99499999999989</v>
      </c>
      <c r="BF79" s="391">
        <v>155.25800000000004</v>
      </c>
      <c r="BG79" s="391">
        <v>113.52899999999997</v>
      </c>
      <c r="BH79" s="391">
        <v>202.96299999999999</v>
      </c>
      <c r="BI79" s="391">
        <v>206.70700000000011</v>
      </c>
      <c r="BJ79" s="391">
        <v>127.726</v>
      </c>
      <c r="BK79" s="391">
        <v>4.2210000000000036</v>
      </c>
      <c r="BL79" s="391">
        <v>372.726</v>
      </c>
      <c r="BM79" s="392">
        <v>205.64799999999991</v>
      </c>
      <c r="BN79" s="392">
        <v>106.89100000000019</v>
      </c>
      <c r="BO79" s="392">
        <v>154.55000000000001</v>
      </c>
      <c r="BP79" s="392">
        <v>200.69300000000004</v>
      </c>
      <c r="BQ79" s="392" t="s">
        <v>121</v>
      </c>
      <c r="BR79" s="392" t="s">
        <v>121</v>
      </c>
      <c r="BS79" s="392" t="s">
        <v>121</v>
      </c>
      <c r="BT79" s="392" t="s">
        <v>121</v>
      </c>
      <c r="BU79" s="392" t="s">
        <v>121</v>
      </c>
      <c r="BV79" s="392" t="s">
        <v>121</v>
      </c>
      <c r="BW79" s="392" t="s">
        <v>121</v>
      </c>
      <c r="BX79" s="392" t="s">
        <v>121</v>
      </c>
      <c r="BY79" s="392" t="s">
        <v>121</v>
      </c>
      <c r="BZ79" s="392" t="s">
        <v>121</v>
      </c>
      <c r="CA79" s="392" t="s">
        <v>121</v>
      </c>
      <c r="CB79" s="392" t="s">
        <v>121</v>
      </c>
      <c r="CC79" s="392" t="s">
        <v>121</v>
      </c>
      <c r="CD79" s="392" t="s">
        <v>121</v>
      </c>
      <c r="CE79" s="392" t="s">
        <v>121</v>
      </c>
      <c r="CF79" s="392" t="s">
        <v>121</v>
      </c>
      <c r="CG79" s="392" t="s">
        <v>121</v>
      </c>
      <c r="CH79" s="392" t="s">
        <v>121</v>
      </c>
      <c r="CI79" s="392" t="s">
        <v>121</v>
      </c>
      <c r="CJ79" s="392" t="s">
        <v>121</v>
      </c>
      <c r="CK79" s="392" t="s">
        <v>121</v>
      </c>
      <c r="CL79" s="392" t="s">
        <v>121</v>
      </c>
      <c r="CM79" s="392" t="s">
        <v>121</v>
      </c>
      <c r="CN79" s="392" t="s">
        <v>121</v>
      </c>
      <c r="CO79" s="392" t="s">
        <v>121</v>
      </c>
      <c r="CP79" s="392" t="s">
        <v>121</v>
      </c>
      <c r="CQ79" s="392" t="s">
        <v>121</v>
      </c>
      <c r="CR79" s="392" t="s">
        <v>121</v>
      </c>
      <c r="CS79" s="392" t="s">
        <v>121</v>
      </c>
      <c r="CT79" s="392" t="s">
        <v>121</v>
      </c>
      <c r="CU79" s="392" t="s">
        <v>121</v>
      </c>
      <c r="CV79" s="392" t="s">
        <v>121</v>
      </c>
      <c r="CW79" s="392" t="s">
        <v>121</v>
      </c>
      <c r="CX79" s="392" t="s">
        <v>121</v>
      </c>
      <c r="CY79" s="392" t="s">
        <v>121</v>
      </c>
      <c r="CZ79" s="392" t="s">
        <v>121</v>
      </c>
      <c r="DA79" s="392" t="s">
        <v>121</v>
      </c>
      <c r="DB79" s="392" t="s">
        <v>121</v>
      </c>
      <c r="DC79" s="392" t="s">
        <v>121</v>
      </c>
      <c r="DD79" s="392" t="s">
        <v>121</v>
      </c>
      <c r="DE79" s="392" t="s">
        <v>121</v>
      </c>
      <c r="DF79" s="392" t="s">
        <v>121</v>
      </c>
      <c r="DG79" s="392" t="s">
        <v>121</v>
      </c>
      <c r="DH79" s="392" t="s">
        <v>121</v>
      </c>
      <c r="DI79" s="392" t="s">
        <v>121</v>
      </c>
      <c r="DJ79" s="392" t="s">
        <v>121</v>
      </c>
      <c r="DK79" s="392" t="s">
        <v>121</v>
      </c>
      <c r="DL79" s="392" t="s">
        <v>121</v>
      </c>
      <c r="DM79" s="392" t="s">
        <v>121</v>
      </c>
      <c r="DN79" s="392" t="s">
        <v>121</v>
      </c>
      <c r="DO79" s="392" t="s">
        <v>121</v>
      </c>
      <c r="DP79" s="392" t="s">
        <v>121</v>
      </c>
      <c r="DQ79" s="392" t="s">
        <v>121</v>
      </c>
      <c r="DR79" s="392" t="s">
        <v>121</v>
      </c>
      <c r="DS79" s="392" t="s">
        <v>121</v>
      </c>
      <c r="DT79" s="392" t="s">
        <v>121</v>
      </c>
      <c r="DU79" s="392" t="s">
        <v>121</v>
      </c>
      <c r="DV79" s="392" t="s">
        <v>121</v>
      </c>
      <c r="DW79" s="392" t="s">
        <v>121</v>
      </c>
      <c r="DX79" s="392" t="s">
        <v>121</v>
      </c>
      <c r="DY79" s="392" t="s">
        <v>121</v>
      </c>
      <c r="DZ79" s="392" t="s">
        <v>121</v>
      </c>
      <c r="EA79" s="392" t="s">
        <v>121</v>
      </c>
      <c r="EB79" s="392" t="s">
        <v>121</v>
      </c>
      <c r="EC79" s="392" t="s">
        <v>121</v>
      </c>
      <c r="ED79" s="392" t="s">
        <v>121</v>
      </c>
      <c r="EE79" s="392" t="s">
        <v>121</v>
      </c>
      <c r="EF79" s="392" t="s">
        <v>121</v>
      </c>
      <c r="EG79" s="392" t="s">
        <v>121</v>
      </c>
      <c r="EH79" s="392" t="s">
        <v>121</v>
      </c>
      <c r="EI79" s="392" t="s">
        <v>121</v>
      </c>
      <c r="EJ79" s="392" t="s">
        <v>121</v>
      </c>
      <c r="EK79" s="392" t="s">
        <v>121</v>
      </c>
      <c r="EL79" s="392" t="s">
        <v>121</v>
      </c>
      <c r="EM79" s="392" t="s">
        <v>121</v>
      </c>
      <c r="EN79" s="392" t="s">
        <v>121</v>
      </c>
      <c r="EO79" s="392" t="s">
        <v>121</v>
      </c>
      <c r="EP79" s="392" t="s">
        <v>121</v>
      </c>
      <c r="EQ79" s="392" t="s">
        <v>121</v>
      </c>
      <c r="ER79" s="392" t="s">
        <v>121</v>
      </c>
      <c r="ES79" s="392" t="s">
        <v>121</v>
      </c>
      <c r="ET79" s="392" t="s">
        <v>121</v>
      </c>
      <c r="EU79" s="392" t="s">
        <v>121</v>
      </c>
      <c r="EV79" s="392" t="s">
        <v>121</v>
      </c>
      <c r="EW79" s="392" t="s">
        <v>121</v>
      </c>
      <c r="EX79" s="392" t="s">
        <v>121</v>
      </c>
    </row>
    <row r="80" spans="1:168" s="352" customFormat="1" ht="15" customHeight="1" x14ac:dyDescent="0.25">
      <c r="A80" s="273">
        <v>80</v>
      </c>
      <c r="B80" s="305" t="s">
        <v>416</v>
      </c>
      <c r="C80" s="345">
        <v>2.7662517289073207E-2</v>
      </c>
      <c r="D80" s="275" t="s">
        <v>121</v>
      </c>
      <c r="E80" s="270">
        <v>-3.6816178376976927E-2</v>
      </c>
      <c r="F80" s="255">
        <v>3715</v>
      </c>
      <c r="G80" s="255">
        <v>3615</v>
      </c>
      <c r="H80" s="255">
        <v>3434</v>
      </c>
      <c r="I80" s="255">
        <v>3719</v>
      </c>
      <c r="J80" s="255">
        <v>3857</v>
      </c>
      <c r="K80" s="255">
        <v>3482</v>
      </c>
      <c r="L80" s="255">
        <v>3347</v>
      </c>
      <c r="M80" s="255">
        <v>3845</v>
      </c>
      <c r="N80" s="255">
        <v>3690</v>
      </c>
      <c r="O80" s="255">
        <v>3557</v>
      </c>
      <c r="P80" s="255">
        <v>4193</v>
      </c>
      <c r="Q80" s="405"/>
      <c r="R80" s="405"/>
      <c r="S80" s="405"/>
      <c r="T80" s="405"/>
      <c r="U80" s="255">
        <v>3195</v>
      </c>
      <c r="V80" s="255">
        <v>2840</v>
      </c>
      <c r="W80" s="255">
        <v>2931</v>
      </c>
      <c r="X80" s="255">
        <v>2466</v>
      </c>
      <c r="Y80" s="255">
        <v>2879.1120000000001</v>
      </c>
      <c r="Z80" s="255">
        <v>2424.7460000000001</v>
      </c>
      <c r="AA80" s="255">
        <v>2063.6299999999997</v>
      </c>
      <c r="AB80" s="255">
        <v>2159.5120000000002</v>
      </c>
      <c r="AC80" s="255">
        <v>2588.3680000000013</v>
      </c>
      <c r="AD80" s="255">
        <v>2307.6699999999996</v>
      </c>
      <c r="AE80" s="255">
        <v>2271.3099999999995</v>
      </c>
      <c r="AF80" s="255">
        <v>1810.5390000000002</v>
      </c>
      <c r="AG80" s="255">
        <v>2054.887999999999</v>
      </c>
      <c r="AH80" s="255">
        <v>1863.1849999999999</v>
      </c>
      <c r="AI80" s="255">
        <v>1715.3329999999996</v>
      </c>
      <c r="AJ80" s="255">
        <v>1692.231</v>
      </c>
      <c r="AK80" s="255">
        <v>1831.4639999999999</v>
      </c>
      <c r="AL80" s="255">
        <v>1670.3819999999996</v>
      </c>
      <c r="AM80" s="255">
        <v>1611.9070000000002</v>
      </c>
      <c r="AN80" s="255">
        <v>1493.326</v>
      </c>
      <c r="AO80" s="255">
        <v>1578.6720000000005</v>
      </c>
      <c r="AP80" s="255">
        <v>1483.1589999999997</v>
      </c>
      <c r="AQ80" s="255">
        <v>1422.8180000000002</v>
      </c>
      <c r="AR80" s="255">
        <v>1345.808</v>
      </c>
      <c r="AS80" s="255">
        <v>1338.2839999999997</v>
      </c>
      <c r="AT80" s="255">
        <v>1242.8609999999999</v>
      </c>
      <c r="AU80" s="255">
        <v>1178.9580000000001</v>
      </c>
      <c r="AV80" s="255">
        <v>1012.235</v>
      </c>
      <c r="AW80" s="255">
        <v>1312.5620000000004</v>
      </c>
      <c r="AX80" s="255">
        <v>1126.5340000000001</v>
      </c>
      <c r="AY80" s="255">
        <v>1052.7750000000001</v>
      </c>
      <c r="AZ80" s="255">
        <v>928.71600000000001</v>
      </c>
      <c r="BA80" s="255">
        <v>933.60400000000027</v>
      </c>
      <c r="BB80" s="255">
        <v>805.62900000000002</v>
      </c>
      <c r="BC80" s="255">
        <v>749.76699999999994</v>
      </c>
      <c r="BD80" s="255">
        <v>683.45600000000002</v>
      </c>
      <c r="BE80" s="255">
        <v>822.07300000000032</v>
      </c>
      <c r="BF80" s="255">
        <v>705.45100000000002</v>
      </c>
      <c r="BG80" s="255">
        <v>666.39400000000001</v>
      </c>
      <c r="BH80" s="255">
        <v>559.28599999999994</v>
      </c>
      <c r="BI80" s="255">
        <v>726.95100000000002</v>
      </c>
      <c r="BJ80" s="255">
        <v>606.57799999999997</v>
      </c>
      <c r="BK80" s="255">
        <v>599.81799999999998</v>
      </c>
      <c r="BL80" s="255">
        <v>498.67500000000001</v>
      </c>
      <c r="BM80" s="352">
        <v>634.17999999999995</v>
      </c>
      <c r="BN80" s="352">
        <v>469.77499999999998</v>
      </c>
      <c r="BO80" s="352">
        <v>486.86799999999999</v>
      </c>
      <c r="BP80" s="352">
        <v>416.36200000000002</v>
      </c>
      <c r="BQ80" s="352" t="s">
        <v>121</v>
      </c>
      <c r="BR80" s="352" t="s">
        <v>121</v>
      </c>
      <c r="BS80" s="352" t="s">
        <v>121</v>
      </c>
      <c r="BT80" s="352" t="s">
        <v>121</v>
      </c>
      <c r="BU80" s="352" t="s">
        <v>121</v>
      </c>
      <c r="BV80" s="352" t="s">
        <v>121</v>
      </c>
      <c r="BW80" s="352" t="s">
        <v>121</v>
      </c>
      <c r="BX80" s="352" t="s">
        <v>121</v>
      </c>
      <c r="BY80" s="352" t="s">
        <v>121</v>
      </c>
      <c r="BZ80" s="352" t="s">
        <v>121</v>
      </c>
      <c r="CA80" s="352" t="s">
        <v>121</v>
      </c>
      <c r="CB80" s="352" t="s">
        <v>121</v>
      </c>
      <c r="CC80" s="352" t="s">
        <v>121</v>
      </c>
      <c r="CD80" s="352" t="s">
        <v>121</v>
      </c>
      <c r="CE80" s="352" t="s">
        <v>121</v>
      </c>
      <c r="CF80" s="352" t="s">
        <v>121</v>
      </c>
      <c r="CG80" s="352" t="s">
        <v>121</v>
      </c>
      <c r="CH80" s="352" t="s">
        <v>121</v>
      </c>
      <c r="CI80" s="352" t="s">
        <v>121</v>
      </c>
      <c r="CJ80" s="352" t="s">
        <v>121</v>
      </c>
      <c r="CK80" s="352" t="s">
        <v>121</v>
      </c>
      <c r="CL80" s="352" t="s">
        <v>121</v>
      </c>
      <c r="CM80" s="352" t="s">
        <v>121</v>
      </c>
      <c r="CN80" s="352" t="s">
        <v>121</v>
      </c>
      <c r="CO80" s="352" t="s">
        <v>121</v>
      </c>
      <c r="CP80" s="352" t="s">
        <v>121</v>
      </c>
      <c r="CQ80" s="352" t="s">
        <v>121</v>
      </c>
      <c r="CR80" s="352" t="s">
        <v>121</v>
      </c>
      <c r="CS80" s="352" t="s">
        <v>121</v>
      </c>
      <c r="CT80" s="352" t="s">
        <v>121</v>
      </c>
      <c r="CU80" s="352" t="s">
        <v>121</v>
      </c>
      <c r="CV80" s="352" t="s">
        <v>121</v>
      </c>
      <c r="CW80" s="352" t="s">
        <v>121</v>
      </c>
      <c r="CX80" s="352" t="s">
        <v>121</v>
      </c>
      <c r="CY80" s="352" t="s">
        <v>121</v>
      </c>
      <c r="CZ80" s="352" t="s">
        <v>121</v>
      </c>
      <c r="DA80" s="352" t="s">
        <v>121</v>
      </c>
      <c r="DB80" s="352" t="s">
        <v>121</v>
      </c>
      <c r="DC80" s="352" t="s">
        <v>121</v>
      </c>
      <c r="DD80" s="352" t="s">
        <v>121</v>
      </c>
      <c r="DE80" s="352" t="s">
        <v>121</v>
      </c>
      <c r="DF80" s="352" t="s">
        <v>121</v>
      </c>
      <c r="DG80" s="352" t="s">
        <v>121</v>
      </c>
      <c r="DH80" s="352" t="s">
        <v>121</v>
      </c>
      <c r="DI80" s="352" t="s">
        <v>121</v>
      </c>
      <c r="DJ80" s="352" t="s">
        <v>121</v>
      </c>
      <c r="DK80" s="352" t="s">
        <v>121</v>
      </c>
      <c r="DL80" s="352" t="s">
        <v>121</v>
      </c>
      <c r="DM80" s="352" t="s">
        <v>121</v>
      </c>
      <c r="DN80" s="352" t="s">
        <v>121</v>
      </c>
      <c r="DO80" s="352" t="s">
        <v>121</v>
      </c>
      <c r="DP80" s="352" t="s">
        <v>121</v>
      </c>
      <c r="DQ80" s="352" t="s">
        <v>121</v>
      </c>
      <c r="DR80" s="352" t="s">
        <v>121</v>
      </c>
      <c r="DS80" s="352" t="s">
        <v>121</v>
      </c>
      <c r="DT80" s="352" t="s">
        <v>121</v>
      </c>
      <c r="DU80" s="352" t="s">
        <v>121</v>
      </c>
      <c r="DV80" s="352" t="s">
        <v>121</v>
      </c>
      <c r="DW80" s="352" t="s">
        <v>121</v>
      </c>
      <c r="DX80" s="352" t="s">
        <v>121</v>
      </c>
      <c r="DY80" s="352" t="s">
        <v>121</v>
      </c>
      <c r="DZ80" s="352" t="s">
        <v>121</v>
      </c>
      <c r="EA80" s="352" t="s">
        <v>121</v>
      </c>
      <c r="EB80" s="352" t="s">
        <v>121</v>
      </c>
      <c r="EC80" s="352" t="s">
        <v>121</v>
      </c>
      <c r="ED80" s="352" t="s">
        <v>121</v>
      </c>
      <c r="EE80" s="352" t="s">
        <v>121</v>
      </c>
      <c r="EF80" s="352" t="s">
        <v>121</v>
      </c>
      <c r="EG80" s="352" t="s">
        <v>121</v>
      </c>
      <c r="EH80" s="352" t="s">
        <v>121</v>
      </c>
      <c r="EI80" s="352" t="s">
        <v>121</v>
      </c>
      <c r="EJ80" s="352" t="s">
        <v>121</v>
      </c>
      <c r="EK80" s="352" t="s">
        <v>121</v>
      </c>
      <c r="EL80" s="352" t="s">
        <v>121</v>
      </c>
      <c r="EM80" s="352" t="s">
        <v>121</v>
      </c>
      <c r="EN80" s="352" t="s">
        <v>121</v>
      </c>
      <c r="EO80" s="352" t="s">
        <v>121</v>
      </c>
      <c r="EP80" s="352" t="s">
        <v>121</v>
      </c>
      <c r="EQ80" s="352" t="s">
        <v>121</v>
      </c>
      <c r="ER80" s="352" t="s">
        <v>121</v>
      </c>
      <c r="ES80" s="352" t="s">
        <v>121</v>
      </c>
      <c r="ET80" s="352" t="s">
        <v>121</v>
      </c>
      <c r="EU80" s="352" t="s">
        <v>121</v>
      </c>
      <c r="EV80" s="352" t="s">
        <v>121</v>
      </c>
      <c r="EW80" s="352" t="s">
        <v>121</v>
      </c>
      <c r="EX80" s="352" t="s">
        <v>121</v>
      </c>
    </row>
    <row r="81" spans="1:154" s="352" customFormat="1" ht="15" customHeight="1" x14ac:dyDescent="0.25">
      <c r="A81" s="273">
        <v>81</v>
      </c>
      <c r="B81" s="305" t="s">
        <v>417</v>
      </c>
      <c r="C81" s="345">
        <v>8.7855297157622747E-2</v>
      </c>
      <c r="D81" s="275" t="s">
        <v>121</v>
      </c>
      <c r="E81" s="270">
        <v>0.20114122681883018</v>
      </c>
      <c r="F81" s="255">
        <v>-842</v>
      </c>
      <c r="G81" s="255">
        <v>-774</v>
      </c>
      <c r="H81" s="255">
        <v>-673</v>
      </c>
      <c r="I81" s="255">
        <v>-644</v>
      </c>
      <c r="J81" s="255">
        <v>-701</v>
      </c>
      <c r="K81" s="255">
        <v>-773</v>
      </c>
      <c r="L81" s="255">
        <v>-688</v>
      </c>
      <c r="M81" s="255">
        <v>-788</v>
      </c>
      <c r="N81" s="255">
        <v>-718</v>
      </c>
      <c r="O81" s="255">
        <v>-665</v>
      </c>
      <c r="P81" s="255">
        <v>-627</v>
      </c>
      <c r="Q81" s="405"/>
      <c r="R81" s="405"/>
      <c r="S81" s="405"/>
      <c r="T81" s="405"/>
      <c r="U81" s="255">
        <v>-595</v>
      </c>
      <c r="V81" s="255">
        <v>-644</v>
      </c>
      <c r="W81" s="255">
        <v>-623</v>
      </c>
      <c r="X81" s="255">
        <v>-561</v>
      </c>
      <c r="Y81" s="255">
        <v>-564.24499999999989</v>
      </c>
      <c r="Z81" s="255">
        <v>-524.74500000000012</v>
      </c>
      <c r="AA81" s="255">
        <v>-420.66699999999997</v>
      </c>
      <c r="AB81" s="255">
        <v>-477.34300000000002</v>
      </c>
      <c r="AC81" s="255">
        <v>-595.08899999999926</v>
      </c>
      <c r="AD81" s="255">
        <v>-524.14100000000008</v>
      </c>
      <c r="AE81" s="255">
        <v>-507.64700000000005</v>
      </c>
      <c r="AF81" s="255">
        <v>-532.08399999999995</v>
      </c>
      <c r="AG81" s="255">
        <v>-558.75849999999991</v>
      </c>
      <c r="AH81" s="255">
        <v>-537.56350000000009</v>
      </c>
      <c r="AI81" s="255">
        <v>-529.26549999999986</v>
      </c>
      <c r="AJ81" s="255">
        <v>-304.43700000000001</v>
      </c>
      <c r="AK81" s="255">
        <v>-366.14900000000011</v>
      </c>
      <c r="AL81" s="255">
        <v>-358.35899999999992</v>
      </c>
      <c r="AM81" s="255">
        <v>-349.37600000000003</v>
      </c>
      <c r="AN81" s="255">
        <v>-322.12200000000001</v>
      </c>
      <c r="AO81" s="255">
        <v>-353.45100000000014</v>
      </c>
      <c r="AP81" s="255">
        <v>-304.63899999999995</v>
      </c>
      <c r="AQ81" s="255">
        <v>-255.01500000000001</v>
      </c>
      <c r="AR81" s="255">
        <v>-217.833</v>
      </c>
      <c r="AS81" s="255">
        <v>-193.91600000000005</v>
      </c>
      <c r="AT81" s="255">
        <v>-208.44399999999996</v>
      </c>
      <c r="AU81" s="255">
        <v>-152.15300000000002</v>
      </c>
      <c r="AV81" s="255">
        <v>-175.51499999999999</v>
      </c>
      <c r="AW81" s="255">
        <v>-240.17700000000002</v>
      </c>
      <c r="AX81" s="255">
        <v>-164.233</v>
      </c>
      <c r="AY81" s="255">
        <v>-156.44800000000004</v>
      </c>
      <c r="AZ81" s="255">
        <v>-139.08699999999999</v>
      </c>
      <c r="BA81" s="393">
        <v>-133.14800000000002</v>
      </c>
      <c r="BB81" s="255">
        <v>-154.08699999999999</v>
      </c>
      <c r="BC81" s="255">
        <v>-118.33200000000001</v>
      </c>
      <c r="BD81" s="255">
        <v>-89.021000000000001</v>
      </c>
      <c r="BE81" s="255">
        <v>-117.54199999999997</v>
      </c>
      <c r="BF81" s="255">
        <v>-96.606999999999999</v>
      </c>
      <c r="BG81" s="255">
        <v>-112.699</v>
      </c>
      <c r="BH81" s="255">
        <v>-77.227000000000004</v>
      </c>
      <c r="BI81" s="255">
        <v>-139.21100000000001</v>
      </c>
      <c r="BJ81" s="255">
        <v>-81.515000000000001</v>
      </c>
      <c r="BK81" s="255">
        <v>-100.11799999999999</v>
      </c>
      <c r="BL81" s="255">
        <v>-59.543999999999997</v>
      </c>
      <c r="BM81" s="352">
        <v>-99.551000000000002</v>
      </c>
      <c r="BN81" s="352">
        <v>-52.776000000000003</v>
      </c>
      <c r="BO81" s="352">
        <v>-60.567999999999998</v>
      </c>
      <c r="BP81" s="352">
        <v>-79.165000000000006</v>
      </c>
      <c r="BQ81" s="352" t="s">
        <v>121</v>
      </c>
      <c r="BR81" s="352" t="s">
        <v>121</v>
      </c>
      <c r="BS81" s="352" t="s">
        <v>121</v>
      </c>
      <c r="BT81" s="352" t="s">
        <v>121</v>
      </c>
      <c r="BU81" s="352" t="s">
        <v>121</v>
      </c>
      <c r="BV81" s="352" t="s">
        <v>121</v>
      </c>
      <c r="BW81" s="352" t="s">
        <v>121</v>
      </c>
      <c r="BX81" s="352" t="s">
        <v>121</v>
      </c>
      <c r="BY81" s="352" t="s">
        <v>121</v>
      </c>
      <c r="BZ81" s="352" t="s">
        <v>121</v>
      </c>
      <c r="CA81" s="352" t="s">
        <v>121</v>
      </c>
      <c r="CB81" s="352" t="s">
        <v>121</v>
      </c>
      <c r="CC81" s="352" t="s">
        <v>121</v>
      </c>
      <c r="CD81" s="352" t="s">
        <v>121</v>
      </c>
      <c r="CE81" s="352" t="s">
        <v>121</v>
      </c>
      <c r="CF81" s="352" t="s">
        <v>121</v>
      </c>
      <c r="CG81" s="352" t="s">
        <v>121</v>
      </c>
      <c r="CH81" s="352" t="s">
        <v>121</v>
      </c>
      <c r="CI81" s="352" t="s">
        <v>121</v>
      </c>
      <c r="CJ81" s="352" t="s">
        <v>121</v>
      </c>
      <c r="CK81" s="352" t="s">
        <v>121</v>
      </c>
      <c r="CL81" s="352" t="s">
        <v>121</v>
      </c>
      <c r="CM81" s="352" t="s">
        <v>121</v>
      </c>
      <c r="CN81" s="352" t="s">
        <v>121</v>
      </c>
      <c r="CO81" s="352" t="s">
        <v>121</v>
      </c>
      <c r="CP81" s="352" t="s">
        <v>121</v>
      </c>
      <c r="CQ81" s="352" t="s">
        <v>121</v>
      </c>
      <c r="CR81" s="352" t="s">
        <v>121</v>
      </c>
      <c r="CS81" s="352" t="s">
        <v>121</v>
      </c>
      <c r="CT81" s="352" t="s">
        <v>121</v>
      </c>
      <c r="CU81" s="352" t="s">
        <v>121</v>
      </c>
      <c r="CV81" s="352" t="s">
        <v>121</v>
      </c>
      <c r="CW81" s="352" t="s">
        <v>121</v>
      </c>
      <c r="CX81" s="352" t="s">
        <v>121</v>
      </c>
      <c r="CY81" s="352" t="s">
        <v>121</v>
      </c>
      <c r="CZ81" s="352" t="s">
        <v>121</v>
      </c>
      <c r="DA81" s="352" t="s">
        <v>121</v>
      </c>
      <c r="DB81" s="352" t="s">
        <v>121</v>
      </c>
      <c r="DC81" s="352" t="s">
        <v>121</v>
      </c>
      <c r="DD81" s="352" t="s">
        <v>121</v>
      </c>
      <c r="DE81" s="352" t="s">
        <v>121</v>
      </c>
      <c r="DF81" s="352" t="s">
        <v>121</v>
      </c>
      <c r="DG81" s="352" t="s">
        <v>121</v>
      </c>
      <c r="DH81" s="352" t="s">
        <v>121</v>
      </c>
      <c r="DI81" s="352" t="s">
        <v>121</v>
      </c>
      <c r="DJ81" s="352" t="s">
        <v>121</v>
      </c>
      <c r="DK81" s="352" t="s">
        <v>121</v>
      </c>
      <c r="DL81" s="352" t="s">
        <v>121</v>
      </c>
      <c r="DM81" s="352" t="s">
        <v>121</v>
      </c>
      <c r="DN81" s="352" t="s">
        <v>121</v>
      </c>
      <c r="DO81" s="352" t="s">
        <v>121</v>
      </c>
      <c r="DP81" s="352" t="s">
        <v>121</v>
      </c>
      <c r="DQ81" s="352" t="s">
        <v>121</v>
      </c>
      <c r="DR81" s="352" t="s">
        <v>121</v>
      </c>
      <c r="DS81" s="352" t="s">
        <v>121</v>
      </c>
      <c r="DT81" s="352" t="s">
        <v>121</v>
      </c>
      <c r="DU81" s="352" t="s">
        <v>121</v>
      </c>
      <c r="DV81" s="352" t="s">
        <v>121</v>
      </c>
      <c r="DW81" s="352" t="s">
        <v>121</v>
      </c>
      <c r="DX81" s="352" t="s">
        <v>121</v>
      </c>
      <c r="DY81" s="352" t="s">
        <v>121</v>
      </c>
      <c r="DZ81" s="352" t="s">
        <v>121</v>
      </c>
      <c r="EA81" s="352" t="s">
        <v>121</v>
      </c>
      <c r="EB81" s="352" t="s">
        <v>121</v>
      </c>
      <c r="EC81" s="352" t="s">
        <v>121</v>
      </c>
      <c r="ED81" s="352" t="s">
        <v>121</v>
      </c>
      <c r="EE81" s="352" t="s">
        <v>121</v>
      </c>
      <c r="EF81" s="352" t="s">
        <v>121</v>
      </c>
      <c r="EG81" s="352" t="s">
        <v>121</v>
      </c>
      <c r="EH81" s="352" t="s">
        <v>121</v>
      </c>
      <c r="EI81" s="352" t="s">
        <v>121</v>
      </c>
      <c r="EJ81" s="352" t="s">
        <v>121</v>
      </c>
      <c r="EK81" s="352" t="s">
        <v>121</v>
      </c>
      <c r="EL81" s="352" t="s">
        <v>121</v>
      </c>
      <c r="EM81" s="352" t="s">
        <v>121</v>
      </c>
      <c r="EN81" s="352" t="s">
        <v>121</v>
      </c>
      <c r="EO81" s="352" t="s">
        <v>121</v>
      </c>
      <c r="EP81" s="352" t="s">
        <v>121</v>
      </c>
      <c r="EQ81" s="352" t="s">
        <v>121</v>
      </c>
      <c r="ER81" s="352" t="s">
        <v>121</v>
      </c>
      <c r="ES81" s="352" t="s">
        <v>121</v>
      </c>
      <c r="ET81" s="352" t="s">
        <v>121</v>
      </c>
      <c r="EU81" s="352" t="s">
        <v>121</v>
      </c>
      <c r="EV81" s="352" t="s">
        <v>121</v>
      </c>
      <c r="EW81" s="352" t="s">
        <v>121</v>
      </c>
      <c r="EX81" s="352" t="s">
        <v>121</v>
      </c>
    </row>
    <row r="82" spans="1:154" s="352" customFormat="1" x14ac:dyDescent="0.25">
      <c r="A82" s="273">
        <v>82</v>
      </c>
      <c r="B82" s="305" t="s">
        <v>95</v>
      </c>
      <c r="C82" s="345" t="s">
        <v>121</v>
      </c>
      <c r="D82" s="275" t="s">
        <v>121</v>
      </c>
      <c r="E82" s="270" t="s">
        <v>121</v>
      </c>
      <c r="F82" s="255">
        <v>-7</v>
      </c>
      <c r="G82" s="255">
        <v>30</v>
      </c>
      <c r="H82" s="255">
        <v>-16</v>
      </c>
      <c r="I82" s="255">
        <v>-64</v>
      </c>
      <c r="J82" s="255">
        <v>45</v>
      </c>
      <c r="K82" s="255">
        <v>-4</v>
      </c>
      <c r="L82" s="255">
        <v>-43</v>
      </c>
      <c r="M82" s="255">
        <v>476</v>
      </c>
      <c r="N82" s="255">
        <v>32</v>
      </c>
      <c r="O82" s="255">
        <v>6197</v>
      </c>
      <c r="P82" s="255">
        <v>-334</v>
      </c>
      <c r="Q82" s="405"/>
      <c r="R82" s="405"/>
      <c r="S82" s="405"/>
      <c r="T82" s="405"/>
      <c r="U82" s="255">
        <v>-25</v>
      </c>
      <c r="V82" s="255">
        <v>-360</v>
      </c>
      <c r="W82" s="255">
        <v>-93</v>
      </c>
      <c r="X82" s="255">
        <v>105</v>
      </c>
      <c r="Y82" s="255">
        <v>-170.98599999999999</v>
      </c>
      <c r="Z82" s="255">
        <v>68.918999999999983</v>
      </c>
      <c r="AA82" s="255">
        <v>-65.63</v>
      </c>
      <c r="AB82" s="255">
        <v>202.697</v>
      </c>
      <c r="AC82" s="255">
        <v>-104.869</v>
      </c>
      <c r="AD82" s="255">
        <v>23.486999999999995</v>
      </c>
      <c r="AE82" s="255">
        <v>-1.3760000000000048</v>
      </c>
      <c r="AF82" s="255">
        <v>-89.367999999999995</v>
      </c>
      <c r="AG82" s="255">
        <v>-44.253000000000014</v>
      </c>
      <c r="AH82" s="255">
        <v>-45.927999999999997</v>
      </c>
      <c r="AI82" s="255">
        <v>104.738</v>
      </c>
      <c r="AJ82" s="255">
        <v>-217.71299999999999</v>
      </c>
      <c r="AK82" s="255">
        <v>3.4729999999999563</v>
      </c>
      <c r="AL82" s="255">
        <v>-38.264999999999986</v>
      </c>
      <c r="AM82" s="255">
        <v>-361.46</v>
      </c>
      <c r="AN82" s="255">
        <v>-64.02600000000001</v>
      </c>
      <c r="AO82" s="255">
        <v>-260.01499999999999</v>
      </c>
      <c r="AP82" s="255">
        <v>-3.8530000000000086</v>
      </c>
      <c r="AQ82" s="255">
        <v>-236.19399999999999</v>
      </c>
      <c r="AR82" s="255">
        <v>-207.17699999999999</v>
      </c>
      <c r="AS82" s="255">
        <v>-38.847000000000008</v>
      </c>
      <c r="AT82" s="255">
        <v>-90.50200000000001</v>
      </c>
      <c r="AU82" s="255">
        <v>-5.3259999999999996</v>
      </c>
      <c r="AV82" s="255">
        <v>-0.22600000000000001</v>
      </c>
      <c r="AW82" s="255">
        <v>2.1889999999999947</v>
      </c>
      <c r="AX82" s="255">
        <v>45.126000000000005</v>
      </c>
      <c r="AY82" s="255">
        <v>-44.628</v>
      </c>
      <c r="AZ82" s="255">
        <v>6.1630000000000003</v>
      </c>
      <c r="BA82" s="393">
        <v>77.572999999999993</v>
      </c>
      <c r="BB82" s="255">
        <v>38.953000000000003</v>
      </c>
      <c r="BC82" s="255">
        <v>53.756</v>
      </c>
      <c r="BD82" s="255">
        <v>-17.074999999999999</v>
      </c>
      <c r="BE82" s="255">
        <v>53.103999999999999</v>
      </c>
      <c r="BF82" s="255">
        <v>-8.7729999999999997</v>
      </c>
      <c r="BG82" s="255">
        <v>-31.684999999999999</v>
      </c>
      <c r="BH82" s="255">
        <v>16.3</v>
      </c>
      <c r="BI82" s="255">
        <v>116.901</v>
      </c>
      <c r="BJ82" s="255">
        <v>-79.106999999999999</v>
      </c>
      <c r="BK82" s="255">
        <v>-137.203</v>
      </c>
      <c r="BL82" s="255">
        <v>-5.851</v>
      </c>
      <c r="BM82" s="352">
        <v>69.426000000000002</v>
      </c>
      <c r="BN82" s="352">
        <v>-25.876000000000001</v>
      </c>
      <c r="BO82" s="352">
        <v>5.4930000000000003</v>
      </c>
      <c r="BP82" s="352">
        <v>11.675000000000001</v>
      </c>
      <c r="BQ82" s="352" t="s">
        <v>121</v>
      </c>
      <c r="BR82" s="352" t="s">
        <v>121</v>
      </c>
      <c r="BS82" s="352" t="s">
        <v>121</v>
      </c>
      <c r="BT82" s="352" t="s">
        <v>121</v>
      </c>
      <c r="BU82" s="352" t="s">
        <v>121</v>
      </c>
      <c r="BV82" s="352" t="s">
        <v>121</v>
      </c>
      <c r="BW82" s="352" t="s">
        <v>121</v>
      </c>
      <c r="BX82" s="352" t="s">
        <v>121</v>
      </c>
      <c r="BY82" s="352" t="s">
        <v>121</v>
      </c>
      <c r="BZ82" s="352" t="s">
        <v>121</v>
      </c>
      <c r="CA82" s="352" t="s">
        <v>121</v>
      </c>
      <c r="CB82" s="352" t="s">
        <v>121</v>
      </c>
      <c r="CC82" s="352" t="s">
        <v>121</v>
      </c>
      <c r="CD82" s="352" t="s">
        <v>121</v>
      </c>
      <c r="CE82" s="352" t="s">
        <v>121</v>
      </c>
      <c r="CF82" s="352" t="s">
        <v>121</v>
      </c>
      <c r="CG82" s="352" t="s">
        <v>121</v>
      </c>
      <c r="CH82" s="352" t="s">
        <v>121</v>
      </c>
      <c r="CI82" s="352" t="s">
        <v>121</v>
      </c>
      <c r="CJ82" s="352" t="s">
        <v>121</v>
      </c>
      <c r="CK82" s="352" t="s">
        <v>121</v>
      </c>
      <c r="CL82" s="352" t="s">
        <v>121</v>
      </c>
      <c r="CM82" s="352" t="s">
        <v>121</v>
      </c>
      <c r="CN82" s="352" t="s">
        <v>121</v>
      </c>
      <c r="CO82" s="352" t="s">
        <v>121</v>
      </c>
      <c r="CP82" s="352" t="s">
        <v>121</v>
      </c>
      <c r="CQ82" s="352" t="s">
        <v>121</v>
      </c>
      <c r="CR82" s="352" t="s">
        <v>121</v>
      </c>
      <c r="CS82" s="352" t="s">
        <v>121</v>
      </c>
      <c r="CT82" s="352" t="s">
        <v>121</v>
      </c>
      <c r="CU82" s="352" t="s">
        <v>121</v>
      </c>
      <c r="CV82" s="352" t="s">
        <v>121</v>
      </c>
      <c r="CW82" s="352" t="s">
        <v>121</v>
      </c>
      <c r="CX82" s="352" t="s">
        <v>121</v>
      </c>
      <c r="CY82" s="352" t="s">
        <v>121</v>
      </c>
      <c r="CZ82" s="352" t="s">
        <v>121</v>
      </c>
      <c r="DA82" s="352" t="s">
        <v>121</v>
      </c>
      <c r="DB82" s="352" t="s">
        <v>121</v>
      </c>
      <c r="DC82" s="352" t="s">
        <v>121</v>
      </c>
      <c r="DD82" s="352" t="s">
        <v>121</v>
      </c>
      <c r="DE82" s="352" t="s">
        <v>121</v>
      </c>
      <c r="DF82" s="352" t="s">
        <v>121</v>
      </c>
      <c r="DG82" s="352" t="s">
        <v>121</v>
      </c>
      <c r="DH82" s="352" t="s">
        <v>121</v>
      </c>
      <c r="DI82" s="352" t="s">
        <v>121</v>
      </c>
      <c r="DJ82" s="352" t="s">
        <v>121</v>
      </c>
      <c r="DK82" s="352" t="s">
        <v>121</v>
      </c>
      <c r="DL82" s="352" t="s">
        <v>121</v>
      </c>
      <c r="DM82" s="352" t="s">
        <v>121</v>
      </c>
      <c r="DN82" s="352" t="s">
        <v>121</v>
      </c>
      <c r="DO82" s="352" t="s">
        <v>121</v>
      </c>
      <c r="DP82" s="352" t="s">
        <v>121</v>
      </c>
      <c r="DQ82" s="352" t="s">
        <v>121</v>
      </c>
      <c r="DR82" s="352" t="s">
        <v>121</v>
      </c>
      <c r="DS82" s="352" t="s">
        <v>121</v>
      </c>
      <c r="DT82" s="352" t="s">
        <v>121</v>
      </c>
      <c r="DU82" s="352" t="s">
        <v>121</v>
      </c>
      <c r="DV82" s="352" t="s">
        <v>121</v>
      </c>
      <c r="DW82" s="352" t="s">
        <v>121</v>
      </c>
      <c r="DX82" s="352" t="s">
        <v>121</v>
      </c>
      <c r="DY82" s="352" t="s">
        <v>121</v>
      </c>
      <c r="DZ82" s="352" t="s">
        <v>121</v>
      </c>
      <c r="EA82" s="352" t="s">
        <v>121</v>
      </c>
      <c r="EB82" s="352" t="s">
        <v>121</v>
      </c>
      <c r="EC82" s="352" t="s">
        <v>121</v>
      </c>
      <c r="ED82" s="352" t="s">
        <v>121</v>
      </c>
      <c r="EE82" s="352" t="s">
        <v>121</v>
      </c>
      <c r="EF82" s="352" t="s">
        <v>121</v>
      </c>
      <c r="EG82" s="352" t="s">
        <v>121</v>
      </c>
      <c r="EH82" s="352" t="s">
        <v>121</v>
      </c>
      <c r="EI82" s="352" t="s">
        <v>121</v>
      </c>
      <c r="EJ82" s="352" t="s">
        <v>121</v>
      </c>
      <c r="EK82" s="352" t="s">
        <v>121</v>
      </c>
      <c r="EL82" s="352" t="s">
        <v>121</v>
      </c>
      <c r="EM82" s="352" t="s">
        <v>121</v>
      </c>
      <c r="EN82" s="352" t="s">
        <v>121</v>
      </c>
      <c r="EO82" s="352" t="s">
        <v>121</v>
      </c>
      <c r="EP82" s="352" t="s">
        <v>121</v>
      </c>
      <c r="EQ82" s="352" t="s">
        <v>121</v>
      </c>
      <c r="ER82" s="352" t="s">
        <v>121</v>
      </c>
      <c r="ES82" s="352" t="s">
        <v>121</v>
      </c>
      <c r="ET82" s="352" t="s">
        <v>121</v>
      </c>
      <c r="EU82" s="352" t="s">
        <v>121</v>
      </c>
      <c r="EV82" s="352" t="s">
        <v>121</v>
      </c>
      <c r="EW82" s="352" t="s">
        <v>121</v>
      </c>
      <c r="EX82" s="352" t="s">
        <v>121</v>
      </c>
    </row>
    <row r="83" spans="1:154" s="352" customFormat="1" x14ac:dyDescent="0.25">
      <c r="A83" s="273">
        <v>83</v>
      </c>
      <c r="B83" s="305" t="s">
        <v>108</v>
      </c>
      <c r="C83" s="345" t="s">
        <v>121</v>
      </c>
      <c r="D83" s="275" t="s">
        <v>121</v>
      </c>
      <c r="E83" s="270" t="s">
        <v>121</v>
      </c>
      <c r="F83" s="255">
        <v>3</v>
      </c>
      <c r="G83" s="255">
        <v>2</v>
      </c>
      <c r="H83" s="255" t="s">
        <v>121</v>
      </c>
      <c r="I83" s="255" t="s">
        <v>121</v>
      </c>
      <c r="J83" s="255">
        <v>8</v>
      </c>
      <c r="K83" s="255">
        <v>12</v>
      </c>
      <c r="L83" s="255" t="s">
        <v>121</v>
      </c>
      <c r="M83" s="255">
        <v>2</v>
      </c>
      <c r="N83" s="255">
        <v>4</v>
      </c>
      <c r="O83" s="255">
        <v>1</v>
      </c>
      <c r="P83" s="255">
        <v>2</v>
      </c>
      <c r="Q83" s="405"/>
      <c r="R83" s="405"/>
      <c r="S83" s="405"/>
      <c r="T83" s="405"/>
      <c r="U83" s="255">
        <v>1</v>
      </c>
      <c r="V83" s="352">
        <v>7</v>
      </c>
      <c r="W83" s="352">
        <v>23</v>
      </c>
      <c r="X83" s="255">
        <v>128</v>
      </c>
      <c r="Y83" s="255">
        <v>349</v>
      </c>
      <c r="Z83" s="255" t="s">
        <v>121</v>
      </c>
      <c r="AA83" s="255" t="s">
        <v>121</v>
      </c>
      <c r="AB83" s="255" t="s">
        <v>121</v>
      </c>
      <c r="AC83" s="255">
        <v>-49.539000000000001</v>
      </c>
      <c r="AD83" s="255" t="s">
        <v>121</v>
      </c>
      <c r="AE83" s="255" t="s">
        <v>121</v>
      </c>
      <c r="AF83" s="255" t="s">
        <v>121</v>
      </c>
      <c r="AG83" s="255">
        <v>-2</v>
      </c>
      <c r="AH83" s="255">
        <v>-1</v>
      </c>
      <c r="AI83" s="255" t="s">
        <v>121</v>
      </c>
      <c r="AJ83" s="255" t="s">
        <v>121</v>
      </c>
      <c r="AK83" s="255" t="s">
        <v>121</v>
      </c>
      <c r="AL83" s="255" t="s">
        <v>121</v>
      </c>
      <c r="AM83" s="255" t="s">
        <v>121</v>
      </c>
      <c r="AN83" s="255" t="s">
        <v>121</v>
      </c>
      <c r="AO83" s="255" t="s">
        <v>121</v>
      </c>
      <c r="AP83" s="255" t="s">
        <v>121</v>
      </c>
      <c r="AQ83" s="255" t="s">
        <v>121</v>
      </c>
      <c r="AR83" s="255" t="s">
        <v>121</v>
      </c>
      <c r="AS83" s="255" t="s">
        <v>121</v>
      </c>
      <c r="AT83" s="255" t="s">
        <v>121</v>
      </c>
      <c r="AU83" s="255" t="s">
        <v>121</v>
      </c>
      <c r="AV83" s="255" t="s">
        <v>121</v>
      </c>
      <c r="AW83" s="255" t="s">
        <v>121</v>
      </c>
      <c r="AX83" s="255" t="s">
        <v>121</v>
      </c>
      <c r="AY83" s="255" t="s">
        <v>121</v>
      </c>
      <c r="AZ83" s="255" t="s">
        <v>121</v>
      </c>
      <c r="BA83" s="255" t="s">
        <v>121</v>
      </c>
      <c r="BB83" s="255" t="s">
        <v>121</v>
      </c>
      <c r="BC83" s="255" t="s">
        <v>121</v>
      </c>
      <c r="BD83" s="255" t="s">
        <v>121</v>
      </c>
      <c r="BE83" s="255" t="s">
        <v>121</v>
      </c>
      <c r="BF83" s="255">
        <v>214.19900000000001</v>
      </c>
      <c r="BG83" s="255" t="s">
        <v>121</v>
      </c>
      <c r="BH83" s="352" t="s">
        <v>121</v>
      </c>
      <c r="BI83" s="352" t="s">
        <v>121</v>
      </c>
      <c r="BJ83" s="352" t="s">
        <v>121</v>
      </c>
      <c r="BK83" s="352" t="s">
        <v>121</v>
      </c>
      <c r="BL83" s="352" t="s">
        <v>121</v>
      </c>
      <c r="BM83" s="352" t="s">
        <v>121</v>
      </c>
      <c r="BN83" s="352" t="s">
        <v>121</v>
      </c>
      <c r="BO83" s="352" t="s">
        <v>121</v>
      </c>
      <c r="BP83" s="352" t="s">
        <v>121</v>
      </c>
      <c r="BQ83" s="352" t="s">
        <v>121</v>
      </c>
      <c r="BR83" s="352" t="s">
        <v>121</v>
      </c>
      <c r="BS83" s="352" t="s">
        <v>121</v>
      </c>
      <c r="BT83" s="352" t="s">
        <v>121</v>
      </c>
      <c r="BU83" s="352" t="s">
        <v>121</v>
      </c>
      <c r="BV83" s="352" t="s">
        <v>121</v>
      </c>
      <c r="BW83" s="352" t="s">
        <v>121</v>
      </c>
      <c r="BX83" s="352" t="s">
        <v>121</v>
      </c>
      <c r="BY83" s="352" t="s">
        <v>121</v>
      </c>
      <c r="BZ83" s="352" t="s">
        <v>121</v>
      </c>
      <c r="CA83" s="352" t="s">
        <v>121</v>
      </c>
      <c r="CB83" s="352" t="s">
        <v>121</v>
      </c>
      <c r="CC83" s="352" t="s">
        <v>121</v>
      </c>
      <c r="CD83" s="352" t="s">
        <v>121</v>
      </c>
      <c r="CE83" s="352" t="s">
        <v>121</v>
      </c>
      <c r="CF83" s="352" t="s">
        <v>121</v>
      </c>
      <c r="CG83" s="352" t="s">
        <v>121</v>
      </c>
      <c r="CH83" s="352" t="s">
        <v>121</v>
      </c>
      <c r="CI83" s="352" t="s">
        <v>121</v>
      </c>
      <c r="CJ83" s="352" t="s">
        <v>121</v>
      </c>
      <c r="CK83" s="352" t="s">
        <v>121</v>
      </c>
      <c r="CL83" s="352" t="s">
        <v>121</v>
      </c>
      <c r="CM83" s="352" t="s">
        <v>121</v>
      </c>
      <c r="CN83" s="352" t="s">
        <v>121</v>
      </c>
      <c r="CO83" s="352" t="s">
        <v>121</v>
      </c>
      <c r="CP83" s="352" t="s">
        <v>121</v>
      </c>
      <c r="CQ83" s="352" t="s">
        <v>121</v>
      </c>
      <c r="CR83" s="352" t="s">
        <v>121</v>
      </c>
      <c r="CS83" s="352" t="s">
        <v>121</v>
      </c>
      <c r="CT83" s="352" t="s">
        <v>121</v>
      </c>
      <c r="CU83" s="352" t="s">
        <v>121</v>
      </c>
      <c r="CV83" s="352" t="s">
        <v>121</v>
      </c>
      <c r="CW83" s="352" t="s">
        <v>121</v>
      </c>
      <c r="CX83" s="352" t="s">
        <v>121</v>
      </c>
      <c r="CY83" s="352" t="s">
        <v>121</v>
      </c>
      <c r="CZ83" s="352" t="s">
        <v>121</v>
      </c>
      <c r="DA83" s="352" t="s">
        <v>121</v>
      </c>
      <c r="DB83" s="352" t="s">
        <v>121</v>
      </c>
      <c r="DC83" s="352" t="s">
        <v>121</v>
      </c>
      <c r="DD83" s="352" t="s">
        <v>121</v>
      </c>
      <c r="DE83" s="352" t="s">
        <v>121</v>
      </c>
      <c r="DF83" s="352" t="s">
        <v>121</v>
      </c>
      <c r="DG83" s="352" t="s">
        <v>121</v>
      </c>
      <c r="DH83" s="352" t="s">
        <v>121</v>
      </c>
      <c r="DI83" s="352" t="s">
        <v>121</v>
      </c>
      <c r="DJ83" s="352" t="s">
        <v>121</v>
      </c>
      <c r="DK83" s="352" t="s">
        <v>121</v>
      </c>
      <c r="DL83" s="352" t="s">
        <v>121</v>
      </c>
      <c r="DM83" s="352" t="s">
        <v>121</v>
      </c>
      <c r="DN83" s="352" t="s">
        <v>121</v>
      </c>
      <c r="DO83" s="352" t="s">
        <v>121</v>
      </c>
      <c r="DP83" s="352" t="s">
        <v>121</v>
      </c>
      <c r="DQ83" s="352" t="s">
        <v>121</v>
      </c>
      <c r="DR83" s="352" t="s">
        <v>121</v>
      </c>
      <c r="DS83" s="352" t="s">
        <v>121</v>
      </c>
      <c r="DT83" s="352" t="s">
        <v>121</v>
      </c>
      <c r="DU83" s="352" t="s">
        <v>121</v>
      </c>
      <c r="DV83" s="352" t="s">
        <v>121</v>
      </c>
      <c r="DW83" s="352" t="s">
        <v>121</v>
      </c>
      <c r="DX83" s="352" t="s">
        <v>121</v>
      </c>
      <c r="DY83" s="352" t="s">
        <v>121</v>
      </c>
      <c r="DZ83" s="352" t="s">
        <v>121</v>
      </c>
      <c r="EA83" s="352" t="s">
        <v>121</v>
      </c>
      <c r="EB83" s="352" t="s">
        <v>121</v>
      </c>
      <c r="EC83" s="352" t="s">
        <v>121</v>
      </c>
      <c r="ED83" s="352" t="s">
        <v>121</v>
      </c>
      <c r="EE83" s="352" t="s">
        <v>121</v>
      </c>
      <c r="EF83" s="352" t="s">
        <v>121</v>
      </c>
      <c r="EG83" s="352" t="s">
        <v>121</v>
      </c>
      <c r="EH83" s="352" t="s">
        <v>121</v>
      </c>
      <c r="EI83" s="352" t="s">
        <v>121</v>
      </c>
      <c r="EJ83" s="352" t="s">
        <v>121</v>
      </c>
      <c r="EK83" s="352" t="s">
        <v>121</v>
      </c>
      <c r="EL83" s="352" t="s">
        <v>121</v>
      </c>
      <c r="EM83" s="352" t="s">
        <v>121</v>
      </c>
      <c r="EN83" s="352" t="s">
        <v>121</v>
      </c>
      <c r="EO83" s="352" t="s">
        <v>121</v>
      </c>
      <c r="EP83" s="352" t="s">
        <v>121</v>
      </c>
      <c r="EQ83" s="352" t="s">
        <v>121</v>
      </c>
      <c r="ER83" s="352" t="s">
        <v>121</v>
      </c>
      <c r="ES83" s="352" t="s">
        <v>121</v>
      </c>
      <c r="ET83" s="352" t="s">
        <v>121</v>
      </c>
      <c r="EU83" s="352" t="s">
        <v>121</v>
      </c>
      <c r="EV83" s="352" t="s">
        <v>121</v>
      </c>
      <c r="EW83" s="352" t="s">
        <v>121</v>
      </c>
      <c r="EX83" s="352" t="s">
        <v>121</v>
      </c>
    </row>
    <row r="84" spans="1:154" s="352" customFormat="1" x14ac:dyDescent="0.25">
      <c r="A84" s="273">
        <v>84</v>
      </c>
      <c r="B84" s="375" t="s">
        <v>418</v>
      </c>
      <c r="C84" s="345" t="s">
        <v>121</v>
      </c>
      <c r="D84" s="275" t="s">
        <v>121</v>
      </c>
      <c r="E84" s="270" t="s">
        <v>121</v>
      </c>
      <c r="F84" s="255">
        <v>718</v>
      </c>
      <c r="G84" s="255">
        <v>-1201</v>
      </c>
      <c r="H84" s="255">
        <v>-29</v>
      </c>
      <c r="I84" s="255">
        <v>-238</v>
      </c>
      <c r="J84" s="255">
        <v>-143</v>
      </c>
      <c r="K84" s="255">
        <v>1</v>
      </c>
      <c r="L84" s="255">
        <v>-17</v>
      </c>
      <c r="M84" s="255">
        <v>-380</v>
      </c>
      <c r="N84" s="255">
        <v>-594</v>
      </c>
      <c r="O84" s="255">
        <v>-54</v>
      </c>
      <c r="P84" s="255">
        <v>-53</v>
      </c>
      <c r="Q84" s="405"/>
      <c r="R84" s="405"/>
      <c r="S84" s="405"/>
      <c r="T84" s="405"/>
      <c r="U84" s="255">
        <v>71</v>
      </c>
      <c r="V84" s="255">
        <v>168</v>
      </c>
      <c r="W84" s="255">
        <v>-15</v>
      </c>
      <c r="X84" s="255">
        <v>-60</v>
      </c>
      <c r="Y84" s="255">
        <v>8.6239999999999952</v>
      </c>
      <c r="Z84" s="255">
        <v>15.486999999999995</v>
      </c>
      <c r="AA84" s="255">
        <v>-127.262</v>
      </c>
      <c r="AB84" s="255">
        <v>-37.848999999999997</v>
      </c>
      <c r="AC84" s="255">
        <v>103.85599999999999</v>
      </c>
      <c r="AD84" s="255" t="s">
        <v>121</v>
      </c>
      <c r="AE84" s="255" t="s">
        <v>121</v>
      </c>
      <c r="AF84" s="255" t="s">
        <v>121</v>
      </c>
      <c r="AG84" s="255" t="s">
        <v>121</v>
      </c>
      <c r="AH84" s="255">
        <v>204.27699999999999</v>
      </c>
      <c r="AI84" s="255">
        <v>382.23399999999998</v>
      </c>
      <c r="AJ84" s="255" t="s">
        <v>121</v>
      </c>
      <c r="AK84" s="255" t="s">
        <v>121</v>
      </c>
      <c r="AL84" s="255" t="s">
        <v>121</v>
      </c>
      <c r="AM84" s="255" t="s">
        <v>121</v>
      </c>
      <c r="AN84" s="255" t="s">
        <v>121</v>
      </c>
      <c r="AO84" s="255" t="s">
        <v>121</v>
      </c>
      <c r="AP84" s="255" t="s">
        <v>121</v>
      </c>
      <c r="AQ84" s="255" t="s">
        <v>121</v>
      </c>
      <c r="AR84" s="255" t="s">
        <v>121</v>
      </c>
      <c r="AS84" s="255" t="s">
        <v>121</v>
      </c>
      <c r="AT84" s="255" t="s">
        <v>121</v>
      </c>
      <c r="AU84" s="255" t="s">
        <v>121</v>
      </c>
      <c r="AV84" s="255" t="s">
        <v>121</v>
      </c>
      <c r="AW84" s="255" t="s">
        <v>121</v>
      </c>
      <c r="AX84" s="255" t="s">
        <v>121</v>
      </c>
      <c r="AY84" s="255" t="s">
        <v>121</v>
      </c>
      <c r="AZ84" s="255" t="s">
        <v>121</v>
      </c>
      <c r="BA84" s="255" t="s">
        <v>121</v>
      </c>
      <c r="BB84" s="255" t="s">
        <v>121</v>
      </c>
      <c r="BC84" s="255" t="s">
        <v>121</v>
      </c>
      <c r="BD84" s="255" t="s">
        <v>121</v>
      </c>
      <c r="BE84" s="255" t="s">
        <v>121</v>
      </c>
      <c r="BF84" s="255" t="s">
        <v>121</v>
      </c>
      <c r="BG84" s="255" t="s">
        <v>121</v>
      </c>
      <c r="BH84" s="255" t="s">
        <v>121</v>
      </c>
      <c r="BI84" s="255" t="s">
        <v>121</v>
      </c>
      <c r="BJ84" s="255" t="s">
        <v>121</v>
      </c>
      <c r="BK84" s="255" t="s">
        <v>121</v>
      </c>
      <c r="BL84" s="255" t="s">
        <v>121</v>
      </c>
      <c r="BM84" s="352" t="s">
        <v>121</v>
      </c>
      <c r="BN84" s="352" t="s">
        <v>121</v>
      </c>
      <c r="BO84" s="352" t="s">
        <v>121</v>
      </c>
      <c r="BP84" s="352" t="s">
        <v>121</v>
      </c>
      <c r="BQ84" s="352" t="s">
        <v>121</v>
      </c>
      <c r="BR84" s="352" t="s">
        <v>121</v>
      </c>
      <c r="BS84" s="352" t="s">
        <v>121</v>
      </c>
      <c r="BT84" s="352" t="s">
        <v>121</v>
      </c>
      <c r="BU84" s="352" t="s">
        <v>121</v>
      </c>
      <c r="BV84" s="352" t="s">
        <v>121</v>
      </c>
      <c r="BW84" s="352" t="s">
        <v>121</v>
      </c>
      <c r="BX84" s="352" t="s">
        <v>121</v>
      </c>
      <c r="BY84" s="352" t="s">
        <v>121</v>
      </c>
      <c r="BZ84" s="352" t="s">
        <v>121</v>
      </c>
      <c r="CA84" s="352" t="s">
        <v>121</v>
      </c>
      <c r="CB84" s="352" t="s">
        <v>121</v>
      </c>
      <c r="CC84" s="352" t="s">
        <v>121</v>
      </c>
      <c r="CD84" s="352" t="s">
        <v>121</v>
      </c>
      <c r="CE84" s="352" t="s">
        <v>121</v>
      </c>
      <c r="CF84" s="352" t="s">
        <v>121</v>
      </c>
      <c r="CG84" s="352" t="s">
        <v>121</v>
      </c>
      <c r="CH84" s="352" t="s">
        <v>121</v>
      </c>
      <c r="CI84" s="352" t="s">
        <v>121</v>
      </c>
      <c r="CJ84" s="352" t="s">
        <v>121</v>
      </c>
      <c r="CK84" s="352" t="s">
        <v>121</v>
      </c>
      <c r="CL84" s="352" t="s">
        <v>121</v>
      </c>
      <c r="CM84" s="352" t="s">
        <v>121</v>
      </c>
      <c r="CN84" s="352" t="s">
        <v>121</v>
      </c>
      <c r="CO84" s="352" t="s">
        <v>121</v>
      </c>
      <c r="CP84" s="352" t="s">
        <v>121</v>
      </c>
      <c r="CQ84" s="352" t="s">
        <v>121</v>
      </c>
      <c r="CR84" s="352" t="s">
        <v>121</v>
      </c>
      <c r="CS84" s="352" t="s">
        <v>121</v>
      </c>
      <c r="CT84" s="352" t="s">
        <v>121</v>
      </c>
      <c r="CU84" s="352" t="s">
        <v>121</v>
      </c>
      <c r="CV84" s="352" t="s">
        <v>121</v>
      </c>
      <c r="CW84" s="352" t="s">
        <v>121</v>
      </c>
      <c r="CX84" s="352" t="s">
        <v>121</v>
      </c>
      <c r="CY84" s="352" t="s">
        <v>121</v>
      </c>
      <c r="CZ84" s="352" t="s">
        <v>121</v>
      </c>
      <c r="DA84" s="352" t="s">
        <v>121</v>
      </c>
      <c r="DB84" s="352" t="s">
        <v>121</v>
      </c>
      <c r="DC84" s="352" t="s">
        <v>121</v>
      </c>
      <c r="DD84" s="352" t="s">
        <v>121</v>
      </c>
      <c r="DE84" s="352" t="s">
        <v>121</v>
      </c>
      <c r="DF84" s="352" t="s">
        <v>121</v>
      </c>
      <c r="DG84" s="352" t="s">
        <v>121</v>
      </c>
      <c r="DH84" s="352" t="s">
        <v>121</v>
      </c>
      <c r="DI84" s="352" t="s">
        <v>121</v>
      </c>
      <c r="DJ84" s="352" t="s">
        <v>121</v>
      </c>
      <c r="DK84" s="352" t="s">
        <v>121</v>
      </c>
      <c r="DL84" s="352" t="s">
        <v>121</v>
      </c>
      <c r="DM84" s="352" t="s">
        <v>121</v>
      </c>
      <c r="DN84" s="352" t="s">
        <v>121</v>
      </c>
      <c r="DO84" s="352" t="s">
        <v>121</v>
      </c>
      <c r="DP84" s="352" t="s">
        <v>121</v>
      </c>
      <c r="DQ84" s="352" t="s">
        <v>121</v>
      </c>
      <c r="DR84" s="352" t="s">
        <v>121</v>
      </c>
      <c r="DS84" s="352" t="s">
        <v>121</v>
      </c>
      <c r="DT84" s="352" t="s">
        <v>121</v>
      </c>
      <c r="DU84" s="352" t="s">
        <v>121</v>
      </c>
      <c r="DV84" s="352" t="s">
        <v>121</v>
      </c>
      <c r="DW84" s="352" t="s">
        <v>121</v>
      </c>
      <c r="DX84" s="352" t="s">
        <v>121</v>
      </c>
      <c r="DY84" s="352" t="s">
        <v>121</v>
      </c>
      <c r="DZ84" s="352" t="s">
        <v>121</v>
      </c>
      <c r="EA84" s="352" t="s">
        <v>121</v>
      </c>
      <c r="EB84" s="352" t="s">
        <v>121</v>
      </c>
      <c r="EC84" s="352" t="s">
        <v>121</v>
      </c>
      <c r="ED84" s="352" t="s">
        <v>121</v>
      </c>
      <c r="EE84" s="352" t="s">
        <v>121</v>
      </c>
      <c r="EF84" s="352" t="s">
        <v>121</v>
      </c>
      <c r="EG84" s="352" t="s">
        <v>121</v>
      </c>
      <c r="EH84" s="352" t="s">
        <v>121</v>
      </c>
      <c r="EI84" s="352" t="s">
        <v>121</v>
      </c>
      <c r="EJ84" s="352" t="s">
        <v>121</v>
      </c>
      <c r="EK84" s="352" t="s">
        <v>121</v>
      </c>
      <c r="EL84" s="352" t="s">
        <v>121</v>
      </c>
      <c r="EM84" s="352" t="s">
        <v>121</v>
      </c>
      <c r="EN84" s="352" t="s">
        <v>121</v>
      </c>
      <c r="EO84" s="352" t="s">
        <v>121</v>
      </c>
      <c r="EP84" s="352" t="s">
        <v>121</v>
      </c>
      <c r="EQ84" s="352" t="s">
        <v>121</v>
      </c>
      <c r="ER84" s="352" t="s">
        <v>121</v>
      </c>
      <c r="ES84" s="352" t="s">
        <v>121</v>
      </c>
      <c r="ET84" s="352" t="s">
        <v>121</v>
      </c>
      <c r="EU84" s="352" t="s">
        <v>121</v>
      </c>
      <c r="EV84" s="352" t="s">
        <v>121</v>
      </c>
      <c r="EW84" s="352" t="s">
        <v>121</v>
      </c>
      <c r="EX84" s="352" t="s">
        <v>121</v>
      </c>
    </row>
    <row r="85" spans="1:154" s="352" customFormat="1" ht="26.25" x14ac:dyDescent="0.25">
      <c r="A85" s="273">
        <v>85</v>
      </c>
      <c r="B85" s="375" t="s">
        <v>96</v>
      </c>
      <c r="C85" s="345" t="s">
        <v>121</v>
      </c>
      <c r="D85" s="275" t="s">
        <v>121</v>
      </c>
      <c r="E85" s="270" t="s">
        <v>121</v>
      </c>
      <c r="F85" s="255">
        <v>0</v>
      </c>
      <c r="G85" s="255">
        <v>0</v>
      </c>
      <c r="H85" s="255">
        <v>0</v>
      </c>
      <c r="I85" s="255">
        <v>0</v>
      </c>
      <c r="J85" s="255">
        <v>0</v>
      </c>
      <c r="K85" s="255">
        <v>0</v>
      </c>
      <c r="L85" s="255">
        <v>0</v>
      </c>
      <c r="M85" s="255">
        <v>0</v>
      </c>
      <c r="N85" s="255">
        <v>0</v>
      </c>
      <c r="O85" s="255">
        <v>0</v>
      </c>
      <c r="P85" s="255">
        <v>0</v>
      </c>
      <c r="Q85" s="405"/>
      <c r="R85" s="405"/>
      <c r="S85" s="405"/>
      <c r="T85" s="405"/>
      <c r="U85" s="255" t="s">
        <v>121</v>
      </c>
      <c r="V85" s="255" t="s">
        <v>121</v>
      </c>
      <c r="W85" s="255" t="s">
        <v>121</v>
      </c>
      <c r="X85" s="255" t="s">
        <v>121</v>
      </c>
      <c r="Y85" s="255">
        <v>2.2200000000000002</v>
      </c>
      <c r="Z85" s="255">
        <v>-2.2200000000000002</v>
      </c>
      <c r="AA85" s="255" t="s">
        <v>121</v>
      </c>
      <c r="AB85" s="255" t="s">
        <v>121</v>
      </c>
      <c r="AC85" s="255">
        <v>-79.801999999999992</v>
      </c>
      <c r="AD85" s="255">
        <v>-1.0000000000047748E-3</v>
      </c>
      <c r="AE85" s="255">
        <v>-255.529</v>
      </c>
      <c r="AF85" s="255" t="s">
        <v>121</v>
      </c>
      <c r="AG85" s="255" t="s">
        <v>121</v>
      </c>
      <c r="AH85" s="255" t="s">
        <v>121</v>
      </c>
      <c r="AI85" s="255" t="s">
        <v>121</v>
      </c>
      <c r="AJ85" s="255" t="s">
        <v>121</v>
      </c>
      <c r="AK85" s="255" t="s">
        <v>121</v>
      </c>
      <c r="AL85" s="255" t="s">
        <v>121</v>
      </c>
      <c r="AM85" s="255" t="s">
        <v>121</v>
      </c>
      <c r="AN85" s="255" t="s">
        <v>121</v>
      </c>
      <c r="AO85" s="255" t="s">
        <v>121</v>
      </c>
      <c r="AP85" s="255" t="s">
        <v>121</v>
      </c>
      <c r="AQ85" s="255" t="s">
        <v>121</v>
      </c>
      <c r="AR85" s="255" t="s">
        <v>121</v>
      </c>
      <c r="AS85" s="255" t="s">
        <v>121</v>
      </c>
      <c r="AT85" s="255" t="s">
        <v>121</v>
      </c>
      <c r="AU85" s="255" t="s">
        <v>121</v>
      </c>
      <c r="AV85" s="255" t="s">
        <v>121</v>
      </c>
      <c r="AW85" s="255" t="s">
        <v>121</v>
      </c>
      <c r="AX85" s="255" t="s">
        <v>121</v>
      </c>
      <c r="AY85" s="255" t="s">
        <v>121</v>
      </c>
      <c r="AZ85" s="255" t="s">
        <v>121</v>
      </c>
      <c r="BA85" s="255" t="s">
        <v>121</v>
      </c>
      <c r="BB85" s="255" t="s">
        <v>121</v>
      </c>
      <c r="BC85" s="255" t="s">
        <v>121</v>
      </c>
      <c r="BD85" s="255" t="s">
        <v>121</v>
      </c>
      <c r="BE85" s="255" t="s">
        <v>121</v>
      </c>
      <c r="BF85" s="255" t="s">
        <v>121</v>
      </c>
      <c r="BG85" s="255" t="s">
        <v>121</v>
      </c>
      <c r="BH85" s="255" t="s">
        <v>121</v>
      </c>
      <c r="BI85" s="255" t="s">
        <v>121</v>
      </c>
      <c r="BJ85" s="255" t="s">
        <v>121</v>
      </c>
      <c r="BK85" s="255" t="s">
        <v>121</v>
      </c>
      <c r="BL85" s="255" t="s">
        <v>121</v>
      </c>
      <c r="BM85" s="352" t="s">
        <v>121</v>
      </c>
      <c r="BN85" s="352" t="s">
        <v>121</v>
      </c>
      <c r="BO85" s="352" t="s">
        <v>121</v>
      </c>
      <c r="BP85" s="352" t="s">
        <v>121</v>
      </c>
      <c r="BQ85" s="352" t="s">
        <v>121</v>
      </c>
      <c r="BR85" s="352" t="s">
        <v>121</v>
      </c>
      <c r="BS85" s="352" t="s">
        <v>121</v>
      </c>
      <c r="BT85" s="352" t="s">
        <v>121</v>
      </c>
      <c r="BU85" s="352" t="s">
        <v>121</v>
      </c>
      <c r="BV85" s="352" t="s">
        <v>121</v>
      </c>
      <c r="BW85" s="352" t="s">
        <v>121</v>
      </c>
      <c r="BX85" s="352" t="s">
        <v>121</v>
      </c>
      <c r="BY85" s="352" t="s">
        <v>121</v>
      </c>
      <c r="BZ85" s="352" t="s">
        <v>121</v>
      </c>
      <c r="CA85" s="352" t="s">
        <v>121</v>
      </c>
      <c r="CB85" s="352" t="s">
        <v>121</v>
      </c>
      <c r="CC85" s="352" t="s">
        <v>121</v>
      </c>
      <c r="CD85" s="352" t="s">
        <v>121</v>
      </c>
      <c r="CE85" s="352" t="s">
        <v>121</v>
      </c>
      <c r="CF85" s="352" t="s">
        <v>121</v>
      </c>
      <c r="CG85" s="352" t="s">
        <v>121</v>
      </c>
      <c r="CH85" s="352" t="s">
        <v>121</v>
      </c>
      <c r="CI85" s="352" t="s">
        <v>121</v>
      </c>
      <c r="CJ85" s="352" t="s">
        <v>121</v>
      </c>
      <c r="CK85" s="352" t="s">
        <v>121</v>
      </c>
      <c r="CL85" s="352" t="s">
        <v>121</v>
      </c>
      <c r="CM85" s="352" t="s">
        <v>121</v>
      </c>
      <c r="CN85" s="352" t="s">
        <v>121</v>
      </c>
      <c r="CO85" s="352" t="s">
        <v>121</v>
      </c>
      <c r="CP85" s="352" t="s">
        <v>121</v>
      </c>
      <c r="CQ85" s="352" t="s">
        <v>121</v>
      </c>
      <c r="CR85" s="352" t="s">
        <v>121</v>
      </c>
      <c r="CS85" s="352" t="s">
        <v>121</v>
      </c>
      <c r="CT85" s="352" t="s">
        <v>121</v>
      </c>
      <c r="CU85" s="352" t="s">
        <v>121</v>
      </c>
      <c r="CV85" s="352" t="s">
        <v>121</v>
      </c>
      <c r="CW85" s="352" t="s">
        <v>121</v>
      </c>
      <c r="CX85" s="352" t="s">
        <v>121</v>
      </c>
      <c r="CY85" s="352" t="s">
        <v>121</v>
      </c>
      <c r="CZ85" s="352" t="s">
        <v>121</v>
      </c>
      <c r="DA85" s="352" t="s">
        <v>121</v>
      </c>
      <c r="DB85" s="352" t="s">
        <v>121</v>
      </c>
      <c r="DC85" s="352" t="s">
        <v>121</v>
      </c>
      <c r="DD85" s="352" t="s">
        <v>121</v>
      </c>
      <c r="DE85" s="352" t="s">
        <v>121</v>
      </c>
      <c r="DF85" s="352" t="s">
        <v>121</v>
      </c>
      <c r="DG85" s="352" t="s">
        <v>121</v>
      </c>
      <c r="DH85" s="352" t="s">
        <v>121</v>
      </c>
      <c r="DI85" s="352" t="s">
        <v>121</v>
      </c>
      <c r="DJ85" s="352" t="s">
        <v>121</v>
      </c>
      <c r="DK85" s="352" t="s">
        <v>121</v>
      </c>
      <c r="DL85" s="352" t="s">
        <v>121</v>
      </c>
      <c r="DM85" s="352" t="s">
        <v>121</v>
      </c>
      <c r="DN85" s="352" t="s">
        <v>121</v>
      </c>
      <c r="DO85" s="352" t="s">
        <v>121</v>
      </c>
      <c r="DP85" s="352" t="s">
        <v>121</v>
      </c>
      <c r="DQ85" s="352" t="s">
        <v>121</v>
      </c>
      <c r="DR85" s="352" t="s">
        <v>121</v>
      </c>
      <c r="DS85" s="352" t="s">
        <v>121</v>
      </c>
      <c r="DT85" s="352" t="s">
        <v>121</v>
      </c>
      <c r="DU85" s="352" t="s">
        <v>121</v>
      </c>
      <c r="DV85" s="352" t="s">
        <v>121</v>
      </c>
      <c r="DW85" s="352" t="s">
        <v>121</v>
      </c>
      <c r="DX85" s="352" t="s">
        <v>121</v>
      </c>
      <c r="DY85" s="352" t="s">
        <v>121</v>
      </c>
      <c r="DZ85" s="352" t="s">
        <v>121</v>
      </c>
      <c r="EA85" s="352" t="s">
        <v>121</v>
      </c>
      <c r="EB85" s="352" t="s">
        <v>121</v>
      </c>
      <c r="EC85" s="352" t="s">
        <v>121</v>
      </c>
      <c r="ED85" s="352" t="s">
        <v>121</v>
      </c>
      <c r="EE85" s="352" t="s">
        <v>121</v>
      </c>
      <c r="EF85" s="352" t="s">
        <v>121</v>
      </c>
      <c r="EG85" s="352" t="s">
        <v>121</v>
      </c>
      <c r="EH85" s="352" t="s">
        <v>121</v>
      </c>
      <c r="EI85" s="352" t="s">
        <v>121</v>
      </c>
      <c r="EJ85" s="352" t="s">
        <v>121</v>
      </c>
      <c r="EK85" s="352" t="s">
        <v>121</v>
      </c>
      <c r="EL85" s="352" t="s">
        <v>121</v>
      </c>
      <c r="EM85" s="352" t="s">
        <v>121</v>
      </c>
      <c r="EN85" s="352" t="s">
        <v>121</v>
      </c>
      <c r="EO85" s="352" t="s">
        <v>121</v>
      </c>
      <c r="EP85" s="352" t="s">
        <v>121</v>
      </c>
      <c r="EQ85" s="352" t="s">
        <v>121</v>
      </c>
      <c r="ER85" s="352" t="s">
        <v>121</v>
      </c>
      <c r="ES85" s="352" t="s">
        <v>121</v>
      </c>
      <c r="ET85" s="352" t="s">
        <v>121</v>
      </c>
      <c r="EU85" s="352" t="s">
        <v>121</v>
      </c>
      <c r="EV85" s="352" t="s">
        <v>121</v>
      </c>
      <c r="EW85" s="352" t="s">
        <v>121</v>
      </c>
      <c r="EX85" s="352" t="s">
        <v>121</v>
      </c>
    </row>
    <row r="86" spans="1:154" s="352" customFormat="1" ht="15" customHeight="1" x14ac:dyDescent="0.25">
      <c r="A86" s="273">
        <v>86</v>
      </c>
      <c r="B86" s="375" t="s">
        <v>97</v>
      </c>
      <c r="C86" s="345" t="s">
        <v>121</v>
      </c>
      <c r="D86" s="275" t="s">
        <v>121</v>
      </c>
      <c r="E86" s="270" t="s">
        <v>121</v>
      </c>
      <c r="F86" s="255">
        <v>0</v>
      </c>
      <c r="G86" s="255">
        <v>0</v>
      </c>
      <c r="H86" s="255">
        <v>0</v>
      </c>
      <c r="I86" s="255">
        <v>0</v>
      </c>
      <c r="J86" s="255">
        <v>0</v>
      </c>
      <c r="K86" s="255">
        <v>0</v>
      </c>
      <c r="L86" s="255">
        <v>0</v>
      </c>
      <c r="M86" s="255">
        <v>0</v>
      </c>
      <c r="N86" s="255">
        <v>0</v>
      </c>
      <c r="O86" s="255">
        <v>0</v>
      </c>
      <c r="P86" s="255">
        <v>0</v>
      </c>
      <c r="Q86" s="405"/>
      <c r="R86" s="405"/>
      <c r="S86" s="405"/>
      <c r="T86" s="405"/>
      <c r="U86" s="255" t="s">
        <v>121</v>
      </c>
      <c r="V86" s="255" t="s">
        <v>121</v>
      </c>
      <c r="W86" s="255" t="s">
        <v>121</v>
      </c>
      <c r="X86" s="255" t="s">
        <v>121</v>
      </c>
      <c r="Y86" s="255" t="s">
        <v>121</v>
      </c>
      <c r="Z86" s="255" t="s">
        <v>121</v>
      </c>
      <c r="AA86" s="255" t="s">
        <v>121</v>
      </c>
      <c r="AB86" s="255" t="s">
        <v>121</v>
      </c>
      <c r="AC86" s="255" t="s">
        <v>121</v>
      </c>
      <c r="AD86" s="255" t="s">
        <v>121</v>
      </c>
      <c r="AE86" s="255" t="s">
        <v>121</v>
      </c>
      <c r="AF86" s="255" t="s">
        <v>121</v>
      </c>
      <c r="AG86" s="394" t="s">
        <v>121</v>
      </c>
      <c r="AH86" s="255">
        <v>-47.634999999999998</v>
      </c>
      <c r="AI86" s="255" t="s">
        <v>121</v>
      </c>
      <c r="AJ86" s="255" t="s">
        <v>121</v>
      </c>
      <c r="AK86" s="255" t="s">
        <v>121</v>
      </c>
      <c r="AL86" s="255" t="s">
        <v>121</v>
      </c>
      <c r="AM86" s="255" t="s">
        <v>121</v>
      </c>
      <c r="AN86" s="255" t="s">
        <v>121</v>
      </c>
      <c r="AO86" s="255" t="s">
        <v>121</v>
      </c>
      <c r="AP86" s="255" t="s">
        <v>121</v>
      </c>
      <c r="AQ86" s="255" t="s">
        <v>121</v>
      </c>
      <c r="AR86" s="255" t="s">
        <v>121</v>
      </c>
      <c r="AS86" s="255" t="s">
        <v>121</v>
      </c>
      <c r="AT86" s="255" t="s">
        <v>121</v>
      </c>
      <c r="AU86" s="255" t="s">
        <v>121</v>
      </c>
      <c r="AV86" s="255" t="s">
        <v>121</v>
      </c>
      <c r="AW86" s="255" t="s">
        <v>121</v>
      </c>
      <c r="AX86" s="255" t="s">
        <v>121</v>
      </c>
      <c r="AY86" s="255" t="s">
        <v>121</v>
      </c>
      <c r="AZ86" s="255" t="s">
        <v>121</v>
      </c>
      <c r="BA86" s="255" t="s">
        <v>121</v>
      </c>
      <c r="BB86" s="255" t="s">
        <v>121</v>
      </c>
      <c r="BC86" s="255" t="s">
        <v>121</v>
      </c>
      <c r="BD86" s="255" t="s">
        <v>121</v>
      </c>
      <c r="BE86" s="255" t="s">
        <v>121</v>
      </c>
      <c r="BF86" s="255" t="s">
        <v>121</v>
      </c>
      <c r="BG86" s="255" t="s">
        <v>121</v>
      </c>
      <c r="BH86" s="255" t="s">
        <v>121</v>
      </c>
      <c r="BI86" s="255" t="s">
        <v>121</v>
      </c>
      <c r="BJ86" s="255" t="s">
        <v>121</v>
      </c>
      <c r="BK86" s="255" t="s">
        <v>121</v>
      </c>
      <c r="BL86" s="255" t="s">
        <v>121</v>
      </c>
      <c r="BM86" s="352" t="s">
        <v>121</v>
      </c>
      <c r="BN86" s="352" t="s">
        <v>121</v>
      </c>
      <c r="BO86" s="352" t="s">
        <v>121</v>
      </c>
      <c r="BP86" s="352" t="s">
        <v>121</v>
      </c>
      <c r="BQ86" s="352" t="s">
        <v>121</v>
      </c>
      <c r="BR86" s="352" t="s">
        <v>121</v>
      </c>
      <c r="BS86" s="352" t="s">
        <v>121</v>
      </c>
      <c r="BT86" s="352" t="s">
        <v>121</v>
      </c>
      <c r="BU86" s="352" t="s">
        <v>121</v>
      </c>
      <c r="BV86" s="352" t="s">
        <v>121</v>
      </c>
      <c r="BW86" s="352" t="s">
        <v>121</v>
      </c>
      <c r="BX86" s="352" t="s">
        <v>121</v>
      </c>
      <c r="BY86" s="352" t="s">
        <v>121</v>
      </c>
      <c r="BZ86" s="352" t="s">
        <v>121</v>
      </c>
      <c r="CA86" s="352" t="s">
        <v>121</v>
      </c>
      <c r="CB86" s="352" t="s">
        <v>121</v>
      </c>
      <c r="CC86" s="352" t="s">
        <v>121</v>
      </c>
      <c r="CD86" s="352" t="s">
        <v>121</v>
      </c>
      <c r="CE86" s="352" t="s">
        <v>121</v>
      </c>
      <c r="CF86" s="352" t="s">
        <v>121</v>
      </c>
      <c r="CG86" s="352" t="s">
        <v>121</v>
      </c>
      <c r="CH86" s="352" t="s">
        <v>121</v>
      </c>
      <c r="CI86" s="352" t="s">
        <v>121</v>
      </c>
      <c r="CJ86" s="352" t="s">
        <v>121</v>
      </c>
      <c r="CK86" s="352" t="s">
        <v>121</v>
      </c>
      <c r="CL86" s="352" t="s">
        <v>121</v>
      </c>
      <c r="CM86" s="352" t="s">
        <v>121</v>
      </c>
      <c r="CN86" s="352" t="s">
        <v>121</v>
      </c>
      <c r="CO86" s="352" t="s">
        <v>121</v>
      </c>
      <c r="CP86" s="352" t="s">
        <v>121</v>
      </c>
      <c r="CQ86" s="352" t="s">
        <v>121</v>
      </c>
      <c r="CR86" s="352" t="s">
        <v>121</v>
      </c>
      <c r="CS86" s="352" t="s">
        <v>121</v>
      </c>
      <c r="CT86" s="352" t="s">
        <v>121</v>
      </c>
      <c r="CU86" s="352" t="s">
        <v>121</v>
      </c>
      <c r="CV86" s="352" t="s">
        <v>121</v>
      </c>
      <c r="CW86" s="352" t="s">
        <v>121</v>
      </c>
      <c r="CX86" s="352" t="s">
        <v>121</v>
      </c>
      <c r="CY86" s="352" t="s">
        <v>121</v>
      </c>
      <c r="CZ86" s="352" t="s">
        <v>121</v>
      </c>
      <c r="DA86" s="352" t="s">
        <v>121</v>
      </c>
      <c r="DB86" s="352" t="s">
        <v>121</v>
      </c>
      <c r="DC86" s="352" t="s">
        <v>121</v>
      </c>
      <c r="DD86" s="352" t="s">
        <v>121</v>
      </c>
      <c r="DE86" s="352" t="s">
        <v>121</v>
      </c>
      <c r="DF86" s="352" t="s">
        <v>121</v>
      </c>
      <c r="DG86" s="352" t="s">
        <v>121</v>
      </c>
      <c r="DH86" s="352" t="s">
        <v>121</v>
      </c>
      <c r="DI86" s="352" t="s">
        <v>121</v>
      </c>
      <c r="DJ86" s="352" t="s">
        <v>121</v>
      </c>
      <c r="DK86" s="352" t="s">
        <v>121</v>
      </c>
      <c r="DL86" s="352" t="s">
        <v>121</v>
      </c>
      <c r="DM86" s="352" t="s">
        <v>121</v>
      </c>
      <c r="DN86" s="352" t="s">
        <v>121</v>
      </c>
      <c r="DO86" s="352" t="s">
        <v>121</v>
      </c>
      <c r="DP86" s="352" t="s">
        <v>121</v>
      </c>
      <c r="DQ86" s="352" t="s">
        <v>121</v>
      </c>
      <c r="DR86" s="352" t="s">
        <v>121</v>
      </c>
      <c r="DS86" s="352" t="s">
        <v>121</v>
      </c>
      <c r="DT86" s="352" t="s">
        <v>121</v>
      </c>
      <c r="DU86" s="352" t="s">
        <v>121</v>
      </c>
      <c r="DV86" s="352" t="s">
        <v>121</v>
      </c>
      <c r="DW86" s="352" t="s">
        <v>121</v>
      </c>
      <c r="DX86" s="352" t="s">
        <v>121</v>
      </c>
      <c r="DY86" s="352" t="s">
        <v>121</v>
      </c>
      <c r="DZ86" s="352" t="s">
        <v>121</v>
      </c>
      <c r="EA86" s="352" t="s">
        <v>121</v>
      </c>
      <c r="EB86" s="352" t="s">
        <v>121</v>
      </c>
      <c r="EC86" s="352" t="s">
        <v>121</v>
      </c>
      <c r="ED86" s="352" t="s">
        <v>121</v>
      </c>
      <c r="EE86" s="352" t="s">
        <v>121</v>
      </c>
      <c r="EF86" s="352" t="s">
        <v>121</v>
      </c>
      <c r="EG86" s="352" t="s">
        <v>121</v>
      </c>
      <c r="EH86" s="352" t="s">
        <v>121</v>
      </c>
      <c r="EI86" s="352" t="s">
        <v>121</v>
      </c>
      <c r="EJ86" s="352" t="s">
        <v>121</v>
      </c>
      <c r="EK86" s="352" t="s">
        <v>121</v>
      </c>
      <c r="EL86" s="352" t="s">
        <v>121</v>
      </c>
      <c r="EM86" s="352" t="s">
        <v>121</v>
      </c>
      <c r="EN86" s="352" t="s">
        <v>121</v>
      </c>
      <c r="EO86" s="352" t="s">
        <v>121</v>
      </c>
      <c r="EP86" s="352" t="s">
        <v>121</v>
      </c>
      <c r="EQ86" s="352" t="s">
        <v>121</v>
      </c>
      <c r="ER86" s="352" t="s">
        <v>121</v>
      </c>
      <c r="ES86" s="352" t="s">
        <v>121</v>
      </c>
      <c r="ET86" s="352" t="s">
        <v>121</v>
      </c>
      <c r="EU86" s="352" t="s">
        <v>121</v>
      </c>
      <c r="EV86" s="352" t="s">
        <v>121</v>
      </c>
      <c r="EW86" s="352" t="s">
        <v>121</v>
      </c>
      <c r="EX86" s="352" t="s">
        <v>121</v>
      </c>
    </row>
    <row r="87" spans="1:154" s="352" customFormat="1" ht="15" customHeight="1" x14ac:dyDescent="0.25">
      <c r="A87" s="273">
        <v>87</v>
      </c>
      <c r="B87" s="379" t="s">
        <v>98</v>
      </c>
      <c r="C87" s="345" t="s">
        <v>121</v>
      </c>
      <c r="D87" s="275" t="s">
        <v>121</v>
      </c>
      <c r="E87" s="270" t="s">
        <v>121</v>
      </c>
      <c r="F87" s="255">
        <v>0</v>
      </c>
      <c r="G87" s="255">
        <v>0</v>
      </c>
      <c r="H87" s="255">
        <v>0</v>
      </c>
      <c r="I87" s="255">
        <v>0</v>
      </c>
      <c r="J87" s="255">
        <v>0</v>
      </c>
      <c r="K87" s="255">
        <v>0</v>
      </c>
      <c r="L87" s="255">
        <v>0</v>
      </c>
      <c r="M87" s="255">
        <v>0</v>
      </c>
      <c r="N87" s="255">
        <v>0</v>
      </c>
      <c r="O87" s="255">
        <v>0</v>
      </c>
      <c r="P87" s="255">
        <v>0</v>
      </c>
      <c r="Q87" s="405"/>
      <c r="R87" s="405"/>
      <c r="S87" s="405"/>
      <c r="T87" s="405"/>
      <c r="U87" s="255" t="s">
        <v>121</v>
      </c>
      <c r="V87" s="255" t="s">
        <v>121</v>
      </c>
      <c r="W87" s="255" t="s">
        <v>121</v>
      </c>
      <c r="X87" s="255" t="s">
        <v>121</v>
      </c>
      <c r="Y87" s="255" t="s">
        <v>121</v>
      </c>
      <c r="Z87" s="255" t="s">
        <v>121</v>
      </c>
      <c r="AA87" s="255" t="s">
        <v>121</v>
      </c>
      <c r="AB87" s="255" t="s">
        <v>121</v>
      </c>
      <c r="AC87" s="255" t="s">
        <v>121</v>
      </c>
      <c r="AD87" s="255" t="s">
        <v>121</v>
      </c>
      <c r="AE87" s="255" t="s">
        <v>121</v>
      </c>
      <c r="AF87" s="255" t="s">
        <v>121</v>
      </c>
      <c r="AG87" s="255">
        <v>-1228.7600000000002</v>
      </c>
      <c r="AH87" s="255" t="s">
        <v>121</v>
      </c>
      <c r="AI87" s="255">
        <v>64.302999999999997</v>
      </c>
      <c r="AJ87" s="255" t="s">
        <v>121</v>
      </c>
      <c r="AK87" s="255">
        <v>-308.99299999999999</v>
      </c>
      <c r="AL87" s="255" t="s">
        <v>121</v>
      </c>
      <c r="AM87" s="255" t="s">
        <v>121</v>
      </c>
      <c r="AN87" s="255" t="s">
        <v>121</v>
      </c>
      <c r="AO87" s="255">
        <v>579.54899999999998</v>
      </c>
      <c r="AP87" s="255">
        <v>-250.00100000000003</v>
      </c>
      <c r="AQ87" s="255">
        <v>-348.01799999999997</v>
      </c>
      <c r="AR87" s="255" t="s">
        <v>121</v>
      </c>
      <c r="AS87" s="255" t="s">
        <v>121</v>
      </c>
      <c r="AT87" s="255" t="s">
        <v>121</v>
      </c>
      <c r="AU87" s="255" t="s">
        <v>121</v>
      </c>
      <c r="AV87" s="255" t="s">
        <v>121</v>
      </c>
      <c r="AW87" s="255" t="s">
        <v>121</v>
      </c>
      <c r="AX87" s="255" t="s">
        <v>121</v>
      </c>
      <c r="AY87" s="255" t="s">
        <v>121</v>
      </c>
      <c r="AZ87" s="255" t="s">
        <v>121</v>
      </c>
      <c r="BA87" s="255" t="s">
        <v>121</v>
      </c>
      <c r="BB87" s="255" t="s">
        <v>121</v>
      </c>
      <c r="BC87" s="255" t="s">
        <v>121</v>
      </c>
      <c r="BD87" s="255" t="s">
        <v>121</v>
      </c>
      <c r="BE87" s="255" t="s">
        <v>121</v>
      </c>
      <c r="BF87" s="255" t="s">
        <v>121</v>
      </c>
      <c r="BG87" s="255" t="s">
        <v>121</v>
      </c>
      <c r="BH87" s="255" t="s">
        <v>121</v>
      </c>
      <c r="BI87" s="255" t="s">
        <v>121</v>
      </c>
      <c r="BJ87" s="255" t="s">
        <v>121</v>
      </c>
      <c r="BK87" s="255" t="s">
        <v>121</v>
      </c>
      <c r="BL87" s="255" t="s">
        <v>121</v>
      </c>
      <c r="BM87" s="352">
        <v>-4.0000000000000001E-3</v>
      </c>
      <c r="BN87" s="352" t="s">
        <v>121</v>
      </c>
      <c r="BO87" s="352">
        <v>4.0000000000000001E-3</v>
      </c>
      <c r="BP87" s="352">
        <v>-213.79900000000001</v>
      </c>
      <c r="BQ87" s="352" t="s">
        <v>121</v>
      </c>
      <c r="BR87" s="352" t="s">
        <v>121</v>
      </c>
      <c r="BS87" s="352" t="s">
        <v>121</v>
      </c>
      <c r="BT87" s="352" t="s">
        <v>121</v>
      </c>
      <c r="BU87" s="352" t="s">
        <v>121</v>
      </c>
      <c r="BV87" s="352" t="s">
        <v>121</v>
      </c>
      <c r="BW87" s="352" t="s">
        <v>121</v>
      </c>
      <c r="BX87" s="352" t="s">
        <v>121</v>
      </c>
      <c r="BY87" s="352" t="s">
        <v>121</v>
      </c>
      <c r="BZ87" s="352" t="s">
        <v>121</v>
      </c>
      <c r="CA87" s="352" t="s">
        <v>121</v>
      </c>
      <c r="CB87" s="352" t="s">
        <v>121</v>
      </c>
      <c r="CC87" s="352" t="s">
        <v>121</v>
      </c>
      <c r="CD87" s="352" t="s">
        <v>121</v>
      </c>
      <c r="CE87" s="352" t="s">
        <v>121</v>
      </c>
      <c r="CF87" s="352" t="s">
        <v>121</v>
      </c>
      <c r="CG87" s="352" t="s">
        <v>121</v>
      </c>
      <c r="CH87" s="352" t="s">
        <v>121</v>
      </c>
      <c r="CI87" s="352" t="s">
        <v>121</v>
      </c>
      <c r="CJ87" s="352" t="s">
        <v>121</v>
      </c>
      <c r="CK87" s="352" t="s">
        <v>121</v>
      </c>
      <c r="CL87" s="352" t="s">
        <v>121</v>
      </c>
      <c r="CM87" s="352" t="s">
        <v>121</v>
      </c>
      <c r="CN87" s="352" t="s">
        <v>121</v>
      </c>
      <c r="CO87" s="352" t="s">
        <v>121</v>
      </c>
      <c r="CP87" s="352" t="s">
        <v>121</v>
      </c>
      <c r="CQ87" s="352" t="s">
        <v>121</v>
      </c>
      <c r="CR87" s="352" t="s">
        <v>121</v>
      </c>
      <c r="CS87" s="352" t="s">
        <v>121</v>
      </c>
      <c r="CT87" s="352" t="s">
        <v>121</v>
      </c>
      <c r="CU87" s="352" t="s">
        <v>121</v>
      </c>
      <c r="CV87" s="352" t="s">
        <v>121</v>
      </c>
      <c r="CW87" s="352" t="s">
        <v>121</v>
      </c>
      <c r="CX87" s="352" t="s">
        <v>121</v>
      </c>
      <c r="CY87" s="352" t="s">
        <v>121</v>
      </c>
      <c r="CZ87" s="352" t="s">
        <v>121</v>
      </c>
      <c r="DA87" s="352" t="s">
        <v>121</v>
      </c>
      <c r="DB87" s="352" t="s">
        <v>121</v>
      </c>
      <c r="DC87" s="352" t="s">
        <v>121</v>
      </c>
      <c r="DD87" s="352" t="s">
        <v>121</v>
      </c>
      <c r="DE87" s="352" t="s">
        <v>121</v>
      </c>
      <c r="DF87" s="352" t="s">
        <v>121</v>
      </c>
      <c r="DG87" s="352" t="s">
        <v>121</v>
      </c>
      <c r="DH87" s="352" t="s">
        <v>121</v>
      </c>
      <c r="DI87" s="352" t="s">
        <v>121</v>
      </c>
      <c r="DJ87" s="352" t="s">
        <v>121</v>
      </c>
      <c r="DK87" s="352" t="s">
        <v>121</v>
      </c>
      <c r="DL87" s="352" t="s">
        <v>121</v>
      </c>
      <c r="DM87" s="352" t="s">
        <v>121</v>
      </c>
      <c r="DN87" s="352" t="s">
        <v>121</v>
      </c>
      <c r="DO87" s="352" t="s">
        <v>121</v>
      </c>
      <c r="DP87" s="352" t="s">
        <v>121</v>
      </c>
      <c r="DQ87" s="352" t="s">
        <v>121</v>
      </c>
      <c r="DR87" s="352" t="s">
        <v>121</v>
      </c>
      <c r="DS87" s="352" t="s">
        <v>121</v>
      </c>
      <c r="DT87" s="352" t="s">
        <v>121</v>
      </c>
      <c r="DU87" s="352" t="s">
        <v>121</v>
      </c>
      <c r="DV87" s="352" t="s">
        <v>121</v>
      </c>
      <c r="DW87" s="352" t="s">
        <v>121</v>
      </c>
      <c r="DX87" s="352" t="s">
        <v>121</v>
      </c>
      <c r="DY87" s="352" t="s">
        <v>121</v>
      </c>
      <c r="DZ87" s="352" t="s">
        <v>121</v>
      </c>
      <c r="EA87" s="352" t="s">
        <v>121</v>
      </c>
      <c r="EB87" s="352" t="s">
        <v>121</v>
      </c>
      <c r="EC87" s="352" t="s">
        <v>121</v>
      </c>
      <c r="ED87" s="352" t="s">
        <v>121</v>
      </c>
      <c r="EE87" s="352" t="s">
        <v>121</v>
      </c>
      <c r="EF87" s="352" t="s">
        <v>121</v>
      </c>
      <c r="EG87" s="352" t="s">
        <v>121</v>
      </c>
      <c r="EH87" s="352" t="s">
        <v>121</v>
      </c>
      <c r="EI87" s="352" t="s">
        <v>121</v>
      </c>
      <c r="EJ87" s="352" t="s">
        <v>121</v>
      </c>
      <c r="EK87" s="352" t="s">
        <v>121</v>
      </c>
      <c r="EL87" s="352" t="s">
        <v>121</v>
      </c>
      <c r="EM87" s="352" t="s">
        <v>121</v>
      </c>
      <c r="EN87" s="352" t="s">
        <v>121</v>
      </c>
      <c r="EO87" s="352" t="s">
        <v>121</v>
      </c>
      <c r="EP87" s="352" t="s">
        <v>121</v>
      </c>
      <c r="EQ87" s="352" t="s">
        <v>121</v>
      </c>
      <c r="ER87" s="352" t="s">
        <v>121</v>
      </c>
      <c r="ES87" s="352" t="s">
        <v>121</v>
      </c>
      <c r="ET87" s="352" t="s">
        <v>121</v>
      </c>
      <c r="EU87" s="352" t="s">
        <v>121</v>
      </c>
      <c r="EV87" s="352" t="s">
        <v>121</v>
      </c>
      <c r="EW87" s="352" t="s">
        <v>121</v>
      </c>
      <c r="EX87" s="352" t="s">
        <v>121</v>
      </c>
    </row>
    <row r="88" spans="1:154" s="352" customFormat="1" ht="15" customHeight="1" x14ac:dyDescent="0.25">
      <c r="A88" s="273">
        <v>88</v>
      </c>
      <c r="B88" s="375" t="s">
        <v>99</v>
      </c>
      <c r="C88" s="345" t="s">
        <v>121</v>
      </c>
      <c r="D88" s="275" t="s">
        <v>121</v>
      </c>
      <c r="E88" s="270" t="s">
        <v>121</v>
      </c>
      <c r="F88" s="255">
        <v>0</v>
      </c>
      <c r="G88" s="255">
        <v>0</v>
      </c>
      <c r="H88" s="255">
        <v>0</v>
      </c>
      <c r="I88" s="255">
        <v>0</v>
      </c>
      <c r="J88" s="255">
        <v>0</v>
      </c>
      <c r="K88" s="255">
        <v>0</v>
      </c>
      <c r="L88" s="255">
        <v>0</v>
      </c>
      <c r="M88" s="255">
        <v>0</v>
      </c>
      <c r="N88" s="255">
        <v>0</v>
      </c>
      <c r="O88" s="255">
        <v>0</v>
      </c>
      <c r="P88" s="255">
        <v>0</v>
      </c>
      <c r="Q88" s="405"/>
      <c r="R88" s="405"/>
      <c r="S88" s="405"/>
      <c r="T88" s="405"/>
      <c r="U88" s="255" t="s">
        <v>121</v>
      </c>
      <c r="V88" s="255" t="s">
        <v>121</v>
      </c>
      <c r="W88" s="255" t="s">
        <v>121</v>
      </c>
      <c r="X88" s="255" t="s">
        <v>121</v>
      </c>
      <c r="Y88" s="255" t="s">
        <v>121</v>
      </c>
      <c r="Z88" s="255" t="s">
        <v>121</v>
      </c>
      <c r="AA88" s="255" t="s">
        <v>121</v>
      </c>
      <c r="AB88" s="255" t="s">
        <v>121</v>
      </c>
      <c r="AC88" s="255" t="s">
        <v>121</v>
      </c>
      <c r="AD88" s="255" t="s">
        <v>121</v>
      </c>
      <c r="AE88" s="255" t="s">
        <v>121</v>
      </c>
      <c r="AF88" s="255" t="s">
        <v>121</v>
      </c>
      <c r="AG88" s="255">
        <v>-8.6340000000000003</v>
      </c>
      <c r="AH88" s="255">
        <v>-44.387999999999998</v>
      </c>
      <c r="AI88" s="255">
        <v>53.021999999999998</v>
      </c>
      <c r="AJ88" s="255" t="s">
        <v>121</v>
      </c>
      <c r="AK88" s="255" t="s">
        <v>121</v>
      </c>
      <c r="AL88" s="255" t="s">
        <v>121</v>
      </c>
      <c r="AM88" s="255" t="s">
        <v>121</v>
      </c>
      <c r="AN88" s="255" t="s">
        <v>121</v>
      </c>
      <c r="AO88" s="255" t="s">
        <v>121</v>
      </c>
      <c r="AP88" s="255" t="s">
        <v>121</v>
      </c>
      <c r="AQ88" s="255" t="s">
        <v>121</v>
      </c>
      <c r="AR88" s="255" t="s">
        <v>121</v>
      </c>
      <c r="AS88" s="255" t="s">
        <v>121</v>
      </c>
      <c r="AT88" s="255" t="s">
        <v>121</v>
      </c>
      <c r="AU88" s="255" t="s">
        <v>121</v>
      </c>
      <c r="AV88" s="255" t="s">
        <v>121</v>
      </c>
      <c r="AW88" s="255" t="s">
        <v>121</v>
      </c>
      <c r="AX88" s="255" t="s">
        <v>121</v>
      </c>
      <c r="AY88" s="255" t="s">
        <v>121</v>
      </c>
      <c r="AZ88" s="255" t="s">
        <v>121</v>
      </c>
      <c r="BA88" s="255" t="s">
        <v>121</v>
      </c>
      <c r="BB88" s="255" t="s">
        <v>121</v>
      </c>
      <c r="BC88" s="255" t="s">
        <v>121</v>
      </c>
      <c r="BD88" s="255" t="s">
        <v>121</v>
      </c>
      <c r="BE88" s="255" t="s">
        <v>121</v>
      </c>
      <c r="BF88" s="255" t="s">
        <v>121</v>
      </c>
      <c r="BG88" s="255" t="s">
        <v>121</v>
      </c>
      <c r="BH88" s="255" t="s">
        <v>121</v>
      </c>
      <c r="BI88" s="255" t="s">
        <v>121</v>
      </c>
      <c r="BJ88" s="255" t="s">
        <v>121</v>
      </c>
      <c r="BK88" s="255" t="s">
        <v>121</v>
      </c>
      <c r="BL88" s="255" t="s">
        <v>121</v>
      </c>
      <c r="BM88" s="352" t="s">
        <v>121</v>
      </c>
      <c r="BN88" s="352" t="s">
        <v>121</v>
      </c>
      <c r="BO88" s="352" t="s">
        <v>121</v>
      </c>
      <c r="BP88" s="352" t="s">
        <v>121</v>
      </c>
      <c r="BQ88" s="352" t="s">
        <v>121</v>
      </c>
      <c r="BR88" s="352" t="s">
        <v>121</v>
      </c>
      <c r="BS88" s="352" t="s">
        <v>121</v>
      </c>
      <c r="BT88" s="352" t="s">
        <v>121</v>
      </c>
      <c r="BU88" s="352" t="s">
        <v>121</v>
      </c>
      <c r="BV88" s="352" t="s">
        <v>121</v>
      </c>
      <c r="BW88" s="352" t="s">
        <v>121</v>
      </c>
      <c r="BX88" s="352" t="s">
        <v>121</v>
      </c>
      <c r="BY88" s="352" t="s">
        <v>121</v>
      </c>
      <c r="BZ88" s="352" t="s">
        <v>121</v>
      </c>
      <c r="CA88" s="352" t="s">
        <v>121</v>
      </c>
      <c r="CB88" s="352" t="s">
        <v>121</v>
      </c>
      <c r="CC88" s="352" t="s">
        <v>121</v>
      </c>
      <c r="CD88" s="352" t="s">
        <v>121</v>
      </c>
      <c r="CE88" s="352" t="s">
        <v>121</v>
      </c>
      <c r="CF88" s="352" t="s">
        <v>121</v>
      </c>
      <c r="CG88" s="352" t="s">
        <v>121</v>
      </c>
      <c r="CH88" s="352" t="s">
        <v>121</v>
      </c>
      <c r="CI88" s="352" t="s">
        <v>121</v>
      </c>
      <c r="CJ88" s="352" t="s">
        <v>121</v>
      </c>
      <c r="CK88" s="352" t="s">
        <v>121</v>
      </c>
      <c r="CL88" s="352" t="s">
        <v>121</v>
      </c>
      <c r="CM88" s="352" t="s">
        <v>121</v>
      </c>
      <c r="CN88" s="352" t="s">
        <v>121</v>
      </c>
      <c r="CO88" s="352" t="s">
        <v>121</v>
      </c>
      <c r="CP88" s="352" t="s">
        <v>121</v>
      </c>
      <c r="CQ88" s="352" t="s">
        <v>121</v>
      </c>
      <c r="CR88" s="352" t="s">
        <v>121</v>
      </c>
      <c r="CS88" s="352" t="s">
        <v>121</v>
      </c>
      <c r="CT88" s="352" t="s">
        <v>121</v>
      </c>
      <c r="CU88" s="352" t="s">
        <v>121</v>
      </c>
      <c r="CV88" s="352" t="s">
        <v>121</v>
      </c>
      <c r="CW88" s="352" t="s">
        <v>121</v>
      </c>
      <c r="CX88" s="352" t="s">
        <v>121</v>
      </c>
      <c r="CY88" s="352" t="s">
        <v>121</v>
      </c>
      <c r="CZ88" s="352" t="s">
        <v>121</v>
      </c>
      <c r="DA88" s="352" t="s">
        <v>121</v>
      </c>
      <c r="DB88" s="352" t="s">
        <v>121</v>
      </c>
      <c r="DC88" s="352" t="s">
        <v>121</v>
      </c>
      <c r="DD88" s="352" t="s">
        <v>121</v>
      </c>
      <c r="DE88" s="352" t="s">
        <v>121</v>
      </c>
      <c r="DF88" s="352" t="s">
        <v>121</v>
      </c>
      <c r="DG88" s="352" t="s">
        <v>121</v>
      </c>
      <c r="DH88" s="352" t="s">
        <v>121</v>
      </c>
      <c r="DI88" s="352" t="s">
        <v>121</v>
      </c>
      <c r="DJ88" s="352" t="s">
        <v>121</v>
      </c>
      <c r="DK88" s="352" t="s">
        <v>121</v>
      </c>
      <c r="DL88" s="352" t="s">
        <v>121</v>
      </c>
      <c r="DM88" s="352" t="s">
        <v>121</v>
      </c>
      <c r="DN88" s="352" t="s">
        <v>121</v>
      </c>
      <c r="DO88" s="352" t="s">
        <v>121</v>
      </c>
      <c r="DP88" s="352" t="s">
        <v>121</v>
      </c>
      <c r="DQ88" s="352" t="s">
        <v>121</v>
      </c>
      <c r="DR88" s="352" t="s">
        <v>121</v>
      </c>
      <c r="DS88" s="352" t="s">
        <v>121</v>
      </c>
      <c r="DT88" s="352" t="s">
        <v>121</v>
      </c>
      <c r="DU88" s="352" t="s">
        <v>121</v>
      </c>
      <c r="DV88" s="352" t="s">
        <v>121</v>
      </c>
      <c r="DW88" s="352" t="s">
        <v>121</v>
      </c>
      <c r="DX88" s="352" t="s">
        <v>121</v>
      </c>
      <c r="DY88" s="352" t="s">
        <v>121</v>
      </c>
      <c r="DZ88" s="352" t="s">
        <v>121</v>
      </c>
      <c r="EA88" s="352" t="s">
        <v>121</v>
      </c>
      <c r="EB88" s="352" t="s">
        <v>121</v>
      </c>
      <c r="EC88" s="352" t="s">
        <v>121</v>
      </c>
      <c r="ED88" s="352" t="s">
        <v>121</v>
      </c>
      <c r="EE88" s="352" t="s">
        <v>121</v>
      </c>
      <c r="EF88" s="352" t="s">
        <v>121</v>
      </c>
      <c r="EG88" s="352" t="s">
        <v>121</v>
      </c>
      <c r="EH88" s="352" t="s">
        <v>121</v>
      </c>
      <c r="EI88" s="352" t="s">
        <v>121</v>
      </c>
      <c r="EJ88" s="352" t="s">
        <v>121</v>
      </c>
      <c r="EK88" s="352" t="s">
        <v>121</v>
      </c>
      <c r="EL88" s="352" t="s">
        <v>121</v>
      </c>
      <c r="EM88" s="352" t="s">
        <v>121</v>
      </c>
      <c r="EN88" s="352" t="s">
        <v>121</v>
      </c>
      <c r="EO88" s="352" t="s">
        <v>121</v>
      </c>
      <c r="EP88" s="352" t="s">
        <v>121</v>
      </c>
      <c r="EQ88" s="352" t="s">
        <v>121</v>
      </c>
      <c r="ER88" s="352" t="s">
        <v>121</v>
      </c>
      <c r="ES88" s="352" t="s">
        <v>121</v>
      </c>
      <c r="ET88" s="352" t="s">
        <v>121</v>
      </c>
      <c r="EU88" s="352" t="s">
        <v>121</v>
      </c>
      <c r="EV88" s="352" t="s">
        <v>121</v>
      </c>
      <c r="EW88" s="352" t="s">
        <v>121</v>
      </c>
      <c r="EX88" s="352" t="s">
        <v>121</v>
      </c>
    </row>
    <row r="89" spans="1:154" s="352" customFormat="1" ht="15" customHeight="1" x14ac:dyDescent="0.25">
      <c r="A89" s="273">
        <v>89</v>
      </c>
      <c r="B89" s="375" t="s">
        <v>100</v>
      </c>
      <c r="C89" s="345" t="s">
        <v>121</v>
      </c>
      <c r="D89" s="275" t="s">
        <v>121</v>
      </c>
      <c r="E89" s="270" t="s">
        <v>121</v>
      </c>
      <c r="F89" s="255">
        <v>0</v>
      </c>
      <c r="G89" s="255">
        <v>0</v>
      </c>
      <c r="H89" s="255">
        <v>0</v>
      </c>
      <c r="I89" s="255">
        <v>0</v>
      </c>
      <c r="J89" s="255">
        <v>0</v>
      </c>
      <c r="K89" s="255">
        <v>0</v>
      </c>
      <c r="L89" s="255">
        <v>0</v>
      </c>
      <c r="M89" s="255">
        <v>0</v>
      </c>
      <c r="N89" s="255">
        <v>0</v>
      </c>
      <c r="O89" s="255">
        <v>0</v>
      </c>
      <c r="P89" s="255">
        <v>0</v>
      </c>
      <c r="Q89" s="405"/>
      <c r="R89" s="405"/>
      <c r="S89" s="405"/>
      <c r="T89" s="405"/>
      <c r="U89" s="255" t="s">
        <v>121</v>
      </c>
      <c r="V89" s="255" t="s">
        <v>121</v>
      </c>
      <c r="W89" s="255" t="s">
        <v>121</v>
      </c>
      <c r="X89" s="255" t="s">
        <v>121</v>
      </c>
      <c r="Y89" s="255" t="s">
        <v>121</v>
      </c>
      <c r="Z89" s="255" t="s">
        <v>121</v>
      </c>
      <c r="AA89" s="255" t="s">
        <v>121</v>
      </c>
      <c r="AB89" s="255" t="s">
        <v>121</v>
      </c>
      <c r="AC89" s="255" t="s">
        <v>121</v>
      </c>
      <c r="AD89" s="255" t="s">
        <v>121</v>
      </c>
      <c r="AE89" s="255" t="s">
        <v>121</v>
      </c>
      <c r="AF89" s="255" t="s">
        <v>121</v>
      </c>
      <c r="AG89" s="255" t="s">
        <v>121</v>
      </c>
      <c r="AH89" s="255" t="s">
        <v>121</v>
      </c>
      <c r="AI89" s="255" t="s">
        <v>121</v>
      </c>
      <c r="AJ89" s="255" t="s">
        <v>121</v>
      </c>
      <c r="AK89" s="255" t="s">
        <v>121</v>
      </c>
      <c r="AL89" s="255" t="s">
        <v>121</v>
      </c>
      <c r="AM89" s="255" t="s">
        <v>121</v>
      </c>
      <c r="AN89" s="255" t="s">
        <v>121</v>
      </c>
      <c r="AO89" s="255">
        <v>-261.01400000000001</v>
      </c>
      <c r="AP89" s="255" t="s">
        <v>121</v>
      </c>
      <c r="AQ89" s="255" t="s">
        <v>121</v>
      </c>
      <c r="AR89" s="255" t="s">
        <v>121</v>
      </c>
      <c r="AS89" s="255" t="s">
        <v>121</v>
      </c>
      <c r="AT89" s="255" t="s">
        <v>121</v>
      </c>
      <c r="AU89" s="255" t="s">
        <v>121</v>
      </c>
      <c r="AV89" s="255" t="s">
        <v>121</v>
      </c>
      <c r="AW89" s="255" t="s">
        <v>121</v>
      </c>
      <c r="AX89" s="255" t="s">
        <v>121</v>
      </c>
      <c r="AY89" s="255" t="s">
        <v>121</v>
      </c>
      <c r="AZ89" s="255" t="s">
        <v>121</v>
      </c>
      <c r="BA89" s="255" t="s">
        <v>121</v>
      </c>
      <c r="BB89" s="255" t="s">
        <v>121</v>
      </c>
      <c r="BC89" s="255" t="s">
        <v>121</v>
      </c>
      <c r="BD89" s="255" t="s">
        <v>121</v>
      </c>
      <c r="BE89" s="255" t="s">
        <v>121</v>
      </c>
      <c r="BF89" s="255" t="s">
        <v>121</v>
      </c>
      <c r="BG89" s="255" t="s">
        <v>121</v>
      </c>
      <c r="BH89" s="255" t="s">
        <v>121</v>
      </c>
      <c r="BI89" s="255" t="s">
        <v>121</v>
      </c>
      <c r="BJ89" s="255" t="s">
        <v>121</v>
      </c>
      <c r="BK89" s="255" t="s">
        <v>121</v>
      </c>
      <c r="BL89" s="255" t="s">
        <v>121</v>
      </c>
      <c r="BM89" s="352" t="s">
        <v>121</v>
      </c>
      <c r="BN89" s="352" t="s">
        <v>121</v>
      </c>
      <c r="BO89" s="352" t="s">
        <v>121</v>
      </c>
      <c r="BP89" s="352" t="s">
        <v>121</v>
      </c>
      <c r="BQ89" s="352" t="s">
        <v>121</v>
      </c>
      <c r="BR89" s="352" t="s">
        <v>121</v>
      </c>
      <c r="BS89" s="352" t="s">
        <v>121</v>
      </c>
      <c r="BT89" s="352" t="s">
        <v>121</v>
      </c>
      <c r="BU89" s="352" t="s">
        <v>121</v>
      </c>
      <c r="BV89" s="352" t="s">
        <v>121</v>
      </c>
      <c r="BW89" s="352" t="s">
        <v>121</v>
      </c>
      <c r="BX89" s="352" t="s">
        <v>121</v>
      </c>
      <c r="BY89" s="352" t="s">
        <v>121</v>
      </c>
      <c r="BZ89" s="352" t="s">
        <v>121</v>
      </c>
      <c r="CA89" s="352" t="s">
        <v>121</v>
      </c>
      <c r="CB89" s="352" t="s">
        <v>121</v>
      </c>
      <c r="CC89" s="352" t="s">
        <v>121</v>
      </c>
      <c r="CD89" s="352" t="s">
        <v>121</v>
      </c>
      <c r="CE89" s="352" t="s">
        <v>121</v>
      </c>
      <c r="CF89" s="352" t="s">
        <v>121</v>
      </c>
      <c r="CG89" s="352" t="s">
        <v>121</v>
      </c>
      <c r="CH89" s="352" t="s">
        <v>121</v>
      </c>
      <c r="CI89" s="352" t="s">
        <v>121</v>
      </c>
      <c r="CJ89" s="352" t="s">
        <v>121</v>
      </c>
      <c r="CK89" s="352" t="s">
        <v>121</v>
      </c>
      <c r="CL89" s="352" t="s">
        <v>121</v>
      </c>
      <c r="CM89" s="352" t="s">
        <v>121</v>
      </c>
      <c r="CN89" s="352" t="s">
        <v>121</v>
      </c>
      <c r="CO89" s="352" t="s">
        <v>121</v>
      </c>
      <c r="CP89" s="352" t="s">
        <v>121</v>
      </c>
      <c r="CQ89" s="352" t="s">
        <v>121</v>
      </c>
      <c r="CR89" s="352" t="s">
        <v>121</v>
      </c>
      <c r="CS89" s="352" t="s">
        <v>121</v>
      </c>
      <c r="CT89" s="352" t="s">
        <v>121</v>
      </c>
      <c r="CU89" s="352" t="s">
        <v>121</v>
      </c>
      <c r="CV89" s="352" t="s">
        <v>121</v>
      </c>
      <c r="CW89" s="352" t="s">
        <v>121</v>
      </c>
      <c r="CX89" s="352" t="s">
        <v>121</v>
      </c>
      <c r="CY89" s="352" t="s">
        <v>121</v>
      </c>
      <c r="CZ89" s="352" t="s">
        <v>121</v>
      </c>
      <c r="DA89" s="352" t="s">
        <v>121</v>
      </c>
      <c r="DB89" s="352" t="s">
        <v>121</v>
      </c>
      <c r="DC89" s="352" t="s">
        <v>121</v>
      </c>
      <c r="DD89" s="352" t="s">
        <v>121</v>
      </c>
      <c r="DE89" s="352" t="s">
        <v>121</v>
      </c>
      <c r="DF89" s="352" t="s">
        <v>121</v>
      </c>
      <c r="DG89" s="352" t="s">
        <v>121</v>
      </c>
      <c r="DH89" s="352" t="s">
        <v>121</v>
      </c>
      <c r="DI89" s="352" t="s">
        <v>121</v>
      </c>
      <c r="DJ89" s="352" t="s">
        <v>121</v>
      </c>
      <c r="DK89" s="352" t="s">
        <v>121</v>
      </c>
      <c r="DL89" s="352" t="s">
        <v>121</v>
      </c>
      <c r="DM89" s="352" t="s">
        <v>121</v>
      </c>
      <c r="DN89" s="352" t="s">
        <v>121</v>
      </c>
      <c r="DO89" s="352" t="s">
        <v>121</v>
      </c>
      <c r="DP89" s="352" t="s">
        <v>121</v>
      </c>
      <c r="DQ89" s="352" t="s">
        <v>121</v>
      </c>
      <c r="DR89" s="352" t="s">
        <v>121</v>
      </c>
      <c r="DS89" s="352" t="s">
        <v>121</v>
      </c>
      <c r="DT89" s="352" t="s">
        <v>121</v>
      </c>
      <c r="DU89" s="352" t="s">
        <v>121</v>
      </c>
      <c r="DV89" s="352" t="s">
        <v>121</v>
      </c>
      <c r="DW89" s="352" t="s">
        <v>121</v>
      </c>
      <c r="DX89" s="352" t="s">
        <v>121</v>
      </c>
      <c r="DY89" s="352" t="s">
        <v>121</v>
      </c>
      <c r="DZ89" s="352" t="s">
        <v>121</v>
      </c>
      <c r="EA89" s="352" t="s">
        <v>121</v>
      </c>
      <c r="EB89" s="352" t="s">
        <v>121</v>
      </c>
      <c r="EC89" s="352" t="s">
        <v>121</v>
      </c>
      <c r="ED89" s="352" t="s">
        <v>121</v>
      </c>
      <c r="EE89" s="352" t="s">
        <v>121</v>
      </c>
      <c r="EF89" s="352" t="s">
        <v>121</v>
      </c>
      <c r="EG89" s="352" t="s">
        <v>121</v>
      </c>
      <c r="EH89" s="352" t="s">
        <v>121</v>
      </c>
      <c r="EI89" s="352" t="s">
        <v>121</v>
      </c>
      <c r="EJ89" s="352" t="s">
        <v>121</v>
      </c>
      <c r="EK89" s="352" t="s">
        <v>121</v>
      </c>
      <c r="EL89" s="352" t="s">
        <v>121</v>
      </c>
      <c r="EM89" s="352" t="s">
        <v>121</v>
      </c>
      <c r="EN89" s="352" t="s">
        <v>121</v>
      </c>
      <c r="EO89" s="352" t="s">
        <v>121</v>
      </c>
      <c r="EP89" s="352" t="s">
        <v>121</v>
      </c>
      <c r="EQ89" s="352" t="s">
        <v>121</v>
      </c>
      <c r="ER89" s="352" t="s">
        <v>121</v>
      </c>
      <c r="ES89" s="352" t="s">
        <v>121</v>
      </c>
      <c r="ET89" s="352" t="s">
        <v>121</v>
      </c>
      <c r="EU89" s="352" t="s">
        <v>121</v>
      </c>
      <c r="EV89" s="352" t="s">
        <v>121</v>
      </c>
      <c r="EW89" s="352" t="s">
        <v>121</v>
      </c>
      <c r="EX89" s="352" t="s">
        <v>121</v>
      </c>
    </row>
    <row r="90" spans="1:154" s="352" customFormat="1" ht="15" customHeight="1" x14ac:dyDescent="0.25">
      <c r="A90" s="273">
        <v>90</v>
      </c>
      <c r="B90" s="375" t="s">
        <v>101</v>
      </c>
      <c r="C90" s="345" t="s">
        <v>121</v>
      </c>
      <c r="D90" s="275" t="s">
        <v>121</v>
      </c>
      <c r="E90" s="270" t="s">
        <v>121</v>
      </c>
      <c r="F90" s="255">
        <v>0</v>
      </c>
      <c r="G90" s="255">
        <v>0</v>
      </c>
      <c r="H90" s="255">
        <v>0</v>
      </c>
      <c r="I90" s="255">
        <v>0</v>
      </c>
      <c r="J90" s="255">
        <v>0</v>
      </c>
      <c r="K90" s="255">
        <v>0</v>
      </c>
      <c r="L90" s="255">
        <v>0</v>
      </c>
      <c r="M90" s="255">
        <v>0</v>
      </c>
      <c r="N90" s="255">
        <v>0</v>
      </c>
      <c r="O90" s="255">
        <v>0</v>
      </c>
      <c r="P90" s="255">
        <v>0</v>
      </c>
      <c r="Q90" s="405"/>
      <c r="R90" s="405"/>
      <c r="S90" s="405"/>
      <c r="T90" s="405"/>
      <c r="U90" s="255" t="s">
        <v>121</v>
      </c>
      <c r="V90" s="255" t="s">
        <v>121</v>
      </c>
      <c r="W90" s="255" t="s">
        <v>121</v>
      </c>
      <c r="X90" s="255" t="s">
        <v>121</v>
      </c>
      <c r="Y90" s="255" t="s">
        <v>121</v>
      </c>
      <c r="Z90" s="255" t="s">
        <v>121</v>
      </c>
      <c r="AA90" s="255" t="s">
        <v>121</v>
      </c>
      <c r="AB90" s="255" t="s">
        <v>121</v>
      </c>
      <c r="AC90" s="255" t="s">
        <v>121</v>
      </c>
      <c r="AD90" s="255" t="s">
        <v>121</v>
      </c>
      <c r="AE90" s="255" t="s">
        <v>121</v>
      </c>
      <c r="AF90" s="255" t="s">
        <v>121</v>
      </c>
      <c r="AG90" s="255" t="s">
        <v>121</v>
      </c>
      <c r="AH90" s="255" t="s">
        <v>121</v>
      </c>
      <c r="AI90" s="255" t="s">
        <v>121</v>
      </c>
      <c r="AJ90" s="255" t="s">
        <v>121</v>
      </c>
      <c r="AK90" s="255" t="s">
        <v>121</v>
      </c>
      <c r="AL90" s="255" t="s">
        <v>121</v>
      </c>
      <c r="AM90" s="255" t="s">
        <v>121</v>
      </c>
      <c r="AN90" s="255" t="s">
        <v>121</v>
      </c>
      <c r="AO90" s="255" t="s">
        <v>121</v>
      </c>
      <c r="AP90" s="255" t="s">
        <v>121</v>
      </c>
      <c r="AQ90" s="255" t="s">
        <v>121</v>
      </c>
      <c r="AR90" s="255" t="s">
        <v>121</v>
      </c>
      <c r="AS90" s="255" t="s">
        <v>121</v>
      </c>
      <c r="AT90" s="255" t="s">
        <v>121</v>
      </c>
      <c r="AU90" s="255" t="s">
        <v>121</v>
      </c>
      <c r="AV90" s="255" t="s">
        <v>121</v>
      </c>
      <c r="AW90" s="255" t="s">
        <v>121</v>
      </c>
      <c r="AX90" s="255" t="s">
        <v>121</v>
      </c>
      <c r="AY90" s="255" t="s">
        <v>121</v>
      </c>
      <c r="AZ90" s="255" t="s">
        <v>121</v>
      </c>
      <c r="BA90" s="255">
        <v>18.294</v>
      </c>
      <c r="BB90" s="255">
        <v>-13.067</v>
      </c>
      <c r="BC90" s="255" t="s">
        <v>121</v>
      </c>
      <c r="BD90" s="255">
        <v>-5.2270000000000003</v>
      </c>
      <c r="BE90" s="255" t="s">
        <v>121</v>
      </c>
      <c r="BF90" s="255" t="s">
        <v>121</v>
      </c>
      <c r="BG90" s="255" t="s">
        <v>121</v>
      </c>
      <c r="BH90" s="255" t="s">
        <v>121</v>
      </c>
      <c r="BI90" s="255">
        <v>0.104</v>
      </c>
      <c r="BJ90" s="255">
        <v>-1.9850000000000001</v>
      </c>
      <c r="BK90" s="255">
        <v>-1.6E-2</v>
      </c>
      <c r="BL90" s="255">
        <v>1.6E-2</v>
      </c>
      <c r="BM90" s="352">
        <v>-1.6E-2</v>
      </c>
      <c r="BN90" s="352">
        <v>1.4999999999999999E-2</v>
      </c>
      <c r="BO90" s="352">
        <v>2.1999999999999999E-2</v>
      </c>
      <c r="BP90" s="352">
        <v>0.502</v>
      </c>
      <c r="BQ90" s="352" t="s">
        <v>121</v>
      </c>
      <c r="BR90" s="352" t="s">
        <v>121</v>
      </c>
      <c r="BS90" s="352" t="s">
        <v>121</v>
      </c>
      <c r="BT90" s="352" t="s">
        <v>121</v>
      </c>
      <c r="BU90" s="352" t="s">
        <v>121</v>
      </c>
      <c r="BV90" s="352" t="s">
        <v>121</v>
      </c>
      <c r="BW90" s="352" t="s">
        <v>121</v>
      </c>
      <c r="BX90" s="352" t="s">
        <v>121</v>
      </c>
      <c r="BY90" s="352" t="s">
        <v>121</v>
      </c>
      <c r="BZ90" s="352" t="s">
        <v>121</v>
      </c>
      <c r="CA90" s="352" t="s">
        <v>121</v>
      </c>
      <c r="CB90" s="352" t="s">
        <v>121</v>
      </c>
      <c r="CC90" s="352" t="s">
        <v>121</v>
      </c>
      <c r="CD90" s="352" t="s">
        <v>121</v>
      </c>
      <c r="CE90" s="352" t="s">
        <v>121</v>
      </c>
      <c r="CF90" s="352" t="s">
        <v>121</v>
      </c>
      <c r="CG90" s="352" t="s">
        <v>121</v>
      </c>
      <c r="CH90" s="352" t="s">
        <v>121</v>
      </c>
      <c r="CI90" s="352" t="s">
        <v>121</v>
      </c>
      <c r="CJ90" s="352" t="s">
        <v>121</v>
      </c>
      <c r="CK90" s="352" t="s">
        <v>121</v>
      </c>
      <c r="CL90" s="352" t="s">
        <v>121</v>
      </c>
      <c r="CM90" s="352" t="s">
        <v>121</v>
      </c>
      <c r="CN90" s="352" t="s">
        <v>121</v>
      </c>
      <c r="CO90" s="352" t="s">
        <v>121</v>
      </c>
      <c r="CP90" s="352" t="s">
        <v>121</v>
      </c>
      <c r="CQ90" s="352" t="s">
        <v>121</v>
      </c>
      <c r="CR90" s="352" t="s">
        <v>121</v>
      </c>
      <c r="CS90" s="352" t="s">
        <v>121</v>
      </c>
      <c r="CT90" s="352" t="s">
        <v>121</v>
      </c>
      <c r="CU90" s="352" t="s">
        <v>121</v>
      </c>
      <c r="CV90" s="352" t="s">
        <v>121</v>
      </c>
      <c r="CW90" s="352" t="s">
        <v>121</v>
      </c>
      <c r="CX90" s="352" t="s">
        <v>121</v>
      </c>
      <c r="CY90" s="352" t="s">
        <v>121</v>
      </c>
      <c r="CZ90" s="352" t="s">
        <v>121</v>
      </c>
      <c r="DA90" s="352" t="s">
        <v>121</v>
      </c>
      <c r="DB90" s="352" t="s">
        <v>121</v>
      </c>
      <c r="DC90" s="352" t="s">
        <v>121</v>
      </c>
      <c r="DD90" s="352" t="s">
        <v>121</v>
      </c>
      <c r="DE90" s="352" t="s">
        <v>121</v>
      </c>
      <c r="DF90" s="352" t="s">
        <v>121</v>
      </c>
      <c r="DG90" s="352" t="s">
        <v>121</v>
      </c>
      <c r="DH90" s="352" t="s">
        <v>121</v>
      </c>
      <c r="DI90" s="352" t="s">
        <v>121</v>
      </c>
      <c r="DJ90" s="352" t="s">
        <v>121</v>
      </c>
      <c r="DK90" s="352" t="s">
        <v>121</v>
      </c>
      <c r="DL90" s="352" t="s">
        <v>121</v>
      </c>
      <c r="DM90" s="352" t="s">
        <v>121</v>
      </c>
      <c r="DN90" s="352" t="s">
        <v>121</v>
      </c>
      <c r="DO90" s="352" t="s">
        <v>121</v>
      </c>
      <c r="DP90" s="352" t="s">
        <v>121</v>
      </c>
      <c r="DQ90" s="352" t="s">
        <v>121</v>
      </c>
      <c r="DR90" s="352" t="s">
        <v>121</v>
      </c>
      <c r="DS90" s="352" t="s">
        <v>121</v>
      </c>
      <c r="DT90" s="352" t="s">
        <v>121</v>
      </c>
      <c r="DU90" s="352" t="s">
        <v>121</v>
      </c>
      <c r="DV90" s="352" t="s">
        <v>121</v>
      </c>
      <c r="DW90" s="352" t="s">
        <v>121</v>
      </c>
      <c r="DX90" s="352" t="s">
        <v>121</v>
      </c>
      <c r="DY90" s="352" t="s">
        <v>121</v>
      </c>
      <c r="DZ90" s="352" t="s">
        <v>121</v>
      </c>
      <c r="EA90" s="352" t="s">
        <v>121</v>
      </c>
      <c r="EB90" s="352" t="s">
        <v>121</v>
      </c>
      <c r="EC90" s="352" t="s">
        <v>121</v>
      </c>
      <c r="ED90" s="352" t="s">
        <v>121</v>
      </c>
      <c r="EE90" s="352" t="s">
        <v>121</v>
      </c>
      <c r="EF90" s="352" t="s">
        <v>121</v>
      </c>
      <c r="EG90" s="352" t="s">
        <v>121</v>
      </c>
      <c r="EH90" s="352" t="s">
        <v>121</v>
      </c>
      <c r="EI90" s="352" t="s">
        <v>121</v>
      </c>
      <c r="EJ90" s="352" t="s">
        <v>121</v>
      </c>
      <c r="EK90" s="352" t="s">
        <v>121</v>
      </c>
      <c r="EL90" s="352" t="s">
        <v>121</v>
      </c>
      <c r="EM90" s="352" t="s">
        <v>121</v>
      </c>
      <c r="EN90" s="352" t="s">
        <v>121</v>
      </c>
      <c r="EO90" s="352" t="s">
        <v>121</v>
      </c>
      <c r="EP90" s="352" t="s">
        <v>121</v>
      </c>
      <c r="EQ90" s="352" t="s">
        <v>121</v>
      </c>
      <c r="ER90" s="352" t="s">
        <v>121</v>
      </c>
      <c r="ES90" s="352" t="s">
        <v>121</v>
      </c>
      <c r="ET90" s="352" t="s">
        <v>121</v>
      </c>
      <c r="EU90" s="352" t="s">
        <v>121</v>
      </c>
      <c r="EV90" s="352" t="s">
        <v>121</v>
      </c>
      <c r="EW90" s="352" t="s">
        <v>121</v>
      </c>
      <c r="EX90" s="352" t="s">
        <v>121</v>
      </c>
    </row>
    <row r="91" spans="1:154" s="352" customFormat="1" ht="15" customHeight="1" x14ac:dyDescent="0.25">
      <c r="A91" s="273">
        <v>91</v>
      </c>
      <c r="B91" s="375" t="s">
        <v>102</v>
      </c>
      <c r="C91" s="345" t="s">
        <v>121</v>
      </c>
      <c r="D91" s="275" t="s">
        <v>121</v>
      </c>
      <c r="E91" s="270" t="s">
        <v>121</v>
      </c>
      <c r="F91" s="255">
        <v>0</v>
      </c>
      <c r="G91" s="255">
        <v>0</v>
      </c>
      <c r="H91" s="255">
        <v>0</v>
      </c>
      <c r="I91" s="255">
        <v>0</v>
      </c>
      <c r="J91" s="255">
        <v>0</v>
      </c>
      <c r="K91" s="255">
        <v>0</v>
      </c>
      <c r="L91" s="255">
        <v>0</v>
      </c>
      <c r="M91" s="255">
        <v>0</v>
      </c>
      <c r="N91" s="255">
        <v>0</v>
      </c>
      <c r="O91" s="255">
        <v>0</v>
      </c>
      <c r="P91" s="255">
        <v>0</v>
      </c>
      <c r="Q91" s="405"/>
      <c r="R91" s="405"/>
      <c r="S91" s="405"/>
      <c r="T91" s="405"/>
      <c r="U91" s="255" t="s">
        <v>121</v>
      </c>
      <c r="V91" s="255" t="s">
        <v>121</v>
      </c>
      <c r="W91" s="255" t="s">
        <v>121</v>
      </c>
      <c r="X91" s="255" t="s">
        <v>121</v>
      </c>
      <c r="Y91" s="255" t="s">
        <v>121</v>
      </c>
      <c r="Z91" s="255" t="s">
        <v>121</v>
      </c>
      <c r="AA91" s="255" t="s">
        <v>121</v>
      </c>
      <c r="AB91" s="255" t="s">
        <v>121</v>
      </c>
      <c r="AC91" s="255" t="s">
        <v>121</v>
      </c>
      <c r="AD91" s="255" t="s">
        <v>121</v>
      </c>
      <c r="AE91" s="255" t="s">
        <v>121</v>
      </c>
      <c r="AF91" s="255" t="s">
        <v>121</v>
      </c>
      <c r="AG91" s="255" t="s">
        <v>121</v>
      </c>
      <c r="AH91" s="255" t="s">
        <v>121</v>
      </c>
      <c r="AI91" s="255" t="s">
        <v>121</v>
      </c>
      <c r="AJ91" s="255" t="s">
        <v>121</v>
      </c>
      <c r="AK91" s="255" t="s">
        <v>121</v>
      </c>
      <c r="AL91" s="255" t="s">
        <v>121</v>
      </c>
      <c r="AM91" s="255" t="s">
        <v>121</v>
      </c>
      <c r="AN91" s="255" t="s">
        <v>121</v>
      </c>
      <c r="AO91" s="255" t="s">
        <v>121</v>
      </c>
      <c r="AP91" s="255" t="s">
        <v>121</v>
      </c>
      <c r="AQ91" s="255" t="s">
        <v>121</v>
      </c>
      <c r="AR91" s="255" t="s">
        <v>121</v>
      </c>
      <c r="AS91" s="255" t="s">
        <v>121</v>
      </c>
      <c r="AT91" s="255" t="s">
        <v>121</v>
      </c>
      <c r="AU91" s="255" t="s">
        <v>121</v>
      </c>
      <c r="AV91" s="255" t="s">
        <v>121</v>
      </c>
      <c r="AW91" s="255" t="s">
        <v>121</v>
      </c>
      <c r="AX91" s="255" t="s">
        <v>121</v>
      </c>
      <c r="AY91" s="255" t="s">
        <v>121</v>
      </c>
      <c r="AZ91" s="255" t="s">
        <v>121</v>
      </c>
      <c r="BA91" s="255" t="s">
        <v>121</v>
      </c>
      <c r="BB91" s="255" t="s">
        <v>121</v>
      </c>
      <c r="BC91" s="255" t="s">
        <v>121</v>
      </c>
      <c r="BD91" s="255" t="s">
        <v>121</v>
      </c>
      <c r="BE91" s="255" t="s">
        <v>121</v>
      </c>
      <c r="BF91" s="255" t="s">
        <v>121</v>
      </c>
      <c r="BG91" s="255" t="s">
        <v>121</v>
      </c>
      <c r="BH91" s="255" t="s">
        <v>121</v>
      </c>
      <c r="BI91" s="255" t="s">
        <v>121</v>
      </c>
      <c r="BJ91" s="255" t="s">
        <v>121</v>
      </c>
      <c r="BK91" s="255" t="s">
        <v>121</v>
      </c>
      <c r="BL91" s="255" t="s">
        <v>121</v>
      </c>
      <c r="BM91" s="352" t="s">
        <v>121</v>
      </c>
      <c r="BN91" s="352" t="s">
        <v>121</v>
      </c>
      <c r="BO91" s="352" t="s">
        <v>121</v>
      </c>
      <c r="BP91" s="352" t="s">
        <v>121</v>
      </c>
      <c r="BQ91" s="352" t="s">
        <v>121</v>
      </c>
      <c r="BR91" s="352" t="s">
        <v>121</v>
      </c>
      <c r="BS91" s="352" t="s">
        <v>121</v>
      </c>
      <c r="BT91" s="352" t="s">
        <v>121</v>
      </c>
      <c r="BU91" s="352" t="s">
        <v>121</v>
      </c>
      <c r="BV91" s="352" t="s">
        <v>121</v>
      </c>
      <c r="BW91" s="352" t="s">
        <v>121</v>
      </c>
      <c r="BX91" s="352" t="s">
        <v>121</v>
      </c>
      <c r="BY91" s="352" t="s">
        <v>121</v>
      </c>
      <c r="BZ91" s="352" t="s">
        <v>121</v>
      </c>
      <c r="CA91" s="352" t="s">
        <v>121</v>
      </c>
      <c r="CB91" s="352" t="s">
        <v>121</v>
      </c>
      <c r="CC91" s="352" t="s">
        <v>121</v>
      </c>
      <c r="CD91" s="352" t="s">
        <v>121</v>
      </c>
      <c r="CE91" s="352" t="s">
        <v>121</v>
      </c>
      <c r="CF91" s="352" t="s">
        <v>121</v>
      </c>
      <c r="CG91" s="352" t="s">
        <v>121</v>
      </c>
      <c r="CH91" s="352" t="s">
        <v>121</v>
      </c>
      <c r="CI91" s="352" t="s">
        <v>121</v>
      </c>
      <c r="CJ91" s="352" t="s">
        <v>121</v>
      </c>
      <c r="CK91" s="352" t="s">
        <v>121</v>
      </c>
      <c r="CL91" s="352" t="s">
        <v>121</v>
      </c>
      <c r="CM91" s="352" t="s">
        <v>121</v>
      </c>
      <c r="CN91" s="352" t="s">
        <v>121</v>
      </c>
      <c r="CO91" s="352" t="s">
        <v>121</v>
      </c>
      <c r="CP91" s="352" t="s">
        <v>121</v>
      </c>
      <c r="CQ91" s="352" t="s">
        <v>121</v>
      </c>
      <c r="CR91" s="352" t="s">
        <v>121</v>
      </c>
      <c r="CS91" s="352" t="s">
        <v>121</v>
      </c>
      <c r="CT91" s="352" t="s">
        <v>121</v>
      </c>
      <c r="CU91" s="352" t="s">
        <v>121</v>
      </c>
      <c r="CV91" s="352" t="s">
        <v>121</v>
      </c>
      <c r="CW91" s="352" t="s">
        <v>121</v>
      </c>
      <c r="CX91" s="352" t="s">
        <v>121</v>
      </c>
      <c r="CY91" s="352" t="s">
        <v>121</v>
      </c>
      <c r="CZ91" s="352" t="s">
        <v>121</v>
      </c>
      <c r="DA91" s="352" t="s">
        <v>121</v>
      </c>
      <c r="DB91" s="352" t="s">
        <v>121</v>
      </c>
      <c r="DC91" s="352" t="s">
        <v>121</v>
      </c>
      <c r="DD91" s="352" t="s">
        <v>121</v>
      </c>
      <c r="DE91" s="352" t="s">
        <v>121</v>
      </c>
      <c r="DF91" s="352" t="s">
        <v>121</v>
      </c>
      <c r="DG91" s="352" t="s">
        <v>121</v>
      </c>
      <c r="DH91" s="352" t="s">
        <v>121</v>
      </c>
      <c r="DI91" s="352" t="s">
        <v>121</v>
      </c>
      <c r="DJ91" s="352" t="s">
        <v>121</v>
      </c>
      <c r="DK91" s="352" t="s">
        <v>121</v>
      </c>
      <c r="DL91" s="352" t="s">
        <v>121</v>
      </c>
      <c r="DM91" s="352" t="s">
        <v>121</v>
      </c>
      <c r="DN91" s="352" t="s">
        <v>121</v>
      </c>
      <c r="DO91" s="352" t="s">
        <v>121</v>
      </c>
      <c r="DP91" s="352" t="s">
        <v>121</v>
      </c>
      <c r="DQ91" s="352" t="s">
        <v>121</v>
      </c>
      <c r="DR91" s="352" t="s">
        <v>121</v>
      </c>
      <c r="DS91" s="352" t="s">
        <v>121</v>
      </c>
      <c r="DT91" s="352" t="s">
        <v>121</v>
      </c>
      <c r="DU91" s="352" t="s">
        <v>121</v>
      </c>
      <c r="DV91" s="352" t="s">
        <v>121</v>
      </c>
      <c r="DW91" s="352" t="s">
        <v>121</v>
      </c>
      <c r="DX91" s="352" t="s">
        <v>121</v>
      </c>
      <c r="DY91" s="352" t="s">
        <v>121</v>
      </c>
      <c r="DZ91" s="352" t="s">
        <v>121</v>
      </c>
      <c r="EA91" s="352" t="s">
        <v>121</v>
      </c>
      <c r="EB91" s="352" t="s">
        <v>121</v>
      </c>
      <c r="EC91" s="352" t="s">
        <v>121</v>
      </c>
      <c r="ED91" s="352" t="s">
        <v>121</v>
      </c>
      <c r="EE91" s="352" t="s">
        <v>121</v>
      </c>
      <c r="EF91" s="352" t="s">
        <v>121</v>
      </c>
      <c r="EG91" s="352" t="s">
        <v>121</v>
      </c>
      <c r="EH91" s="352" t="s">
        <v>121</v>
      </c>
      <c r="EI91" s="352" t="s">
        <v>121</v>
      </c>
      <c r="EJ91" s="352" t="s">
        <v>121</v>
      </c>
      <c r="EK91" s="352" t="s">
        <v>121</v>
      </c>
      <c r="EL91" s="352" t="s">
        <v>121</v>
      </c>
      <c r="EM91" s="352" t="s">
        <v>121</v>
      </c>
      <c r="EN91" s="352" t="s">
        <v>121</v>
      </c>
      <c r="EO91" s="352" t="s">
        <v>121</v>
      </c>
      <c r="EP91" s="352" t="s">
        <v>121</v>
      </c>
      <c r="EQ91" s="352" t="s">
        <v>121</v>
      </c>
      <c r="ER91" s="352" t="s">
        <v>121</v>
      </c>
      <c r="ES91" s="352" t="s">
        <v>121</v>
      </c>
      <c r="ET91" s="352" t="s">
        <v>121</v>
      </c>
      <c r="EU91" s="352" t="s">
        <v>121</v>
      </c>
      <c r="EV91" s="352" t="s">
        <v>121</v>
      </c>
      <c r="EW91" s="352" t="s">
        <v>121</v>
      </c>
      <c r="EX91" s="352" t="s">
        <v>121</v>
      </c>
    </row>
    <row r="92" spans="1:154" s="352" customFormat="1" ht="27" customHeight="1" x14ac:dyDescent="0.25">
      <c r="A92" s="273">
        <v>92</v>
      </c>
      <c r="B92" s="375" t="s">
        <v>103</v>
      </c>
      <c r="C92" s="345" t="s">
        <v>121</v>
      </c>
      <c r="D92" s="275" t="s">
        <v>121</v>
      </c>
      <c r="E92" s="270" t="s">
        <v>121</v>
      </c>
      <c r="F92" s="255">
        <v>0</v>
      </c>
      <c r="G92" s="255">
        <v>0</v>
      </c>
      <c r="H92" s="255">
        <v>0</v>
      </c>
      <c r="I92" s="255">
        <v>0</v>
      </c>
      <c r="J92" s="255">
        <v>0</v>
      </c>
      <c r="K92" s="255">
        <v>0</v>
      </c>
      <c r="L92" s="255">
        <v>0</v>
      </c>
      <c r="M92" s="255">
        <v>-157</v>
      </c>
      <c r="N92" s="255">
        <v>40</v>
      </c>
      <c r="O92" s="255">
        <v>64</v>
      </c>
      <c r="P92" s="255">
        <v>53</v>
      </c>
      <c r="Q92" s="405"/>
      <c r="R92" s="405"/>
      <c r="S92" s="405"/>
      <c r="T92" s="405"/>
      <c r="U92" s="255" t="s">
        <v>121</v>
      </c>
      <c r="V92" s="255" t="s">
        <v>121</v>
      </c>
      <c r="W92" s="255" t="s">
        <v>121</v>
      </c>
      <c r="X92" s="255" t="s">
        <v>121</v>
      </c>
      <c r="Y92" s="255" t="s">
        <v>121</v>
      </c>
      <c r="Z92" s="255" t="s">
        <v>121</v>
      </c>
      <c r="AA92" s="255" t="s">
        <v>121</v>
      </c>
      <c r="AB92" s="255" t="s">
        <v>121</v>
      </c>
      <c r="AC92" s="255" t="s">
        <v>121</v>
      </c>
      <c r="AD92" s="255" t="s">
        <v>121</v>
      </c>
      <c r="AE92" s="255" t="s">
        <v>121</v>
      </c>
      <c r="AF92" s="255" t="s">
        <v>121</v>
      </c>
      <c r="AG92" s="255" t="s">
        <v>121</v>
      </c>
      <c r="AH92" s="255" t="s">
        <v>121</v>
      </c>
      <c r="AI92" s="255" t="s">
        <v>121</v>
      </c>
      <c r="AJ92" s="255" t="s">
        <v>121</v>
      </c>
      <c r="AK92" s="255" t="s">
        <v>121</v>
      </c>
      <c r="AL92" s="255" t="s">
        <v>121</v>
      </c>
      <c r="AM92" s="255" t="s">
        <v>121</v>
      </c>
      <c r="AN92" s="255" t="s">
        <v>121</v>
      </c>
      <c r="AO92" s="255" t="s">
        <v>121</v>
      </c>
      <c r="AP92" s="255" t="s">
        <v>121</v>
      </c>
      <c r="AQ92" s="255" t="s">
        <v>121</v>
      </c>
      <c r="AR92" s="255" t="s">
        <v>121</v>
      </c>
      <c r="AS92" s="255" t="s">
        <v>121</v>
      </c>
      <c r="AT92" s="255" t="s">
        <v>121</v>
      </c>
      <c r="AU92" s="255" t="s">
        <v>121</v>
      </c>
      <c r="AV92" s="255" t="s">
        <v>121</v>
      </c>
      <c r="AW92" s="255" t="s">
        <v>121</v>
      </c>
      <c r="AX92" s="255" t="s">
        <v>121</v>
      </c>
      <c r="AY92" s="255" t="s">
        <v>121</v>
      </c>
      <c r="AZ92" s="255" t="s">
        <v>121</v>
      </c>
      <c r="BA92" s="255" t="s">
        <v>121</v>
      </c>
      <c r="BB92" s="255" t="s">
        <v>121</v>
      </c>
      <c r="BC92" s="255" t="s">
        <v>121</v>
      </c>
      <c r="BD92" s="255" t="s">
        <v>121</v>
      </c>
      <c r="BE92" s="255" t="s">
        <v>121</v>
      </c>
      <c r="BF92" s="255" t="s">
        <v>121</v>
      </c>
      <c r="BG92" s="255" t="s">
        <v>121</v>
      </c>
      <c r="BH92" s="255" t="s">
        <v>121</v>
      </c>
      <c r="BI92" s="255" t="s">
        <v>121</v>
      </c>
      <c r="BJ92" s="255" t="s">
        <v>121</v>
      </c>
      <c r="BK92" s="255" t="s">
        <v>121</v>
      </c>
      <c r="BL92" s="255" t="s">
        <v>121</v>
      </c>
      <c r="BM92" s="352" t="s">
        <v>121</v>
      </c>
      <c r="BN92" s="352" t="s">
        <v>121</v>
      </c>
      <c r="BO92" s="352" t="s">
        <v>121</v>
      </c>
      <c r="BP92" s="352" t="s">
        <v>121</v>
      </c>
      <c r="BQ92" s="352" t="s">
        <v>121</v>
      </c>
      <c r="BR92" s="352" t="s">
        <v>121</v>
      </c>
      <c r="BS92" s="352" t="s">
        <v>121</v>
      </c>
      <c r="BT92" s="352" t="s">
        <v>121</v>
      </c>
      <c r="BU92" s="352" t="s">
        <v>121</v>
      </c>
      <c r="BV92" s="352" t="s">
        <v>121</v>
      </c>
      <c r="BW92" s="352" t="s">
        <v>121</v>
      </c>
      <c r="BX92" s="352" t="s">
        <v>121</v>
      </c>
      <c r="BY92" s="352" t="s">
        <v>121</v>
      </c>
      <c r="BZ92" s="352" t="s">
        <v>121</v>
      </c>
      <c r="CA92" s="352" t="s">
        <v>121</v>
      </c>
      <c r="CB92" s="352" t="s">
        <v>121</v>
      </c>
      <c r="CC92" s="352" t="s">
        <v>121</v>
      </c>
      <c r="CD92" s="352" t="s">
        <v>121</v>
      </c>
      <c r="CE92" s="352" t="s">
        <v>121</v>
      </c>
      <c r="CF92" s="352" t="s">
        <v>121</v>
      </c>
      <c r="CG92" s="352" t="s">
        <v>121</v>
      </c>
      <c r="CH92" s="352" t="s">
        <v>121</v>
      </c>
      <c r="CI92" s="352" t="s">
        <v>121</v>
      </c>
      <c r="CJ92" s="352" t="s">
        <v>121</v>
      </c>
      <c r="CK92" s="352" t="s">
        <v>121</v>
      </c>
      <c r="CL92" s="352" t="s">
        <v>121</v>
      </c>
      <c r="CM92" s="352" t="s">
        <v>121</v>
      </c>
      <c r="CN92" s="352" t="s">
        <v>121</v>
      </c>
      <c r="CO92" s="352" t="s">
        <v>121</v>
      </c>
      <c r="CP92" s="352" t="s">
        <v>121</v>
      </c>
      <c r="CQ92" s="352" t="s">
        <v>121</v>
      </c>
      <c r="CR92" s="352" t="s">
        <v>121</v>
      </c>
      <c r="CS92" s="352" t="s">
        <v>121</v>
      </c>
      <c r="CT92" s="352" t="s">
        <v>121</v>
      </c>
      <c r="CU92" s="352" t="s">
        <v>121</v>
      </c>
      <c r="CV92" s="352" t="s">
        <v>121</v>
      </c>
      <c r="CW92" s="352" t="s">
        <v>121</v>
      </c>
      <c r="CX92" s="352" t="s">
        <v>121</v>
      </c>
      <c r="CY92" s="352" t="s">
        <v>121</v>
      </c>
      <c r="CZ92" s="352" t="s">
        <v>121</v>
      </c>
      <c r="DA92" s="352" t="s">
        <v>121</v>
      </c>
      <c r="DB92" s="352" t="s">
        <v>121</v>
      </c>
      <c r="DC92" s="352" t="s">
        <v>121</v>
      </c>
      <c r="DD92" s="352" t="s">
        <v>121</v>
      </c>
      <c r="DE92" s="352" t="s">
        <v>121</v>
      </c>
      <c r="DF92" s="352" t="s">
        <v>121</v>
      </c>
      <c r="DG92" s="352" t="s">
        <v>121</v>
      </c>
      <c r="DH92" s="352" t="s">
        <v>121</v>
      </c>
      <c r="DI92" s="352" t="s">
        <v>121</v>
      </c>
      <c r="DJ92" s="352" t="s">
        <v>121</v>
      </c>
      <c r="DK92" s="352" t="s">
        <v>121</v>
      </c>
      <c r="DL92" s="352" t="s">
        <v>121</v>
      </c>
      <c r="DM92" s="352" t="s">
        <v>121</v>
      </c>
      <c r="DN92" s="352" t="s">
        <v>121</v>
      </c>
      <c r="DO92" s="352" t="s">
        <v>121</v>
      </c>
      <c r="DP92" s="352" t="s">
        <v>121</v>
      </c>
      <c r="DQ92" s="352" t="s">
        <v>121</v>
      </c>
      <c r="DR92" s="352" t="s">
        <v>121</v>
      </c>
      <c r="DS92" s="352" t="s">
        <v>121</v>
      </c>
      <c r="DT92" s="352" t="s">
        <v>121</v>
      </c>
      <c r="DU92" s="352" t="s">
        <v>121</v>
      </c>
      <c r="DV92" s="352" t="s">
        <v>121</v>
      </c>
      <c r="DW92" s="352" t="s">
        <v>121</v>
      </c>
      <c r="DX92" s="352" t="s">
        <v>121</v>
      </c>
      <c r="DY92" s="352" t="s">
        <v>121</v>
      </c>
      <c r="DZ92" s="352" t="s">
        <v>121</v>
      </c>
      <c r="EA92" s="352" t="s">
        <v>121</v>
      </c>
      <c r="EB92" s="352" t="s">
        <v>121</v>
      </c>
      <c r="EC92" s="352" t="s">
        <v>121</v>
      </c>
      <c r="ED92" s="352" t="s">
        <v>121</v>
      </c>
      <c r="EE92" s="352" t="s">
        <v>121</v>
      </c>
      <c r="EF92" s="352" t="s">
        <v>121</v>
      </c>
      <c r="EG92" s="352" t="s">
        <v>121</v>
      </c>
      <c r="EH92" s="352" t="s">
        <v>121</v>
      </c>
      <c r="EI92" s="352" t="s">
        <v>121</v>
      </c>
      <c r="EJ92" s="352" t="s">
        <v>121</v>
      </c>
      <c r="EK92" s="352" t="s">
        <v>121</v>
      </c>
      <c r="EL92" s="352" t="s">
        <v>121</v>
      </c>
      <c r="EM92" s="352" t="s">
        <v>121</v>
      </c>
      <c r="EN92" s="352" t="s">
        <v>121</v>
      </c>
      <c r="EO92" s="352" t="s">
        <v>121</v>
      </c>
      <c r="EP92" s="352" t="s">
        <v>121</v>
      </c>
      <c r="EQ92" s="352" t="s">
        <v>121</v>
      </c>
      <c r="ER92" s="352" t="s">
        <v>121</v>
      </c>
      <c r="ES92" s="352" t="s">
        <v>121</v>
      </c>
      <c r="ET92" s="352" t="s">
        <v>121</v>
      </c>
      <c r="EU92" s="352" t="s">
        <v>121</v>
      </c>
      <c r="EV92" s="352" t="s">
        <v>121</v>
      </c>
      <c r="EW92" s="352" t="s">
        <v>121</v>
      </c>
      <c r="EX92" s="352" t="s">
        <v>121</v>
      </c>
    </row>
    <row r="93" spans="1:154" s="352" customFormat="1" ht="15" customHeight="1" x14ac:dyDescent="0.25">
      <c r="A93" s="273">
        <v>93</v>
      </c>
      <c r="B93" s="375" t="s">
        <v>104</v>
      </c>
      <c r="C93" s="345" t="s">
        <v>121</v>
      </c>
      <c r="D93" s="275" t="s">
        <v>121</v>
      </c>
      <c r="E93" s="270" t="s">
        <v>121</v>
      </c>
      <c r="F93" s="255">
        <v>-80</v>
      </c>
      <c r="G93" s="255">
        <v>23</v>
      </c>
      <c r="H93" s="255">
        <v>752</v>
      </c>
      <c r="I93" s="255">
        <v>16</v>
      </c>
      <c r="J93" s="255">
        <v>-3</v>
      </c>
      <c r="K93" s="255" t="s">
        <v>121</v>
      </c>
      <c r="L93" s="255" t="s">
        <v>121</v>
      </c>
      <c r="M93" s="255">
        <v>222</v>
      </c>
      <c r="N93" s="255">
        <v>-9</v>
      </c>
      <c r="O93" s="255">
        <v>407</v>
      </c>
      <c r="P93" s="255" t="s">
        <v>121</v>
      </c>
      <c r="Q93" s="405"/>
      <c r="R93" s="405"/>
      <c r="S93" s="405"/>
      <c r="T93" s="405"/>
      <c r="U93" s="255">
        <v>-82</v>
      </c>
      <c r="V93" s="255">
        <v>-625</v>
      </c>
      <c r="W93" s="255" t="s">
        <v>121</v>
      </c>
      <c r="X93" s="255" t="s">
        <v>121</v>
      </c>
      <c r="Y93" s="255">
        <v>-70.951000000000022</v>
      </c>
      <c r="Z93" s="255">
        <v>-514.99099999999999</v>
      </c>
      <c r="AA93" s="255">
        <v>-305.05799999999999</v>
      </c>
      <c r="AB93" s="255" t="s">
        <v>121</v>
      </c>
      <c r="AC93" s="255">
        <v>54.658000000000001</v>
      </c>
      <c r="AD93" s="255">
        <v>0.628</v>
      </c>
      <c r="AE93" s="255" t="s">
        <v>121</v>
      </c>
      <c r="AF93" s="255" t="s">
        <v>121</v>
      </c>
      <c r="AG93" s="255" t="s">
        <v>121</v>
      </c>
      <c r="AH93" s="255" t="s">
        <v>121</v>
      </c>
      <c r="AI93" s="255" t="s">
        <v>121</v>
      </c>
      <c r="AJ93" s="255" t="s">
        <v>121</v>
      </c>
      <c r="AK93" s="255" t="s">
        <v>121</v>
      </c>
      <c r="AL93" s="255" t="s">
        <v>121</v>
      </c>
      <c r="AM93" s="255" t="s">
        <v>121</v>
      </c>
      <c r="AN93" s="255" t="s">
        <v>121</v>
      </c>
      <c r="AO93" s="255" t="s">
        <v>121</v>
      </c>
      <c r="AP93" s="255" t="s">
        <v>121</v>
      </c>
      <c r="AQ93" s="255" t="s">
        <v>121</v>
      </c>
      <c r="AR93" s="255" t="s">
        <v>121</v>
      </c>
      <c r="AS93" s="255" t="s">
        <v>121</v>
      </c>
      <c r="AT93" s="255" t="s">
        <v>121</v>
      </c>
      <c r="AU93" s="255" t="s">
        <v>121</v>
      </c>
      <c r="AV93" s="255" t="s">
        <v>121</v>
      </c>
      <c r="AW93" s="255">
        <v>-53.442</v>
      </c>
      <c r="AX93" s="255" t="s">
        <v>121</v>
      </c>
      <c r="AY93" s="255" t="s">
        <v>121</v>
      </c>
      <c r="AZ93" s="255" t="s">
        <v>121</v>
      </c>
      <c r="BA93" s="255" t="s">
        <v>121</v>
      </c>
      <c r="BB93" s="255" t="s">
        <v>121</v>
      </c>
      <c r="BC93" s="255" t="s">
        <v>121</v>
      </c>
      <c r="BD93" s="255" t="s">
        <v>121</v>
      </c>
      <c r="BE93" s="255" t="s">
        <v>121</v>
      </c>
      <c r="BF93" s="255" t="s">
        <v>121</v>
      </c>
      <c r="BG93" s="255" t="s">
        <v>121</v>
      </c>
      <c r="BH93" s="255" t="s">
        <v>121</v>
      </c>
      <c r="BI93" s="255" t="s">
        <v>121</v>
      </c>
      <c r="BJ93" s="391" t="s">
        <v>121</v>
      </c>
      <c r="BK93" s="255" t="s">
        <v>121</v>
      </c>
      <c r="BL93" s="255" t="s">
        <v>121</v>
      </c>
      <c r="BM93" s="352" t="s">
        <v>121</v>
      </c>
      <c r="BN93" s="352" t="s">
        <v>121</v>
      </c>
      <c r="BO93" s="352" t="s">
        <v>121</v>
      </c>
      <c r="BP93" s="352" t="s">
        <v>121</v>
      </c>
      <c r="BQ93" s="352" t="s">
        <v>121</v>
      </c>
      <c r="BR93" s="352" t="s">
        <v>121</v>
      </c>
      <c r="BS93" s="352" t="s">
        <v>121</v>
      </c>
      <c r="BT93" s="352" t="s">
        <v>121</v>
      </c>
      <c r="BU93" s="352" t="s">
        <v>121</v>
      </c>
      <c r="BV93" s="352" t="s">
        <v>121</v>
      </c>
      <c r="BW93" s="352" t="s">
        <v>121</v>
      </c>
      <c r="BX93" s="352" t="s">
        <v>121</v>
      </c>
      <c r="BY93" s="352" t="s">
        <v>121</v>
      </c>
      <c r="BZ93" s="352" t="s">
        <v>121</v>
      </c>
      <c r="CA93" s="352" t="s">
        <v>121</v>
      </c>
      <c r="CB93" s="352" t="s">
        <v>121</v>
      </c>
      <c r="CC93" s="352" t="s">
        <v>121</v>
      </c>
      <c r="CD93" s="352" t="s">
        <v>121</v>
      </c>
      <c r="CE93" s="352" t="s">
        <v>121</v>
      </c>
      <c r="CF93" s="352" t="s">
        <v>121</v>
      </c>
      <c r="CG93" s="352" t="s">
        <v>121</v>
      </c>
      <c r="CH93" s="352" t="s">
        <v>121</v>
      </c>
      <c r="CI93" s="352" t="s">
        <v>121</v>
      </c>
      <c r="CJ93" s="352" t="s">
        <v>121</v>
      </c>
      <c r="CK93" s="352" t="s">
        <v>121</v>
      </c>
      <c r="CL93" s="352" t="s">
        <v>121</v>
      </c>
      <c r="CM93" s="352" t="s">
        <v>121</v>
      </c>
      <c r="CN93" s="352" t="s">
        <v>121</v>
      </c>
      <c r="CO93" s="352" t="s">
        <v>121</v>
      </c>
      <c r="CP93" s="352" t="s">
        <v>121</v>
      </c>
      <c r="CQ93" s="352" t="s">
        <v>121</v>
      </c>
      <c r="CR93" s="352" t="s">
        <v>121</v>
      </c>
      <c r="CS93" s="352" t="s">
        <v>121</v>
      </c>
      <c r="CT93" s="352" t="s">
        <v>121</v>
      </c>
      <c r="CU93" s="352" t="s">
        <v>121</v>
      </c>
      <c r="CV93" s="352" t="s">
        <v>121</v>
      </c>
      <c r="CW93" s="352" t="s">
        <v>121</v>
      </c>
      <c r="CX93" s="352" t="s">
        <v>121</v>
      </c>
      <c r="CY93" s="352" t="s">
        <v>121</v>
      </c>
      <c r="CZ93" s="352" t="s">
        <v>121</v>
      </c>
      <c r="DA93" s="352" t="s">
        <v>121</v>
      </c>
      <c r="DB93" s="352" t="s">
        <v>121</v>
      </c>
      <c r="DC93" s="352" t="s">
        <v>121</v>
      </c>
      <c r="DD93" s="352" t="s">
        <v>121</v>
      </c>
      <c r="DE93" s="352" t="s">
        <v>121</v>
      </c>
      <c r="DF93" s="352" t="s">
        <v>121</v>
      </c>
      <c r="DG93" s="352" t="s">
        <v>121</v>
      </c>
      <c r="DH93" s="352" t="s">
        <v>121</v>
      </c>
      <c r="DI93" s="352" t="s">
        <v>121</v>
      </c>
      <c r="DJ93" s="352" t="s">
        <v>121</v>
      </c>
      <c r="DK93" s="352" t="s">
        <v>121</v>
      </c>
      <c r="DL93" s="352" t="s">
        <v>121</v>
      </c>
      <c r="DM93" s="352" t="s">
        <v>121</v>
      </c>
      <c r="DN93" s="352" t="s">
        <v>121</v>
      </c>
      <c r="DO93" s="352" t="s">
        <v>121</v>
      </c>
      <c r="DP93" s="352" t="s">
        <v>121</v>
      </c>
      <c r="DQ93" s="352" t="s">
        <v>121</v>
      </c>
      <c r="DR93" s="352" t="s">
        <v>121</v>
      </c>
      <c r="DS93" s="352" t="s">
        <v>121</v>
      </c>
      <c r="DT93" s="352" t="s">
        <v>121</v>
      </c>
      <c r="DU93" s="352" t="s">
        <v>121</v>
      </c>
      <c r="DV93" s="352" t="s">
        <v>121</v>
      </c>
      <c r="DW93" s="352" t="s">
        <v>121</v>
      </c>
      <c r="DX93" s="352" t="s">
        <v>121</v>
      </c>
      <c r="DY93" s="352" t="s">
        <v>121</v>
      </c>
      <c r="DZ93" s="352" t="s">
        <v>121</v>
      </c>
      <c r="EA93" s="352" t="s">
        <v>121</v>
      </c>
      <c r="EB93" s="352" t="s">
        <v>121</v>
      </c>
      <c r="EC93" s="352" t="s">
        <v>121</v>
      </c>
      <c r="ED93" s="352" t="s">
        <v>121</v>
      </c>
      <c r="EE93" s="352" t="s">
        <v>121</v>
      </c>
      <c r="EF93" s="352" t="s">
        <v>121</v>
      </c>
      <c r="EG93" s="352" t="s">
        <v>121</v>
      </c>
      <c r="EH93" s="352" t="s">
        <v>121</v>
      </c>
      <c r="EI93" s="352" t="s">
        <v>121</v>
      </c>
      <c r="EJ93" s="352" t="s">
        <v>121</v>
      </c>
      <c r="EK93" s="352" t="s">
        <v>121</v>
      </c>
      <c r="EL93" s="352" t="s">
        <v>121</v>
      </c>
      <c r="EM93" s="352" t="s">
        <v>121</v>
      </c>
      <c r="EN93" s="352" t="s">
        <v>121</v>
      </c>
      <c r="EO93" s="352" t="s">
        <v>121</v>
      </c>
      <c r="EP93" s="352" t="s">
        <v>121</v>
      </c>
      <c r="EQ93" s="352" t="s">
        <v>121</v>
      </c>
      <c r="ER93" s="352" t="s">
        <v>121</v>
      </c>
      <c r="ES93" s="352" t="s">
        <v>121</v>
      </c>
      <c r="ET93" s="352" t="s">
        <v>121</v>
      </c>
      <c r="EU93" s="352" t="s">
        <v>121</v>
      </c>
      <c r="EV93" s="352" t="s">
        <v>121</v>
      </c>
      <c r="EW93" s="352" t="s">
        <v>121</v>
      </c>
      <c r="EX93" s="352" t="s">
        <v>121</v>
      </c>
    </row>
    <row r="94" spans="1:154" s="352" customFormat="1" ht="15" customHeight="1" x14ac:dyDescent="0.25">
      <c r="A94" s="273">
        <v>94</v>
      </c>
      <c r="B94" s="375" t="s">
        <v>105</v>
      </c>
      <c r="C94" s="345" t="s">
        <v>121</v>
      </c>
      <c r="D94" s="275" t="s">
        <v>121</v>
      </c>
      <c r="E94" s="270" t="s">
        <v>121</v>
      </c>
      <c r="F94" s="255">
        <v>0</v>
      </c>
      <c r="G94" s="255">
        <v>0</v>
      </c>
      <c r="H94" s="255">
        <v>0</v>
      </c>
      <c r="I94" s="255">
        <v>0</v>
      </c>
      <c r="J94" s="255">
        <v>0</v>
      </c>
      <c r="K94" s="255">
        <v>0</v>
      </c>
      <c r="L94" s="255">
        <v>0</v>
      </c>
      <c r="M94" s="255">
        <v>0</v>
      </c>
      <c r="N94" s="255">
        <v>0</v>
      </c>
      <c r="O94" s="255">
        <v>0</v>
      </c>
      <c r="P94" s="255">
        <v>0</v>
      </c>
      <c r="Q94" s="405"/>
      <c r="R94" s="405"/>
      <c r="S94" s="405"/>
      <c r="T94" s="405"/>
      <c r="U94" s="255" t="s">
        <v>121</v>
      </c>
      <c r="V94" s="255" t="s">
        <v>121</v>
      </c>
      <c r="W94" s="255" t="s">
        <v>121</v>
      </c>
      <c r="X94" s="255" t="s">
        <v>121</v>
      </c>
      <c r="Y94" s="255" t="s">
        <v>121</v>
      </c>
      <c r="Z94" s="255" t="s">
        <v>121</v>
      </c>
      <c r="AA94" s="255" t="s">
        <v>121</v>
      </c>
      <c r="AB94" s="255" t="s">
        <v>121</v>
      </c>
      <c r="AC94" s="255" t="s">
        <v>121</v>
      </c>
      <c r="AD94" s="255" t="s">
        <v>121</v>
      </c>
      <c r="AE94" s="255" t="s">
        <v>121</v>
      </c>
      <c r="AF94" s="255" t="s">
        <v>121</v>
      </c>
      <c r="AG94" s="255" t="s">
        <v>121</v>
      </c>
      <c r="AH94" s="255" t="s">
        <v>121</v>
      </c>
      <c r="AI94" s="255" t="s">
        <v>121</v>
      </c>
      <c r="AJ94" s="255" t="s">
        <v>121</v>
      </c>
      <c r="AK94" s="255">
        <v>-29.486999999999998</v>
      </c>
      <c r="AL94" s="255" t="s">
        <v>121</v>
      </c>
      <c r="AM94" s="255" t="s">
        <v>121</v>
      </c>
      <c r="AN94" s="255" t="s">
        <v>121</v>
      </c>
      <c r="AO94" s="255" t="s">
        <v>121</v>
      </c>
      <c r="AP94" s="255" t="s">
        <v>121</v>
      </c>
      <c r="AQ94" s="255" t="s">
        <v>121</v>
      </c>
      <c r="AR94" s="255" t="s">
        <v>121</v>
      </c>
      <c r="AS94" s="255" t="s">
        <v>121</v>
      </c>
      <c r="AT94" s="255" t="s">
        <v>121</v>
      </c>
      <c r="AU94" s="255" t="s">
        <v>121</v>
      </c>
      <c r="AV94" s="255" t="s">
        <v>121</v>
      </c>
      <c r="AW94" s="255">
        <v>0.188</v>
      </c>
      <c r="AX94" s="255" t="s">
        <v>121</v>
      </c>
      <c r="AY94" s="255" t="s">
        <v>121</v>
      </c>
      <c r="AZ94" s="255" t="s">
        <v>121</v>
      </c>
      <c r="BA94" s="255" t="s">
        <v>121</v>
      </c>
      <c r="BB94" s="255" t="s">
        <v>121</v>
      </c>
      <c r="BC94" s="255" t="s">
        <v>121</v>
      </c>
      <c r="BD94" s="255" t="s">
        <v>121</v>
      </c>
      <c r="BE94" s="255" t="s">
        <v>121</v>
      </c>
      <c r="BF94" s="255" t="s">
        <v>121</v>
      </c>
      <c r="BG94" s="255" t="s">
        <v>121</v>
      </c>
      <c r="BH94" s="255" t="s">
        <v>121</v>
      </c>
      <c r="BI94" s="255" t="s">
        <v>121</v>
      </c>
      <c r="BJ94" s="255" t="s">
        <v>121</v>
      </c>
      <c r="BK94" s="255" t="s">
        <v>121</v>
      </c>
      <c r="BL94" s="255" t="s">
        <v>121</v>
      </c>
      <c r="BM94" s="352" t="s">
        <v>121</v>
      </c>
      <c r="BN94" s="352" t="s">
        <v>121</v>
      </c>
      <c r="BO94" s="352" t="s">
        <v>121</v>
      </c>
      <c r="BP94" s="352" t="s">
        <v>121</v>
      </c>
      <c r="BQ94" s="352" t="s">
        <v>121</v>
      </c>
      <c r="BR94" s="352" t="s">
        <v>121</v>
      </c>
      <c r="BS94" s="352" t="s">
        <v>121</v>
      </c>
      <c r="BT94" s="352" t="s">
        <v>121</v>
      </c>
      <c r="BU94" s="352" t="s">
        <v>121</v>
      </c>
      <c r="BV94" s="352" t="s">
        <v>121</v>
      </c>
      <c r="BW94" s="352" t="s">
        <v>121</v>
      </c>
      <c r="BX94" s="352" t="s">
        <v>121</v>
      </c>
      <c r="BY94" s="352" t="s">
        <v>121</v>
      </c>
      <c r="BZ94" s="352" t="s">
        <v>121</v>
      </c>
      <c r="CA94" s="352" t="s">
        <v>121</v>
      </c>
      <c r="CB94" s="352" t="s">
        <v>121</v>
      </c>
      <c r="CC94" s="352" t="s">
        <v>121</v>
      </c>
      <c r="CD94" s="352" t="s">
        <v>121</v>
      </c>
      <c r="CE94" s="352" t="s">
        <v>121</v>
      </c>
      <c r="CF94" s="352" t="s">
        <v>121</v>
      </c>
      <c r="CG94" s="352" t="s">
        <v>121</v>
      </c>
      <c r="CH94" s="352" t="s">
        <v>121</v>
      </c>
      <c r="CI94" s="352" t="s">
        <v>121</v>
      </c>
      <c r="CJ94" s="352" t="s">
        <v>121</v>
      </c>
      <c r="CK94" s="352" t="s">
        <v>121</v>
      </c>
      <c r="CL94" s="352" t="s">
        <v>121</v>
      </c>
      <c r="CM94" s="352" t="s">
        <v>121</v>
      </c>
      <c r="CN94" s="352" t="s">
        <v>121</v>
      </c>
      <c r="CO94" s="352" t="s">
        <v>121</v>
      </c>
      <c r="CP94" s="352" t="s">
        <v>121</v>
      </c>
      <c r="CQ94" s="352" t="s">
        <v>121</v>
      </c>
      <c r="CR94" s="352" t="s">
        <v>121</v>
      </c>
      <c r="CS94" s="352" t="s">
        <v>121</v>
      </c>
      <c r="CT94" s="352" t="s">
        <v>121</v>
      </c>
      <c r="CU94" s="352" t="s">
        <v>121</v>
      </c>
      <c r="CV94" s="352" t="s">
        <v>121</v>
      </c>
      <c r="CW94" s="352" t="s">
        <v>121</v>
      </c>
      <c r="CX94" s="352" t="s">
        <v>121</v>
      </c>
      <c r="CY94" s="352" t="s">
        <v>121</v>
      </c>
      <c r="CZ94" s="352" t="s">
        <v>121</v>
      </c>
      <c r="DA94" s="352" t="s">
        <v>121</v>
      </c>
      <c r="DB94" s="352" t="s">
        <v>121</v>
      </c>
      <c r="DC94" s="352" t="s">
        <v>121</v>
      </c>
      <c r="DD94" s="352" t="s">
        <v>121</v>
      </c>
      <c r="DE94" s="352" t="s">
        <v>121</v>
      </c>
      <c r="DF94" s="352" t="s">
        <v>121</v>
      </c>
      <c r="DG94" s="352" t="s">
        <v>121</v>
      </c>
      <c r="DH94" s="352" t="s">
        <v>121</v>
      </c>
      <c r="DI94" s="352" t="s">
        <v>121</v>
      </c>
      <c r="DJ94" s="352" t="s">
        <v>121</v>
      </c>
      <c r="DK94" s="352" t="s">
        <v>121</v>
      </c>
      <c r="DL94" s="352" t="s">
        <v>121</v>
      </c>
      <c r="DM94" s="352" t="s">
        <v>121</v>
      </c>
      <c r="DN94" s="352" t="s">
        <v>121</v>
      </c>
      <c r="DO94" s="352" t="s">
        <v>121</v>
      </c>
      <c r="DP94" s="352" t="s">
        <v>121</v>
      </c>
      <c r="DQ94" s="352" t="s">
        <v>121</v>
      </c>
      <c r="DR94" s="352" t="s">
        <v>121</v>
      </c>
      <c r="DS94" s="352" t="s">
        <v>121</v>
      </c>
      <c r="DT94" s="352" t="s">
        <v>121</v>
      </c>
      <c r="DU94" s="352" t="s">
        <v>121</v>
      </c>
      <c r="DV94" s="352" t="s">
        <v>121</v>
      </c>
      <c r="DW94" s="352" t="s">
        <v>121</v>
      </c>
      <c r="DX94" s="352" t="s">
        <v>121</v>
      </c>
      <c r="DY94" s="352" t="s">
        <v>121</v>
      </c>
      <c r="DZ94" s="352" t="s">
        <v>121</v>
      </c>
      <c r="EA94" s="352" t="s">
        <v>121</v>
      </c>
      <c r="EB94" s="352" t="s">
        <v>121</v>
      </c>
      <c r="EC94" s="352" t="s">
        <v>121</v>
      </c>
      <c r="ED94" s="352" t="s">
        <v>121</v>
      </c>
      <c r="EE94" s="352" t="s">
        <v>121</v>
      </c>
      <c r="EF94" s="352" t="s">
        <v>121</v>
      </c>
      <c r="EG94" s="352" t="s">
        <v>121</v>
      </c>
      <c r="EH94" s="352" t="s">
        <v>121</v>
      </c>
      <c r="EI94" s="352" t="s">
        <v>121</v>
      </c>
      <c r="EJ94" s="352" t="s">
        <v>121</v>
      </c>
      <c r="EK94" s="352" t="s">
        <v>121</v>
      </c>
      <c r="EL94" s="352" t="s">
        <v>121</v>
      </c>
      <c r="EM94" s="352" t="s">
        <v>121</v>
      </c>
      <c r="EN94" s="352" t="s">
        <v>121</v>
      </c>
      <c r="EO94" s="352" t="s">
        <v>121</v>
      </c>
      <c r="EP94" s="352" t="s">
        <v>121</v>
      </c>
      <c r="EQ94" s="352" t="s">
        <v>121</v>
      </c>
      <c r="ER94" s="352" t="s">
        <v>121</v>
      </c>
      <c r="ES94" s="352" t="s">
        <v>121</v>
      </c>
      <c r="ET94" s="352" t="s">
        <v>121</v>
      </c>
      <c r="EU94" s="352" t="s">
        <v>121</v>
      </c>
      <c r="EV94" s="352" t="s">
        <v>121</v>
      </c>
      <c r="EW94" s="352" t="s">
        <v>121</v>
      </c>
      <c r="EX94" s="352" t="s">
        <v>121</v>
      </c>
    </row>
    <row r="95" spans="1:154" s="352" customFormat="1" ht="15" customHeight="1" x14ac:dyDescent="0.25">
      <c r="A95" s="273">
        <v>95</v>
      </c>
      <c r="B95" s="375" t="s">
        <v>106</v>
      </c>
      <c r="C95" s="345" t="s">
        <v>121</v>
      </c>
      <c r="D95" s="275" t="s">
        <v>121</v>
      </c>
      <c r="E95" s="270" t="s">
        <v>121</v>
      </c>
      <c r="F95" s="255">
        <v>0</v>
      </c>
      <c r="G95" s="255">
        <v>0</v>
      </c>
      <c r="H95" s="255">
        <v>0</v>
      </c>
      <c r="I95" s="255">
        <v>0</v>
      </c>
      <c r="J95" s="255">
        <v>0</v>
      </c>
      <c r="K95" s="255">
        <v>0</v>
      </c>
      <c r="L95" s="255">
        <v>0</v>
      </c>
      <c r="M95" s="255">
        <v>0</v>
      </c>
      <c r="N95" s="255">
        <v>0</v>
      </c>
      <c r="O95" s="255">
        <v>0</v>
      </c>
      <c r="P95" s="255">
        <v>0</v>
      </c>
      <c r="Q95" s="405"/>
      <c r="R95" s="405"/>
      <c r="S95" s="405"/>
      <c r="T95" s="405"/>
      <c r="U95" s="255" t="s">
        <v>121</v>
      </c>
      <c r="V95" s="255" t="s">
        <v>121</v>
      </c>
      <c r="W95" s="255" t="s">
        <v>121</v>
      </c>
      <c r="X95" s="255" t="s">
        <v>121</v>
      </c>
      <c r="Y95" s="255" t="s">
        <v>121</v>
      </c>
      <c r="Z95" s="255" t="s">
        <v>121</v>
      </c>
      <c r="AA95" s="255" t="s">
        <v>121</v>
      </c>
      <c r="AB95" s="255" t="s">
        <v>121</v>
      </c>
      <c r="AC95" s="255" t="s">
        <v>121</v>
      </c>
      <c r="AD95" s="255" t="s">
        <v>121</v>
      </c>
      <c r="AE95" s="255" t="s">
        <v>121</v>
      </c>
      <c r="AF95" s="255" t="s">
        <v>121</v>
      </c>
      <c r="AG95" s="255" t="s">
        <v>121</v>
      </c>
      <c r="AH95" s="255" t="s">
        <v>121</v>
      </c>
      <c r="AI95" s="255" t="s">
        <v>121</v>
      </c>
      <c r="AJ95" s="255" t="s">
        <v>121</v>
      </c>
      <c r="AK95" s="255" t="s">
        <v>121</v>
      </c>
      <c r="AL95" s="255" t="s">
        <v>121</v>
      </c>
      <c r="AM95" s="255" t="s">
        <v>121</v>
      </c>
      <c r="AN95" s="255" t="s">
        <v>121</v>
      </c>
      <c r="AO95" s="255" t="s">
        <v>121</v>
      </c>
      <c r="AP95" s="255" t="s">
        <v>121</v>
      </c>
      <c r="AQ95" s="255" t="s">
        <v>121</v>
      </c>
      <c r="AR95" s="255" t="s">
        <v>121</v>
      </c>
      <c r="AS95" s="255" t="s">
        <v>121</v>
      </c>
      <c r="AT95" s="255" t="s">
        <v>121</v>
      </c>
      <c r="AU95" s="255" t="s">
        <v>121</v>
      </c>
      <c r="AV95" s="255" t="s">
        <v>121</v>
      </c>
      <c r="AW95" s="255" t="s">
        <v>121</v>
      </c>
      <c r="AX95" s="255" t="s">
        <v>121</v>
      </c>
      <c r="AY95" s="255" t="s">
        <v>121</v>
      </c>
      <c r="AZ95" s="255" t="s">
        <v>121</v>
      </c>
      <c r="BA95" s="255" t="s">
        <v>121</v>
      </c>
      <c r="BB95" s="255" t="s">
        <v>121</v>
      </c>
      <c r="BC95" s="255" t="s">
        <v>121</v>
      </c>
      <c r="BD95" s="255" t="s">
        <v>121</v>
      </c>
      <c r="BE95" s="255" t="s">
        <v>121</v>
      </c>
      <c r="BF95" s="255" t="s">
        <v>121</v>
      </c>
      <c r="BG95" s="255">
        <v>-1E-3</v>
      </c>
      <c r="BH95" s="255">
        <v>1E-3</v>
      </c>
      <c r="BI95" s="255">
        <v>-7.0000000000000001E-3</v>
      </c>
      <c r="BJ95" s="255" t="s">
        <v>121</v>
      </c>
      <c r="BK95" s="255" t="s">
        <v>121</v>
      </c>
      <c r="BL95" s="255" t="s">
        <v>121</v>
      </c>
      <c r="BM95" s="352">
        <v>-72.626999999999995</v>
      </c>
      <c r="BN95" s="352">
        <v>0.17799999999999999</v>
      </c>
      <c r="BO95" s="352">
        <v>5.1050000000000004</v>
      </c>
      <c r="BP95" s="352" t="s">
        <v>121</v>
      </c>
      <c r="BQ95" s="352" t="s">
        <v>121</v>
      </c>
      <c r="BR95" s="352" t="s">
        <v>121</v>
      </c>
      <c r="BS95" s="352" t="s">
        <v>121</v>
      </c>
      <c r="BT95" s="352" t="s">
        <v>121</v>
      </c>
      <c r="BU95" s="352" t="s">
        <v>121</v>
      </c>
      <c r="BV95" s="352" t="s">
        <v>121</v>
      </c>
      <c r="BW95" s="352" t="s">
        <v>121</v>
      </c>
      <c r="BX95" s="352" t="s">
        <v>121</v>
      </c>
      <c r="BY95" s="352" t="s">
        <v>121</v>
      </c>
      <c r="BZ95" s="352" t="s">
        <v>121</v>
      </c>
      <c r="CA95" s="352" t="s">
        <v>121</v>
      </c>
      <c r="CB95" s="352" t="s">
        <v>121</v>
      </c>
      <c r="CC95" s="352" t="s">
        <v>121</v>
      </c>
      <c r="CD95" s="352" t="s">
        <v>121</v>
      </c>
      <c r="CE95" s="352" t="s">
        <v>121</v>
      </c>
      <c r="CF95" s="352" t="s">
        <v>121</v>
      </c>
      <c r="CG95" s="352" t="s">
        <v>121</v>
      </c>
      <c r="CH95" s="352" t="s">
        <v>121</v>
      </c>
      <c r="CI95" s="352" t="s">
        <v>121</v>
      </c>
      <c r="CJ95" s="352" t="s">
        <v>121</v>
      </c>
      <c r="CK95" s="352" t="s">
        <v>121</v>
      </c>
      <c r="CL95" s="352" t="s">
        <v>121</v>
      </c>
      <c r="CM95" s="352" t="s">
        <v>121</v>
      </c>
      <c r="CN95" s="352" t="s">
        <v>121</v>
      </c>
      <c r="CO95" s="352" t="s">
        <v>121</v>
      </c>
      <c r="CP95" s="352" t="s">
        <v>121</v>
      </c>
      <c r="CQ95" s="352" t="s">
        <v>121</v>
      </c>
      <c r="CR95" s="352" t="s">
        <v>121</v>
      </c>
      <c r="CS95" s="352" t="s">
        <v>121</v>
      </c>
      <c r="CT95" s="352" t="s">
        <v>121</v>
      </c>
      <c r="CU95" s="352" t="s">
        <v>121</v>
      </c>
      <c r="CV95" s="352" t="s">
        <v>121</v>
      </c>
      <c r="CW95" s="352" t="s">
        <v>121</v>
      </c>
      <c r="CX95" s="352" t="s">
        <v>121</v>
      </c>
      <c r="CY95" s="352" t="s">
        <v>121</v>
      </c>
      <c r="CZ95" s="352" t="s">
        <v>121</v>
      </c>
      <c r="DA95" s="352" t="s">
        <v>121</v>
      </c>
      <c r="DB95" s="352" t="s">
        <v>121</v>
      </c>
      <c r="DC95" s="352" t="s">
        <v>121</v>
      </c>
      <c r="DD95" s="352" t="s">
        <v>121</v>
      </c>
      <c r="DE95" s="352" t="s">
        <v>121</v>
      </c>
      <c r="DF95" s="352" t="s">
        <v>121</v>
      </c>
      <c r="DG95" s="352" t="s">
        <v>121</v>
      </c>
      <c r="DH95" s="352" t="s">
        <v>121</v>
      </c>
      <c r="DI95" s="352" t="s">
        <v>121</v>
      </c>
      <c r="DJ95" s="352" t="s">
        <v>121</v>
      </c>
      <c r="DK95" s="352" t="s">
        <v>121</v>
      </c>
      <c r="DL95" s="352" t="s">
        <v>121</v>
      </c>
      <c r="DM95" s="352" t="s">
        <v>121</v>
      </c>
      <c r="DN95" s="352" t="s">
        <v>121</v>
      </c>
      <c r="DO95" s="352" t="s">
        <v>121</v>
      </c>
      <c r="DP95" s="352" t="s">
        <v>121</v>
      </c>
      <c r="DQ95" s="352" t="s">
        <v>121</v>
      </c>
      <c r="DR95" s="352" t="s">
        <v>121</v>
      </c>
      <c r="DS95" s="352" t="s">
        <v>121</v>
      </c>
      <c r="DT95" s="352" t="s">
        <v>121</v>
      </c>
      <c r="DU95" s="352" t="s">
        <v>121</v>
      </c>
      <c r="DV95" s="352" t="s">
        <v>121</v>
      </c>
      <c r="DW95" s="352" t="s">
        <v>121</v>
      </c>
      <c r="DX95" s="352" t="s">
        <v>121</v>
      </c>
      <c r="DY95" s="352" t="s">
        <v>121</v>
      </c>
      <c r="DZ95" s="352" t="s">
        <v>121</v>
      </c>
      <c r="EA95" s="352" t="s">
        <v>121</v>
      </c>
      <c r="EB95" s="352" t="s">
        <v>121</v>
      </c>
      <c r="EC95" s="352" t="s">
        <v>121</v>
      </c>
      <c r="ED95" s="352" t="s">
        <v>121</v>
      </c>
      <c r="EE95" s="352" t="s">
        <v>121</v>
      </c>
      <c r="EF95" s="352" t="s">
        <v>121</v>
      </c>
      <c r="EG95" s="352" t="s">
        <v>121</v>
      </c>
      <c r="EH95" s="352" t="s">
        <v>121</v>
      </c>
      <c r="EI95" s="352" t="s">
        <v>121</v>
      </c>
      <c r="EJ95" s="352" t="s">
        <v>121</v>
      </c>
      <c r="EK95" s="352" t="s">
        <v>121</v>
      </c>
      <c r="EL95" s="352" t="s">
        <v>121</v>
      </c>
      <c r="EM95" s="352" t="s">
        <v>121</v>
      </c>
      <c r="EN95" s="352" t="s">
        <v>121</v>
      </c>
      <c r="EO95" s="352" t="s">
        <v>121</v>
      </c>
      <c r="EP95" s="352" t="s">
        <v>121</v>
      </c>
      <c r="EQ95" s="352" t="s">
        <v>121</v>
      </c>
      <c r="ER95" s="352" t="s">
        <v>121</v>
      </c>
      <c r="ES95" s="352" t="s">
        <v>121</v>
      </c>
      <c r="ET95" s="352" t="s">
        <v>121</v>
      </c>
      <c r="EU95" s="352" t="s">
        <v>121</v>
      </c>
      <c r="EV95" s="352" t="s">
        <v>121</v>
      </c>
      <c r="EW95" s="352" t="s">
        <v>121</v>
      </c>
      <c r="EX95" s="352" t="s">
        <v>121</v>
      </c>
    </row>
    <row r="96" spans="1:154" s="352" customFormat="1" ht="26.25" x14ac:dyDescent="0.25">
      <c r="A96" s="273">
        <v>96</v>
      </c>
      <c r="B96" s="375" t="s">
        <v>419</v>
      </c>
      <c r="C96" s="345" t="s">
        <v>121</v>
      </c>
      <c r="D96" s="275" t="s">
        <v>121</v>
      </c>
      <c r="E96" s="270" t="s">
        <v>121</v>
      </c>
      <c r="F96" s="255">
        <v>0</v>
      </c>
      <c r="G96" s="255">
        <v>0</v>
      </c>
      <c r="H96" s="255">
        <v>0</v>
      </c>
      <c r="I96" s="255">
        <v>0</v>
      </c>
      <c r="J96" s="255">
        <v>0</v>
      </c>
      <c r="K96" s="255">
        <v>0</v>
      </c>
      <c r="L96" s="255">
        <v>0</v>
      </c>
      <c r="M96" s="255">
        <v>0</v>
      </c>
      <c r="N96" s="255">
        <v>0</v>
      </c>
      <c r="O96" s="255">
        <v>0</v>
      </c>
      <c r="P96" s="255">
        <v>0</v>
      </c>
      <c r="Q96" s="405"/>
      <c r="R96" s="405"/>
      <c r="S96" s="405"/>
      <c r="T96" s="405"/>
      <c r="U96" s="255" t="s">
        <v>121</v>
      </c>
      <c r="V96" s="255" t="s">
        <v>121</v>
      </c>
      <c r="W96" s="255" t="s">
        <v>121</v>
      </c>
      <c r="X96" s="255" t="s">
        <v>121</v>
      </c>
      <c r="Y96" s="255" t="s">
        <v>121</v>
      </c>
      <c r="Z96" s="255" t="s">
        <v>121</v>
      </c>
      <c r="AA96" s="255" t="s">
        <v>121</v>
      </c>
      <c r="AB96" s="255" t="s">
        <v>121</v>
      </c>
      <c r="AC96" s="255" t="s">
        <v>121</v>
      </c>
      <c r="AD96" s="255" t="s">
        <v>121</v>
      </c>
      <c r="AE96" s="255" t="s">
        <v>121</v>
      </c>
      <c r="AF96" s="255" t="s">
        <v>121</v>
      </c>
      <c r="AG96" s="255" t="s">
        <v>121</v>
      </c>
      <c r="AH96" s="255" t="s">
        <v>121</v>
      </c>
      <c r="AI96" s="255" t="s">
        <v>121</v>
      </c>
      <c r="AJ96" s="255" t="s">
        <v>121</v>
      </c>
      <c r="AK96" s="255" t="s">
        <v>121</v>
      </c>
      <c r="AL96" s="255" t="s">
        <v>121</v>
      </c>
      <c r="AM96" s="255" t="s">
        <v>121</v>
      </c>
      <c r="AN96" s="255" t="s">
        <v>121</v>
      </c>
      <c r="AO96" s="255" t="s">
        <v>121</v>
      </c>
      <c r="AP96" s="255" t="s">
        <v>121</v>
      </c>
      <c r="AQ96" s="255" t="s">
        <v>121</v>
      </c>
      <c r="AR96" s="255" t="s">
        <v>121</v>
      </c>
      <c r="AS96" s="255" t="s">
        <v>121</v>
      </c>
      <c r="AT96" s="255" t="s">
        <v>121</v>
      </c>
      <c r="AU96" s="255" t="s">
        <v>121</v>
      </c>
      <c r="AV96" s="255" t="s">
        <v>121</v>
      </c>
      <c r="AW96" s="255" t="s">
        <v>121</v>
      </c>
      <c r="AX96" s="255" t="s">
        <v>121</v>
      </c>
      <c r="AY96" s="255" t="s">
        <v>121</v>
      </c>
      <c r="AZ96" s="255" t="s">
        <v>121</v>
      </c>
      <c r="BA96" s="255" t="s">
        <v>121</v>
      </c>
      <c r="BB96" s="255" t="s">
        <v>121</v>
      </c>
      <c r="BC96" s="255" t="s">
        <v>121</v>
      </c>
      <c r="BD96" s="255" t="s">
        <v>121</v>
      </c>
      <c r="BE96" s="255" t="s">
        <v>121</v>
      </c>
      <c r="BF96" s="255" t="s">
        <v>121</v>
      </c>
      <c r="BG96" s="255" t="s">
        <v>121</v>
      </c>
      <c r="BH96" s="255" t="s">
        <v>121</v>
      </c>
      <c r="BI96" s="255">
        <v>55.317</v>
      </c>
      <c r="BJ96" s="255">
        <v>8.7930000000000028</v>
      </c>
      <c r="BK96" s="255">
        <v>-71.906000000000006</v>
      </c>
      <c r="BL96" s="255">
        <v>68.956999999999994</v>
      </c>
      <c r="BM96" s="352">
        <v>-525.06100000000004</v>
      </c>
      <c r="BN96" s="352" t="s">
        <v>121</v>
      </c>
      <c r="BO96" s="352">
        <v>-5.1769999999999996</v>
      </c>
      <c r="BP96" s="352">
        <v>5.1769999999999996</v>
      </c>
      <c r="BQ96" s="352" t="s">
        <v>121</v>
      </c>
      <c r="BR96" s="352" t="s">
        <v>121</v>
      </c>
      <c r="BS96" s="352" t="s">
        <v>121</v>
      </c>
      <c r="BT96" s="352" t="s">
        <v>121</v>
      </c>
      <c r="BU96" s="352" t="s">
        <v>121</v>
      </c>
      <c r="BV96" s="352" t="s">
        <v>121</v>
      </c>
      <c r="BW96" s="352" t="s">
        <v>121</v>
      </c>
      <c r="BX96" s="352" t="s">
        <v>121</v>
      </c>
      <c r="BY96" s="352" t="s">
        <v>121</v>
      </c>
      <c r="BZ96" s="352" t="s">
        <v>121</v>
      </c>
      <c r="CA96" s="352" t="s">
        <v>121</v>
      </c>
      <c r="CB96" s="352" t="s">
        <v>121</v>
      </c>
      <c r="CC96" s="352" t="s">
        <v>121</v>
      </c>
      <c r="CD96" s="352" t="s">
        <v>121</v>
      </c>
      <c r="CE96" s="352" t="s">
        <v>121</v>
      </c>
      <c r="CF96" s="352" t="s">
        <v>121</v>
      </c>
      <c r="CG96" s="352" t="s">
        <v>121</v>
      </c>
      <c r="CH96" s="352" t="s">
        <v>121</v>
      </c>
      <c r="CI96" s="352" t="s">
        <v>121</v>
      </c>
      <c r="CJ96" s="352" t="s">
        <v>121</v>
      </c>
      <c r="CK96" s="352" t="s">
        <v>121</v>
      </c>
      <c r="CL96" s="352" t="s">
        <v>121</v>
      </c>
      <c r="CM96" s="352" t="s">
        <v>121</v>
      </c>
      <c r="CN96" s="352" t="s">
        <v>121</v>
      </c>
      <c r="CO96" s="352" t="s">
        <v>121</v>
      </c>
      <c r="CP96" s="352" t="s">
        <v>121</v>
      </c>
      <c r="CQ96" s="352" t="s">
        <v>121</v>
      </c>
      <c r="CR96" s="352" t="s">
        <v>121</v>
      </c>
      <c r="CS96" s="352" t="s">
        <v>121</v>
      </c>
      <c r="CT96" s="352" t="s">
        <v>121</v>
      </c>
      <c r="CU96" s="352" t="s">
        <v>121</v>
      </c>
      <c r="CV96" s="352" t="s">
        <v>121</v>
      </c>
      <c r="CW96" s="352" t="s">
        <v>121</v>
      </c>
      <c r="CX96" s="352" t="s">
        <v>121</v>
      </c>
      <c r="CY96" s="352" t="s">
        <v>121</v>
      </c>
      <c r="CZ96" s="352" t="s">
        <v>121</v>
      </c>
      <c r="DA96" s="352" t="s">
        <v>121</v>
      </c>
      <c r="DB96" s="352" t="s">
        <v>121</v>
      </c>
      <c r="DC96" s="352" t="s">
        <v>121</v>
      </c>
      <c r="DD96" s="352" t="s">
        <v>121</v>
      </c>
      <c r="DE96" s="352" t="s">
        <v>121</v>
      </c>
      <c r="DF96" s="352" t="s">
        <v>121</v>
      </c>
      <c r="DG96" s="352" t="s">
        <v>121</v>
      </c>
      <c r="DH96" s="352" t="s">
        <v>121</v>
      </c>
      <c r="DI96" s="352" t="s">
        <v>121</v>
      </c>
      <c r="DJ96" s="352" t="s">
        <v>121</v>
      </c>
      <c r="DK96" s="352" t="s">
        <v>121</v>
      </c>
      <c r="DL96" s="352" t="s">
        <v>121</v>
      </c>
      <c r="DM96" s="352" t="s">
        <v>121</v>
      </c>
      <c r="DN96" s="352" t="s">
        <v>121</v>
      </c>
      <c r="DO96" s="352" t="s">
        <v>121</v>
      </c>
      <c r="DP96" s="352" t="s">
        <v>121</v>
      </c>
      <c r="DQ96" s="352" t="s">
        <v>121</v>
      </c>
      <c r="DR96" s="352" t="s">
        <v>121</v>
      </c>
      <c r="DS96" s="352" t="s">
        <v>121</v>
      </c>
      <c r="DT96" s="352" t="s">
        <v>121</v>
      </c>
      <c r="DU96" s="352" t="s">
        <v>121</v>
      </c>
      <c r="DV96" s="352" t="s">
        <v>121</v>
      </c>
      <c r="DW96" s="352" t="s">
        <v>121</v>
      </c>
      <c r="DX96" s="352" t="s">
        <v>121</v>
      </c>
      <c r="DY96" s="352" t="s">
        <v>121</v>
      </c>
      <c r="DZ96" s="352" t="s">
        <v>121</v>
      </c>
      <c r="EA96" s="352" t="s">
        <v>121</v>
      </c>
      <c r="EB96" s="352" t="s">
        <v>121</v>
      </c>
      <c r="EC96" s="352" t="s">
        <v>121</v>
      </c>
      <c r="ED96" s="352" t="s">
        <v>121</v>
      </c>
      <c r="EE96" s="352" t="s">
        <v>121</v>
      </c>
      <c r="EF96" s="352" t="s">
        <v>121</v>
      </c>
      <c r="EG96" s="352" t="s">
        <v>121</v>
      </c>
      <c r="EH96" s="352" t="s">
        <v>121</v>
      </c>
      <c r="EI96" s="352" t="s">
        <v>121</v>
      </c>
      <c r="EJ96" s="352" t="s">
        <v>121</v>
      </c>
      <c r="EK96" s="352" t="s">
        <v>121</v>
      </c>
      <c r="EL96" s="352" t="s">
        <v>121</v>
      </c>
      <c r="EM96" s="352" t="s">
        <v>121</v>
      </c>
      <c r="EN96" s="352" t="s">
        <v>121</v>
      </c>
      <c r="EO96" s="352" t="s">
        <v>121</v>
      </c>
      <c r="EP96" s="352" t="s">
        <v>121</v>
      </c>
      <c r="EQ96" s="352" t="s">
        <v>121</v>
      </c>
      <c r="ER96" s="352" t="s">
        <v>121</v>
      </c>
      <c r="ES96" s="352" t="s">
        <v>121</v>
      </c>
      <c r="ET96" s="352" t="s">
        <v>121</v>
      </c>
      <c r="EU96" s="352" t="s">
        <v>121</v>
      </c>
      <c r="EV96" s="352" t="s">
        <v>121</v>
      </c>
      <c r="EW96" s="352" t="s">
        <v>121</v>
      </c>
      <c r="EX96" s="352" t="s">
        <v>121</v>
      </c>
    </row>
    <row r="97" spans="1:168" s="352" customFormat="1" x14ac:dyDescent="0.25">
      <c r="A97" s="273">
        <v>97</v>
      </c>
      <c r="B97" s="305" t="s">
        <v>107</v>
      </c>
      <c r="C97" s="345" t="s">
        <v>121</v>
      </c>
      <c r="D97" s="275" t="s">
        <v>121</v>
      </c>
      <c r="E97" s="270" t="s">
        <v>121</v>
      </c>
      <c r="F97" s="255">
        <v>0</v>
      </c>
      <c r="G97" s="255">
        <v>0</v>
      </c>
      <c r="H97" s="255">
        <v>0</v>
      </c>
      <c r="I97" s="255">
        <v>0</v>
      </c>
      <c r="J97" s="255">
        <v>0</v>
      </c>
      <c r="K97" s="255">
        <v>0</v>
      </c>
      <c r="L97" s="255">
        <v>0</v>
      </c>
      <c r="M97" s="255">
        <v>-52</v>
      </c>
      <c r="N97" s="255">
        <v>-36</v>
      </c>
      <c r="O97" s="255">
        <v>-1</v>
      </c>
      <c r="P97" s="255">
        <v>89</v>
      </c>
      <c r="Q97" s="405"/>
      <c r="R97" s="405"/>
      <c r="S97" s="405"/>
      <c r="T97" s="405"/>
      <c r="U97" s="255" t="s">
        <v>121</v>
      </c>
      <c r="V97" s="255" t="s">
        <v>121</v>
      </c>
      <c r="W97" s="255" t="s">
        <v>121</v>
      </c>
      <c r="X97" s="255" t="s">
        <v>121</v>
      </c>
      <c r="Y97" s="255">
        <v>-19.103000000000009</v>
      </c>
      <c r="Z97" s="255" t="s">
        <v>121</v>
      </c>
      <c r="AA97" s="255">
        <v>4.146000000000015</v>
      </c>
      <c r="AB97" s="255">
        <v>350.95699999999999</v>
      </c>
      <c r="AC97" s="255" t="s">
        <v>121</v>
      </c>
      <c r="AD97" s="255" t="s">
        <v>121</v>
      </c>
      <c r="AE97" s="255" t="s">
        <v>121</v>
      </c>
      <c r="AF97" s="255" t="s">
        <v>121</v>
      </c>
      <c r="AG97" s="255" t="s">
        <v>121</v>
      </c>
      <c r="AH97" s="255" t="s">
        <v>121</v>
      </c>
      <c r="AI97" s="255" t="s">
        <v>121</v>
      </c>
      <c r="AJ97" s="255" t="s">
        <v>121</v>
      </c>
      <c r="AK97" s="255" t="s">
        <v>121</v>
      </c>
      <c r="AL97" s="255" t="s">
        <v>121</v>
      </c>
      <c r="AM97" s="255" t="s">
        <v>121</v>
      </c>
      <c r="AN97" s="255" t="s">
        <v>121</v>
      </c>
      <c r="AO97" s="255" t="s">
        <v>121</v>
      </c>
      <c r="AP97" s="255" t="s">
        <v>121</v>
      </c>
      <c r="AQ97" s="255" t="s">
        <v>121</v>
      </c>
      <c r="AR97" s="255" t="s">
        <v>121</v>
      </c>
      <c r="AS97" s="255" t="s">
        <v>121</v>
      </c>
      <c r="AT97" s="255" t="s">
        <v>121</v>
      </c>
      <c r="AU97" s="255" t="s">
        <v>121</v>
      </c>
      <c r="AV97" s="255" t="s">
        <v>121</v>
      </c>
      <c r="AW97" s="255" t="s">
        <v>121</v>
      </c>
      <c r="AX97" s="255" t="s">
        <v>121</v>
      </c>
      <c r="AY97" s="255" t="s">
        <v>121</v>
      </c>
      <c r="AZ97" s="255">
        <v>488.58699999999999</v>
      </c>
      <c r="BA97" s="255" t="s">
        <v>121</v>
      </c>
      <c r="BB97" s="255" t="s">
        <v>121</v>
      </c>
      <c r="BC97" s="255" t="s">
        <v>121</v>
      </c>
      <c r="BD97" s="255" t="s">
        <v>121</v>
      </c>
      <c r="BE97" s="255" t="s">
        <v>121</v>
      </c>
      <c r="BF97" s="255" t="s">
        <v>121</v>
      </c>
      <c r="BG97" s="255" t="s">
        <v>121</v>
      </c>
      <c r="BH97" s="255" t="s">
        <v>121</v>
      </c>
      <c r="BI97" s="255" t="s">
        <v>121</v>
      </c>
      <c r="BJ97" s="255" t="s">
        <v>121</v>
      </c>
      <c r="BK97" s="255" t="s">
        <v>121</v>
      </c>
      <c r="BL97" s="255" t="s">
        <v>121</v>
      </c>
      <c r="BM97" s="352" t="s">
        <v>121</v>
      </c>
      <c r="BN97" s="352" t="s">
        <v>121</v>
      </c>
      <c r="BO97" s="352" t="s">
        <v>121</v>
      </c>
      <c r="BP97" s="352" t="s">
        <v>121</v>
      </c>
      <c r="BQ97" s="352" t="s">
        <v>121</v>
      </c>
      <c r="BR97" s="352" t="s">
        <v>121</v>
      </c>
      <c r="BS97" s="352" t="s">
        <v>121</v>
      </c>
      <c r="BT97" s="352" t="s">
        <v>121</v>
      </c>
      <c r="BU97" s="352" t="s">
        <v>121</v>
      </c>
      <c r="BV97" s="352" t="s">
        <v>121</v>
      </c>
      <c r="BW97" s="352" t="s">
        <v>121</v>
      </c>
      <c r="BX97" s="352" t="s">
        <v>121</v>
      </c>
      <c r="BY97" s="352" t="s">
        <v>121</v>
      </c>
      <c r="BZ97" s="352" t="s">
        <v>121</v>
      </c>
      <c r="CA97" s="352" t="s">
        <v>121</v>
      </c>
      <c r="CB97" s="352" t="s">
        <v>121</v>
      </c>
      <c r="CC97" s="352" t="s">
        <v>121</v>
      </c>
      <c r="CD97" s="352" t="s">
        <v>121</v>
      </c>
      <c r="CE97" s="352" t="s">
        <v>121</v>
      </c>
      <c r="CF97" s="352" t="s">
        <v>121</v>
      </c>
      <c r="CG97" s="352" t="s">
        <v>121</v>
      </c>
      <c r="CH97" s="352" t="s">
        <v>121</v>
      </c>
      <c r="CI97" s="352" t="s">
        <v>121</v>
      </c>
      <c r="CJ97" s="352" t="s">
        <v>121</v>
      </c>
      <c r="CK97" s="352" t="s">
        <v>121</v>
      </c>
      <c r="CL97" s="352" t="s">
        <v>121</v>
      </c>
      <c r="CM97" s="352" t="s">
        <v>121</v>
      </c>
      <c r="CN97" s="352" t="s">
        <v>121</v>
      </c>
      <c r="CO97" s="352" t="s">
        <v>121</v>
      </c>
      <c r="CP97" s="352" t="s">
        <v>121</v>
      </c>
      <c r="CQ97" s="352" t="s">
        <v>121</v>
      </c>
      <c r="CR97" s="352" t="s">
        <v>121</v>
      </c>
      <c r="CS97" s="352" t="s">
        <v>121</v>
      </c>
      <c r="CT97" s="352" t="s">
        <v>121</v>
      </c>
      <c r="CU97" s="352" t="s">
        <v>121</v>
      </c>
      <c r="CV97" s="352" t="s">
        <v>121</v>
      </c>
      <c r="CW97" s="352" t="s">
        <v>121</v>
      </c>
      <c r="CX97" s="352" t="s">
        <v>121</v>
      </c>
      <c r="CY97" s="352" t="s">
        <v>121</v>
      </c>
      <c r="CZ97" s="352" t="s">
        <v>121</v>
      </c>
      <c r="DA97" s="352" t="s">
        <v>121</v>
      </c>
      <c r="DB97" s="352" t="s">
        <v>121</v>
      </c>
      <c r="DC97" s="352" t="s">
        <v>121</v>
      </c>
      <c r="DD97" s="352" t="s">
        <v>121</v>
      </c>
      <c r="DE97" s="352" t="s">
        <v>121</v>
      </c>
      <c r="DF97" s="352" t="s">
        <v>121</v>
      </c>
      <c r="DG97" s="352" t="s">
        <v>121</v>
      </c>
      <c r="DH97" s="352" t="s">
        <v>121</v>
      </c>
      <c r="DI97" s="352" t="s">
        <v>121</v>
      </c>
      <c r="DJ97" s="352" t="s">
        <v>121</v>
      </c>
      <c r="DK97" s="352" t="s">
        <v>121</v>
      </c>
      <c r="DL97" s="352" t="s">
        <v>121</v>
      </c>
      <c r="DM97" s="352" t="s">
        <v>121</v>
      </c>
      <c r="DN97" s="352" t="s">
        <v>121</v>
      </c>
      <c r="DO97" s="352" t="s">
        <v>121</v>
      </c>
      <c r="DP97" s="352" t="s">
        <v>121</v>
      </c>
      <c r="DQ97" s="352" t="s">
        <v>121</v>
      </c>
      <c r="DR97" s="352" t="s">
        <v>121</v>
      </c>
      <c r="DS97" s="352" t="s">
        <v>121</v>
      </c>
      <c r="DT97" s="352" t="s">
        <v>121</v>
      </c>
      <c r="DU97" s="352" t="s">
        <v>121</v>
      </c>
      <c r="DV97" s="352" t="s">
        <v>121</v>
      </c>
      <c r="DW97" s="352" t="s">
        <v>121</v>
      </c>
      <c r="DX97" s="352" t="s">
        <v>121</v>
      </c>
      <c r="DY97" s="352" t="s">
        <v>121</v>
      </c>
      <c r="DZ97" s="352" t="s">
        <v>121</v>
      </c>
      <c r="EA97" s="352" t="s">
        <v>121</v>
      </c>
      <c r="EB97" s="352" t="s">
        <v>121</v>
      </c>
      <c r="EC97" s="352" t="s">
        <v>121</v>
      </c>
      <c r="ED97" s="352" t="s">
        <v>121</v>
      </c>
      <c r="EE97" s="352" t="s">
        <v>121</v>
      </c>
      <c r="EF97" s="352" t="s">
        <v>121</v>
      </c>
      <c r="EG97" s="352" t="s">
        <v>121</v>
      </c>
      <c r="EH97" s="352" t="s">
        <v>121</v>
      </c>
      <c r="EI97" s="352" t="s">
        <v>121</v>
      </c>
      <c r="EJ97" s="352" t="s">
        <v>121</v>
      </c>
      <c r="EK97" s="352" t="s">
        <v>121</v>
      </c>
      <c r="EL97" s="352" t="s">
        <v>121</v>
      </c>
      <c r="EM97" s="352" t="s">
        <v>121</v>
      </c>
      <c r="EN97" s="352" t="s">
        <v>121</v>
      </c>
      <c r="EO97" s="352" t="s">
        <v>121</v>
      </c>
      <c r="EP97" s="352" t="s">
        <v>121</v>
      </c>
      <c r="EQ97" s="352" t="s">
        <v>121</v>
      </c>
      <c r="ER97" s="352" t="s">
        <v>121</v>
      </c>
      <c r="ES97" s="352" t="s">
        <v>121</v>
      </c>
      <c r="ET97" s="352" t="s">
        <v>121</v>
      </c>
      <c r="EU97" s="352" t="s">
        <v>121</v>
      </c>
      <c r="EV97" s="352" t="s">
        <v>121</v>
      </c>
      <c r="EW97" s="352" t="s">
        <v>121</v>
      </c>
      <c r="EX97" s="352" t="s">
        <v>121</v>
      </c>
    </row>
    <row r="98" spans="1:168" s="352" customFormat="1" ht="26.25" x14ac:dyDescent="0.25">
      <c r="A98" s="273">
        <v>98</v>
      </c>
      <c r="B98" s="305" t="s">
        <v>420</v>
      </c>
      <c r="C98" s="345" t="s">
        <v>121</v>
      </c>
      <c r="D98" s="275" t="s">
        <v>121</v>
      </c>
      <c r="E98" s="270" t="s">
        <v>121</v>
      </c>
      <c r="F98" s="255">
        <v>0</v>
      </c>
      <c r="G98" s="255">
        <v>0</v>
      </c>
      <c r="H98" s="255">
        <v>0</v>
      </c>
      <c r="I98" s="255">
        <v>0</v>
      </c>
      <c r="J98" s="255">
        <v>0</v>
      </c>
      <c r="K98" s="255">
        <v>0</v>
      </c>
      <c r="L98" s="255">
        <v>0</v>
      </c>
      <c r="M98" s="255">
        <v>0</v>
      </c>
      <c r="N98" s="255">
        <v>0</v>
      </c>
      <c r="O98" s="255">
        <v>0</v>
      </c>
      <c r="P98" s="255">
        <v>0</v>
      </c>
      <c r="Q98" s="405"/>
      <c r="R98" s="405"/>
      <c r="S98" s="405"/>
      <c r="T98" s="405"/>
      <c r="U98" s="255" t="s">
        <v>121</v>
      </c>
      <c r="V98" s="255" t="s">
        <v>121</v>
      </c>
      <c r="W98" s="255" t="s">
        <v>121</v>
      </c>
      <c r="X98" s="255" t="s">
        <v>121</v>
      </c>
      <c r="Y98" s="255">
        <v>0.30299999999999727</v>
      </c>
      <c r="Z98" s="255">
        <v>389.49700000000001</v>
      </c>
      <c r="AA98" s="255">
        <v>338.45400000000001</v>
      </c>
      <c r="AB98" s="255">
        <v>81.745999999999995</v>
      </c>
      <c r="AC98" s="255" t="s">
        <v>121</v>
      </c>
      <c r="AD98" s="255" t="s">
        <v>121</v>
      </c>
      <c r="AE98" s="255" t="s">
        <v>121</v>
      </c>
      <c r="AF98" s="255" t="s">
        <v>121</v>
      </c>
      <c r="AG98" s="255" t="s">
        <v>121</v>
      </c>
      <c r="AH98" s="255" t="s">
        <v>121</v>
      </c>
      <c r="AI98" s="255" t="s">
        <v>121</v>
      </c>
      <c r="AJ98" s="255" t="s">
        <v>121</v>
      </c>
      <c r="AK98" s="255" t="s">
        <v>121</v>
      </c>
      <c r="AL98" s="255" t="s">
        <v>121</v>
      </c>
      <c r="AM98" s="255" t="s">
        <v>121</v>
      </c>
      <c r="AN98" s="255" t="s">
        <v>121</v>
      </c>
      <c r="AO98" s="255" t="s">
        <v>121</v>
      </c>
      <c r="AP98" s="255" t="s">
        <v>121</v>
      </c>
      <c r="AQ98" s="255" t="s">
        <v>121</v>
      </c>
      <c r="AR98" s="255" t="s">
        <v>121</v>
      </c>
      <c r="AS98" s="255" t="s">
        <v>121</v>
      </c>
      <c r="AT98" s="255" t="s">
        <v>121</v>
      </c>
      <c r="AU98" s="255" t="s">
        <v>121</v>
      </c>
      <c r="AV98" s="255" t="s">
        <v>121</v>
      </c>
      <c r="AW98" s="255" t="s">
        <v>121</v>
      </c>
      <c r="AX98" s="255" t="s">
        <v>121</v>
      </c>
      <c r="AY98" s="255" t="s">
        <v>121</v>
      </c>
      <c r="AZ98" s="255" t="s">
        <v>121</v>
      </c>
      <c r="BA98" s="255" t="s">
        <v>121</v>
      </c>
      <c r="BB98" s="255" t="s">
        <v>121</v>
      </c>
      <c r="BC98" s="255" t="s">
        <v>121</v>
      </c>
      <c r="BD98" s="255" t="s">
        <v>121</v>
      </c>
      <c r="BE98" s="255" t="s">
        <v>121</v>
      </c>
      <c r="BF98" s="255" t="s">
        <v>121</v>
      </c>
      <c r="BG98" s="255" t="s">
        <v>121</v>
      </c>
      <c r="BH98" s="255" t="s">
        <v>121</v>
      </c>
      <c r="BI98" s="255" t="s">
        <v>121</v>
      </c>
      <c r="BJ98" s="255" t="s">
        <v>121</v>
      </c>
      <c r="BK98" s="255" t="s">
        <v>121</v>
      </c>
      <c r="BL98" s="255" t="s">
        <v>121</v>
      </c>
      <c r="BM98" s="352" t="s">
        <v>121</v>
      </c>
      <c r="BN98" s="352" t="s">
        <v>121</v>
      </c>
      <c r="BO98" s="352" t="s">
        <v>121</v>
      </c>
      <c r="BP98" s="352" t="s">
        <v>121</v>
      </c>
      <c r="BQ98" s="352" t="s">
        <v>121</v>
      </c>
      <c r="BR98" s="352" t="s">
        <v>121</v>
      </c>
      <c r="BS98" s="352" t="s">
        <v>121</v>
      </c>
      <c r="BT98" s="352" t="s">
        <v>121</v>
      </c>
      <c r="BU98" s="352" t="s">
        <v>121</v>
      </c>
      <c r="BV98" s="352" t="s">
        <v>121</v>
      </c>
      <c r="BW98" s="352" t="s">
        <v>121</v>
      </c>
      <c r="BX98" s="352" t="s">
        <v>121</v>
      </c>
      <c r="BY98" s="352" t="s">
        <v>121</v>
      </c>
      <c r="BZ98" s="352" t="s">
        <v>121</v>
      </c>
      <c r="CA98" s="352" t="s">
        <v>121</v>
      </c>
      <c r="CB98" s="352" t="s">
        <v>121</v>
      </c>
      <c r="CC98" s="352" t="s">
        <v>121</v>
      </c>
      <c r="CD98" s="352" t="s">
        <v>121</v>
      </c>
      <c r="CE98" s="352" t="s">
        <v>121</v>
      </c>
      <c r="CF98" s="352" t="s">
        <v>121</v>
      </c>
      <c r="CG98" s="352" t="s">
        <v>121</v>
      </c>
      <c r="CH98" s="352" t="s">
        <v>121</v>
      </c>
      <c r="CI98" s="352" t="s">
        <v>121</v>
      </c>
      <c r="CJ98" s="352" t="s">
        <v>121</v>
      </c>
      <c r="CK98" s="352" t="s">
        <v>121</v>
      </c>
      <c r="CL98" s="352" t="s">
        <v>121</v>
      </c>
      <c r="CM98" s="352" t="s">
        <v>121</v>
      </c>
      <c r="CN98" s="352" t="s">
        <v>121</v>
      </c>
      <c r="CO98" s="352" t="s">
        <v>121</v>
      </c>
      <c r="CP98" s="352" t="s">
        <v>121</v>
      </c>
      <c r="CQ98" s="352" t="s">
        <v>121</v>
      </c>
      <c r="CR98" s="352" t="s">
        <v>121</v>
      </c>
      <c r="CS98" s="352" t="s">
        <v>121</v>
      </c>
      <c r="CT98" s="352" t="s">
        <v>121</v>
      </c>
      <c r="CU98" s="352" t="s">
        <v>121</v>
      </c>
      <c r="CV98" s="352" t="s">
        <v>121</v>
      </c>
      <c r="CW98" s="352" t="s">
        <v>121</v>
      </c>
      <c r="CX98" s="352" t="s">
        <v>121</v>
      </c>
      <c r="CY98" s="352" t="s">
        <v>121</v>
      </c>
      <c r="CZ98" s="352" t="s">
        <v>121</v>
      </c>
      <c r="DA98" s="352" t="s">
        <v>121</v>
      </c>
      <c r="DB98" s="352" t="s">
        <v>121</v>
      </c>
      <c r="DC98" s="352" t="s">
        <v>121</v>
      </c>
      <c r="DD98" s="352" t="s">
        <v>121</v>
      </c>
      <c r="DE98" s="352" t="s">
        <v>121</v>
      </c>
      <c r="DF98" s="352" t="s">
        <v>121</v>
      </c>
      <c r="DG98" s="352" t="s">
        <v>121</v>
      </c>
      <c r="DH98" s="352" t="s">
        <v>121</v>
      </c>
      <c r="DI98" s="352" t="s">
        <v>121</v>
      </c>
      <c r="DJ98" s="352" t="s">
        <v>121</v>
      </c>
      <c r="DK98" s="352" t="s">
        <v>121</v>
      </c>
      <c r="DL98" s="352" t="s">
        <v>121</v>
      </c>
      <c r="DM98" s="352" t="s">
        <v>121</v>
      </c>
      <c r="DN98" s="352" t="s">
        <v>121</v>
      </c>
      <c r="DO98" s="352" t="s">
        <v>121</v>
      </c>
      <c r="DP98" s="352" t="s">
        <v>121</v>
      </c>
      <c r="DQ98" s="352" t="s">
        <v>121</v>
      </c>
      <c r="DR98" s="352" t="s">
        <v>121</v>
      </c>
      <c r="DS98" s="352" t="s">
        <v>121</v>
      </c>
      <c r="DT98" s="352" t="s">
        <v>121</v>
      </c>
      <c r="DU98" s="352" t="s">
        <v>121</v>
      </c>
      <c r="DV98" s="352" t="s">
        <v>121</v>
      </c>
      <c r="DW98" s="352" t="s">
        <v>121</v>
      </c>
      <c r="DX98" s="352" t="s">
        <v>121</v>
      </c>
      <c r="DY98" s="352" t="s">
        <v>121</v>
      </c>
      <c r="DZ98" s="352" t="s">
        <v>121</v>
      </c>
      <c r="EA98" s="352" t="s">
        <v>121</v>
      </c>
      <c r="EB98" s="352" t="s">
        <v>121</v>
      </c>
      <c r="EC98" s="352" t="s">
        <v>121</v>
      </c>
      <c r="ED98" s="352" t="s">
        <v>121</v>
      </c>
      <c r="EE98" s="352" t="s">
        <v>121</v>
      </c>
      <c r="EF98" s="352" t="s">
        <v>121</v>
      </c>
      <c r="EG98" s="352" t="s">
        <v>121</v>
      </c>
      <c r="EH98" s="352" t="s">
        <v>121</v>
      </c>
      <c r="EI98" s="352" t="s">
        <v>121</v>
      </c>
      <c r="EJ98" s="352" t="s">
        <v>121</v>
      </c>
      <c r="EK98" s="352" t="s">
        <v>121</v>
      </c>
      <c r="EL98" s="352" t="s">
        <v>121</v>
      </c>
      <c r="EM98" s="352" t="s">
        <v>121</v>
      </c>
      <c r="EN98" s="352" t="s">
        <v>121</v>
      </c>
      <c r="EO98" s="352" t="s">
        <v>121</v>
      </c>
      <c r="EP98" s="352" t="s">
        <v>121</v>
      </c>
      <c r="EQ98" s="352" t="s">
        <v>121</v>
      </c>
      <c r="ER98" s="352" t="s">
        <v>121</v>
      </c>
      <c r="ES98" s="352" t="s">
        <v>121</v>
      </c>
      <c r="ET98" s="352" t="s">
        <v>121</v>
      </c>
      <c r="EU98" s="352" t="s">
        <v>121</v>
      </c>
      <c r="EV98" s="352" t="s">
        <v>121</v>
      </c>
      <c r="EW98" s="352" t="s">
        <v>121</v>
      </c>
      <c r="EX98" s="352" t="s">
        <v>121</v>
      </c>
    </row>
    <row r="99" spans="1:168" s="352" customFormat="1" x14ac:dyDescent="0.25">
      <c r="A99" s="273">
        <v>99</v>
      </c>
      <c r="B99" s="305" t="s">
        <v>69</v>
      </c>
      <c r="C99" s="345" t="s">
        <v>121</v>
      </c>
      <c r="D99" s="275" t="s">
        <v>121</v>
      </c>
      <c r="E99" s="270" t="s">
        <v>121</v>
      </c>
      <c r="F99" s="255">
        <v>592</v>
      </c>
      <c r="G99" s="255">
        <v>222</v>
      </c>
      <c r="H99" s="255">
        <v>379</v>
      </c>
      <c r="I99" s="255">
        <v>431</v>
      </c>
      <c r="J99" s="255">
        <v>327</v>
      </c>
      <c r="K99" s="255">
        <v>303</v>
      </c>
      <c r="L99" s="255">
        <v>246</v>
      </c>
      <c r="M99" s="255">
        <v>365</v>
      </c>
      <c r="N99" s="255">
        <v>242</v>
      </c>
      <c r="O99" s="255">
        <v>237</v>
      </c>
      <c r="P99" s="255">
        <v>153</v>
      </c>
      <c r="Q99" s="405"/>
      <c r="R99" s="405"/>
      <c r="S99" s="405"/>
      <c r="T99" s="405"/>
      <c r="U99" s="255">
        <v>1078</v>
      </c>
      <c r="V99" s="255">
        <v>343</v>
      </c>
      <c r="W99" s="255">
        <v>390</v>
      </c>
      <c r="X99" s="255">
        <v>285</v>
      </c>
      <c r="Y99" s="255">
        <v>246.00199999999995</v>
      </c>
      <c r="Z99" s="255">
        <v>673.19500000000005</v>
      </c>
      <c r="AA99" s="255">
        <v>235.42200000000003</v>
      </c>
      <c r="AB99" s="255">
        <v>334.38099999999997</v>
      </c>
      <c r="AC99" s="255">
        <v>416.19200000000001</v>
      </c>
      <c r="AD99" s="255">
        <v>307.67100000000005</v>
      </c>
      <c r="AE99" s="255">
        <v>318.00999999999993</v>
      </c>
      <c r="AF99" s="255">
        <v>480.87799999999999</v>
      </c>
      <c r="AG99" s="255">
        <v>449.74750000000017</v>
      </c>
      <c r="AH99" s="255">
        <v>340.44449999999983</v>
      </c>
      <c r="AI99" s="255">
        <v>428.52150000000006</v>
      </c>
      <c r="AJ99" s="255">
        <v>401.50200000000001</v>
      </c>
      <c r="AK99" s="255">
        <v>174.79399999999998</v>
      </c>
      <c r="AL99" s="255">
        <v>354.80399999999997</v>
      </c>
      <c r="AM99" s="255">
        <v>342.45400000000001</v>
      </c>
      <c r="AN99" s="255">
        <v>107.61799999999999</v>
      </c>
      <c r="AO99" s="255">
        <v>117.63999999999999</v>
      </c>
      <c r="AP99" s="255">
        <v>62.490000000000009</v>
      </c>
      <c r="AQ99" s="255">
        <v>75.910999999999987</v>
      </c>
      <c r="AR99" s="255">
        <v>79.42</v>
      </c>
      <c r="AS99" s="255">
        <v>69.103999999999985</v>
      </c>
      <c r="AT99" s="255">
        <v>83.593999999999994</v>
      </c>
      <c r="AU99" s="255">
        <v>86.524000000000015</v>
      </c>
      <c r="AV99" s="255">
        <v>78.215999999999994</v>
      </c>
      <c r="AW99" s="255">
        <v>138.35699999999997</v>
      </c>
      <c r="AX99" s="255">
        <v>146.90500000000003</v>
      </c>
      <c r="AY99" s="255">
        <v>60.106999999999999</v>
      </c>
      <c r="AZ99" s="255">
        <v>95.206000000000003</v>
      </c>
      <c r="BA99" s="255">
        <v>62.564</v>
      </c>
      <c r="BB99" s="255">
        <v>-108.753</v>
      </c>
      <c r="BC99" s="255">
        <v>65.194999999999993</v>
      </c>
      <c r="BD99" s="255">
        <v>54.93</v>
      </c>
      <c r="BE99" s="255">
        <v>-68.646999999999991</v>
      </c>
      <c r="BF99" s="255">
        <v>46.232999999999997</v>
      </c>
      <c r="BG99" s="255">
        <v>19.082000000000001</v>
      </c>
      <c r="BH99" s="255">
        <v>-54.104999999999997</v>
      </c>
      <c r="BI99" s="255">
        <v>-387.90300000000002</v>
      </c>
      <c r="BJ99" s="255">
        <v>704.54100000000005</v>
      </c>
      <c r="BK99" s="255">
        <v>133.346</v>
      </c>
      <c r="BL99" s="255">
        <v>45.975999999999999</v>
      </c>
      <c r="BM99" s="352">
        <v>7.4550000000000001</v>
      </c>
      <c r="BN99" s="352">
        <v>9.1590000000000007</v>
      </c>
      <c r="BO99" s="352">
        <v>78.516000000000005</v>
      </c>
      <c r="BP99" s="352">
        <v>12.166</v>
      </c>
      <c r="BQ99" s="352" t="s">
        <v>121</v>
      </c>
      <c r="BR99" s="352" t="s">
        <v>121</v>
      </c>
      <c r="BS99" s="352" t="s">
        <v>121</v>
      </c>
      <c r="BT99" s="352" t="s">
        <v>121</v>
      </c>
      <c r="BU99" s="352" t="s">
        <v>121</v>
      </c>
      <c r="BV99" s="352" t="s">
        <v>121</v>
      </c>
      <c r="BW99" s="352" t="s">
        <v>121</v>
      </c>
      <c r="BX99" s="352" t="s">
        <v>121</v>
      </c>
      <c r="BY99" s="352" t="s">
        <v>121</v>
      </c>
      <c r="BZ99" s="352" t="s">
        <v>121</v>
      </c>
      <c r="CA99" s="352" t="s">
        <v>121</v>
      </c>
      <c r="CB99" s="352" t="s">
        <v>121</v>
      </c>
      <c r="CC99" s="352" t="s">
        <v>121</v>
      </c>
      <c r="CD99" s="352" t="s">
        <v>121</v>
      </c>
      <c r="CE99" s="352" t="s">
        <v>121</v>
      </c>
      <c r="CF99" s="352" t="s">
        <v>121</v>
      </c>
      <c r="CG99" s="352" t="s">
        <v>121</v>
      </c>
      <c r="CH99" s="352" t="s">
        <v>121</v>
      </c>
      <c r="CI99" s="352" t="s">
        <v>121</v>
      </c>
      <c r="CJ99" s="352" t="s">
        <v>121</v>
      </c>
      <c r="CK99" s="352" t="s">
        <v>121</v>
      </c>
      <c r="CL99" s="352" t="s">
        <v>121</v>
      </c>
      <c r="CM99" s="352" t="s">
        <v>121</v>
      </c>
      <c r="CN99" s="352" t="s">
        <v>121</v>
      </c>
      <c r="CO99" s="352" t="s">
        <v>121</v>
      </c>
      <c r="CP99" s="352" t="s">
        <v>121</v>
      </c>
      <c r="CQ99" s="352" t="s">
        <v>121</v>
      </c>
      <c r="CR99" s="352" t="s">
        <v>121</v>
      </c>
      <c r="CS99" s="352" t="s">
        <v>121</v>
      </c>
      <c r="CT99" s="352" t="s">
        <v>121</v>
      </c>
      <c r="CU99" s="352" t="s">
        <v>121</v>
      </c>
      <c r="CV99" s="352" t="s">
        <v>121</v>
      </c>
      <c r="CW99" s="352" t="s">
        <v>121</v>
      </c>
      <c r="CX99" s="352" t="s">
        <v>121</v>
      </c>
      <c r="CY99" s="352" t="s">
        <v>121</v>
      </c>
      <c r="CZ99" s="352" t="s">
        <v>121</v>
      </c>
      <c r="DA99" s="352" t="s">
        <v>121</v>
      </c>
      <c r="DB99" s="352" t="s">
        <v>121</v>
      </c>
      <c r="DC99" s="352" t="s">
        <v>121</v>
      </c>
      <c r="DD99" s="352" t="s">
        <v>121</v>
      </c>
      <c r="DE99" s="352" t="s">
        <v>121</v>
      </c>
      <c r="DF99" s="352" t="s">
        <v>121</v>
      </c>
      <c r="DG99" s="352" t="s">
        <v>121</v>
      </c>
      <c r="DH99" s="352" t="s">
        <v>121</v>
      </c>
      <c r="DI99" s="352" t="s">
        <v>121</v>
      </c>
      <c r="DJ99" s="352" t="s">
        <v>121</v>
      </c>
      <c r="DK99" s="352" t="s">
        <v>121</v>
      </c>
      <c r="DL99" s="352" t="s">
        <v>121</v>
      </c>
      <c r="DM99" s="352" t="s">
        <v>121</v>
      </c>
      <c r="DN99" s="352" t="s">
        <v>121</v>
      </c>
      <c r="DO99" s="352" t="s">
        <v>121</v>
      </c>
      <c r="DP99" s="352" t="s">
        <v>121</v>
      </c>
      <c r="DQ99" s="352" t="s">
        <v>121</v>
      </c>
      <c r="DR99" s="352" t="s">
        <v>121</v>
      </c>
      <c r="DS99" s="352" t="s">
        <v>121</v>
      </c>
      <c r="DT99" s="352" t="s">
        <v>121</v>
      </c>
      <c r="DU99" s="352" t="s">
        <v>121</v>
      </c>
      <c r="DV99" s="352" t="s">
        <v>121</v>
      </c>
      <c r="DW99" s="352" t="s">
        <v>121</v>
      </c>
      <c r="DX99" s="352" t="s">
        <v>121</v>
      </c>
      <c r="DY99" s="352" t="s">
        <v>121</v>
      </c>
      <c r="DZ99" s="352" t="s">
        <v>121</v>
      </c>
      <c r="EA99" s="352" t="s">
        <v>121</v>
      </c>
      <c r="EB99" s="352" t="s">
        <v>121</v>
      </c>
      <c r="EC99" s="352" t="s">
        <v>121</v>
      </c>
      <c r="ED99" s="352" t="s">
        <v>121</v>
      </c>
      <c r="EE99" s="352" t="s">
        <v>121</v>
      </c>
      <c r="EF99" s="352" t="s">
        <v>121</v>
      </c>
      <c r="EG99" s="352" t="s">
        <v>121</v>
      </c>
      <c r="EH99" s="352" t="s">
        <v>121</v>
      </c>
      <c r="EI99" s="352" t="s">
        <v>121</v>
      </c>
      <c r="EJ99" s="352" t="s">
        <v>121</v>
      </c>
      <c r="EK99" s="352" t="s">
        <v>121</v>
      </c>
      <c r="EL99" s="352" t="s">
        <v>121</v>
      </c>
      <c r="EM99" s="352" t="s">
        <v>121</v>
      </c>
      <c r="EN99" s="352" t="s">
        <v>121</v>
      </c>
      <c r="EO99" s="352" t="s">
        <v>121</v>
      </c>
      <c r="EP99" s="352" t="s">
        <v>121</v>
      </c>
      <c r="EQ99" s="352" t="s">
        <v>121</v>
      </c>
      <c r="ER99" s="352" t="s">
        <v>121</v>
      </c>
      <c r="ES99" s="352" t="s">
        <v>121</v>
      </c>
      <c r="ET99" s="352" t="s">
        <v>121</v>
      </c>
      <c r="EU99" s="352" t="s">
        <v>121</v>
      </c>
      <c r="EV99" s="352" t="s">
        <v>121</v>
      </c>
      <c r="EW99" s="352" t="s">
        <v>121</v>
      </c>
      <c r="EX99" s="352" t="s">
        <v>121</v>
      </c>
    </row>
    <row r="100" spans="1:168" s="395" customFormat="1" ht="15" customHeight="1" x14ac:dyDescent="0.25">
      <c r="A100" s="273">
        <v>100</v>
      </c>
      <c r="B100" s="380" t="s">
        <v>421</v>
      </c>
      <c r="C100" s="345">
        <v>1.0453149415377894E-2</v>
      </c>
      <c r="D100" s="275" t="s">
        <v>121</v>
      </c>
      <c r="E100" s="383">
        <v>-0.18355174365449078</v>
      </c>
      <c r="F100" s="256">
        <v>18753</v>
      </c>
      <c r="G100" s="256">
        <v>18559</v>
      </c>
      <c r="H100" s="256">
        <v>26171</v>
      </c>
      <c r="I100" s="256">
        <v>24206</v>
      </c>
      <c r="J100" s="256">
        <v>22969</v>
      </c>
      <c r="K100" s="256">
        <v>19405</v>
      </c>
      <c r="L100" s="256">
        <v>22065</v>
      </c>
      <c r="M100" s="256">
        <v>20435</v>
      </c>
      <c r="N100" s="256">
        <v>17008</v>
      </c>
      <c r="O100" s="256">
        <v>23124</v>
      </c>
      <c r="P100" s="256">
        <v>24262</v>
      </c>
      <c r="Q100" s="405"/>
      <c r="R100" s="405"/>
      <c r="S100" s="405"/>
      <c r="T100" s="405"/>
      <c r="U100" s="256">
        <v>13622</v>
      </c>
      <c r="V100" s="256">
        <v>8915</v>
      </c>
      <c r="W100" s="256">
        <v>9598</v>
      </c>
      <c r="X100" s="256">
        <v>7300</v>
      </c>
      <c r="Y100" s="256">
        <v>9626.8379999999997</v>
      </c>
      <c r="Z100" s="256">
        <v>7125.226999999999</v>
      </c>
      <c r="AA100" s="256">
        <v>5740.219000000001</v>
      </c>
      <c r="AB100" s="256">
        <v>6224.7159999999994</v>
      </c>
      <c r="AC100" s="256">
        <v>6791.3170000000036</v>
      </c>
      <c r="AD100" s="256">
        <v>5778.3690000000033</v>
      </c>
      <c r="AE100" s="256">
        <v>6139.9499999999989</v>
      </c>
      <c r="AF100" s="256">
        <v>5094.0820000000003</v>
      </c>
      <c r="AG100" s="256">
        <v>6534.2860000000037</v>
      </c>
      <c r="AH100" s="256">
        <v>5526.4509999999955</v>
      </c>
      <c r="AI100" s="256">
        <v>6966.6549999999988</v>
      </c>
      <c r="AJ100" s="256">
        <v>5163.0259999999989</v>
      </c>
      <c r="AK100" s="256">
        <v>5245.2769999999946</v>
      </c>
      <c r="AL100" s="256">
        <v>5458.994999999999</v>
      </c>
      <c r="AM100" s="256">
        <v>5377.2069999999985</v>
      </c>
      <c r="AN100" s="256">
        <v>4439.8080000000009</v>
      </c>
      <c r="AO100" s="256">
        <v>4555.9959999999992</v>
      </c>
      <c r="AP100" s="256">
        <v>4060.4790000000012</v>
      </c>
      <c r="AQ100" s="256">
        <v>3645.902999999998</v>
      </c>
      <c r="AR100" s="256">
        <v>3839.2600000000007</v>
      </c>
      <c r="AS100" s="256">
        <v>4406.3300000000027</v>
      </c>
      <c r="AT100" s="256">
        <v>3698.6499999999951</v>
      </c>
      <c r="AU100" s="256">
        <v>3561.4120000000012</v>
      </c>
      <c r="AV100" s="256">
        <v>2839.5749999999998</v>
      </c>
      <c r="AW100" s="256">
        <v>3632.5680000000038</v>
      </c>
      <c r="AX100" s="256">
        <v>3727.8180000000011</v>
      </c>
      <c r="AY100" s="256">
        <v>3626.4099999999994</v>
      </c>
      <c r="AZ100" s="256">
        <v>3944.6570000000002</v>
      </c>
      <c r="BA100" s="256">
        <v>4038.3150000000019</v>
      </c>
      <c r="BB100" s="256">
        <v>3318.49</v>
      </c>
      <c r="BC100" s="256">
        <v>2883.5950000000007</v>
      </c>
      <c r="BD100" s="256">
        <v>2925.4609999999998</v>
      </c>
      <c r="BE100" s="256">
        <v>2519.6150000000011</v>
      </c>
      <c r="BF100" s="256">
        <v>2496.2040000000006</v>
      </c>
      <c r="BG100" s="256">
        <v>1785.8439999999996</v>
      </c>
      <c r="BH100" s="256">
        <v>1796.9929999999999</v>
      </c>
      <c r="BI100" s="256">
        <v>2105.8739999999998</v>
      </c>
      <c r="BJ100" s="256">
        <v>2936.0659999999998</v>
      </c>
      <c r="BK100" s="256">
        <v>3607.2379999999998</v>
      </c>
      <c r="BL100" s="256">
        <v>3588.6140000000005</v>
      </c>
      <c r="BM100" s="395">
        <v>3523.6710000000007</v>
      </c>
      <c r="BN100" s="395">
        <v>2558.8460000000005</v>
      </c>
      <c r="BO100" s="395">
        <v>1965.5670000000005</v>
      </c>
      <c r="BP100" s="395">
        <v>1283.7600000000002</v>
      </c>
      <c r="BQ100" s="395" t="s">
        <v>121</v>
      </c>
      <c r="BR100" s="395" t="s">
        <v>121</v>
      </c>
      <c r="BS100" s="395" t="s">
        <v>121</v>
      </c>
      <c r="BT100" s="395" t="s">
        <v>121</v>
      </c>
      <c r="BU100" s="395" t="s">
        <v>121</v>
      </c>
      <c r="BV100" s="395" t="s">
        <v>121</v>
      </c>
      <c r="BW100" s="395" t="s">
        <v>121</v>
      </c>
      <c r="BX100" s="395" t="s">
        <v>121</v>
      </c>
      <c r="BY100" s="395" t="s">
        <v>121</v>
      </c>
      <c r="BZ100" s="395" t="s">
        <v>121</v>
      </c>
      <c r="CA100" s="395" t="s">
        <v>121</v>
      </c>
      <c r="CB100" s="395" t="s">
        <v>121</v>
      </c>
      <c r="CC100" s="395" t="s">
        <v>121</v>
      </c>
      <c r="CD100" s="395" t="s">
        <v>121</v>
      </c>
      <c r="CE100" s="395" t="s">
        <v>121</v>
      </c>
      <c r="CF100" s="395" t="s">
        <v>121</v>
      </c>
      <c r="CG100" s="395" t="s">
        <v>121</v>
      </c>
      <c r="CH100" s="395" t="s">
        <v>121</v>
      </c>
      <c r="CI100" s="395" t="s">
        <v>121</v>
      </c>
      <c r="CJ100" s="395" t="s">
        <v>121</v>
      </c>
      <c r="CK100" s="395" t="s">
        <v>121</v>
      </c>
      <c r="CL100" s="395" t="s">
        <v>121</v>
      </c>
      <c r="CM100" s="395" t="s">
        <v>121</v>
      </c>
      <c r="CN100" s="395" t="s">
        <v>121</v>
      </c>
      <c r="CO100" s="395" t="s">
        <v>121</v>
      </c>
      <c r="CP100" s="395" t="s">
        <v>121</v>
      </c>
      <c r="CQ100" s="395" t="s">
        <v>121</v>
      </c>
      <c r="CR100" s="395" t="s">
        <v>121</v>
      </c>
      <c r="CS100" s="395" t="s">
        <v>121</v>
      </c>
      <c r="CT100" s="395" t="s">
        <v>121</v>
      </c>
      <c r="CU100" s="395" t="s">
        <v>121</v>
      </c>
      <c r="CV100" s="395" t="s">
        <v>121</v>
      </c>
      <c r="CW100" s="395" t="s">
        <v>121</v>
      </c>
      <c r="CX100" s="395" t="s">
        <v>121</v>
      </c>
      <c r="CY100" s="395" t="s">
        <v>121</v>
      </c>
      <c r="CZ100" s="395" t="s">
        <v>121</v>
      </c>
      <c r="DA100" s="395" t="s">
        <v>121</v>
      </c>
      <c r="DB100" s="395" t="s">
        <v>121</v>
      </c>
      <c r="DC100" s="395" t="s">
        <v>121</v>
      </c>
      <c r="DD100" s="395" t="s">
        <v>121</v>
      </c>
      <c r="DE100" s="395" t="s">
        <v>121</v>
      </c>
      <c r="DF100" s="395" t="s">
        <v>121</v>
      </c>
      <c r="DG100" s="395" t="s">
        <v>121</v>
      </c>
      <c r="DH100" s="395" t="s">
        <v>121</v>
      </c>
      <c r="DI100" s="395" t="s">
        <v>121</v>
      </c>
      <c r="DJ100" s="395" t="s">
        <v>121</v>
      </c>
      <c r="DK100" s="395" t="s">
        <v>121</v>
      </c>
      <c r="DL100" s="395" t="s">
        <v>121</v>
      </c>
      <c r="DM100" s="395" t="s">
        <v>121</v>
      </c>
      <c r="DN100" s="395" t="s">
        <v>121</v>
      </c>
      <c r="DO100" s="395" t="s">
        <v>121</v>
      </c>
      <c r="DP100" s="395" t="s">
        <v>121</v>
      </c>
      <c r="DQ100" s="395" t="s">
        <v>121</v>
      </c>
      <c r="DR100" s="395" t="s">
        <v>121</v>
      </c>
      <c r="DS100" s="395" t="s">
        <v>121</v>
      </c>
      <c r="DT100" s="395" t="s">
        <v>121</v>
      </c>
      <c r="DU100" s="395" t="s">
        <v>121</v>
      </c>
      <c r="DV100" s="395" t="s">
        <v>121</v>
      </c>
      <c r="DW100" s="395" t="s">
        <v>121</v>
      </c>
      <c r="DX100" s="395" t="s">
        <v>121</v>
      </c>
      <c r="DY100" s="395" t="s">
        <v>121</v>
      </c>
      <c r="DZ100" s="395" t="s">
        <v>121</v>
      </c>
      <c r="EA100" s="395" t="s">
        <v>121</v>
      </c>
      <c r="EB100" s="395" t="s">
        <v>121</v>
      </c>
      <c r="EC100" s="395" t="s">
        <v>121</v>
      </c>
      <c r="ED100" s="395" t="s">
        <v>121</v>
      </c>
      <c r="EE100" s="395" t="s">
        <v>121</v>
      </c>
      <c r="EF100" s="395" t="s">
        <v>121</v>
      </c>
      <c r="EG100" s="395" t="s">
        <v>121</v>
      </c>
      <c r="EH100" s="395" t="s">
        <v>121</v>
      </c>
      <c r="EI100" s="395" t="s">
        <v>121</v>
      </c>
      <c r="EJ100" s="395" t="s">
        <v>121</v>
      </c>
      <c r="EK100" s="395" t="s">
        <v>121</v>
      </c>
      <c r="EL100" s="395" t="s">
        <v>121</v>
      </c>
      <c r="EM100" s="395" t="s">
        <v>121</v>
      </c>
      <c r="EN100" s="395" t="s">
        <v>121</v>
      </c>
      <c r="EO100" s="395" t="s">
        <v>121</v>
      </c>
      <c r="EP100" s="395" t="s">
        <v>121</v>
      </c>
      <c r="EQ100" s="395" t="s">
        <v>121</v>
      </c>
      <c r="ER100" s="395" t="s">
        <v>121</v>
      </c>
      <c r="ES100" s="395" t="s">
        <v>121</v>
      </c>
      <c r="ET100" s="395" t="s">
        <v>121</v>
      </c>
      <c r="EU100" s="395" t="s">
        <v>121</v>
      </c>
      <c r="EV100" s="395" t="s">
        <v>121</v>
      </c>
      <c r="EW100" s="395" t="s">
        <v>121</v>
      </c>
      <c r="EX100" s="395" t="s">
        <v>121</v>
      </c>
    </row>
    <row r="101" spans="1:168" s="352" customFormat="1" x14ac:dyDescent="0.25">
      <c r="A101" s="273">
        <v>101</v>
      </c>
      <c r="B101" s="380" t="s">
        <v>422</v>
      </c>
      <c r="C101" s="381">
        <v>9.0344095801121682E-2</v>
      </c>
      <c r="D101" s="382" t="s">
        <v>121</v>
      </c>
      <c r="E101" s="383">
        <v>9.6661076383595113E-2</v>
      </c>
      <c r="F101" s="256">
        <v>-7193</v>
      </c>
      <c r="G101" s="256">
        <v>-6597</v>
      </c>
      <c r="H101" s="256">
        <v>-5715</v>
      </c>
      <c r="I101" s="256">
        <v>-7933</v>
      </c>
      <c r="J101" s="256">
        <v>-6559</v>
      </c>
      <c r="K101" s="256">
        <v>-5468</v>
      </c>
      <c r="L101" s="256">
        <v>-5975</v>
      </c>
      <c r="M101" s="256">
        <v>-5333</v>
      </c>
      <c r="N101" s="256">
        <v>-6319</v>
      </c>
      <c r="O101" s="256">
        <v>-5944</v>
      </c>
      <c r="P101" s="256">
        <v>-6018</v>
      </c>
      <c r="Q101" s="405"/>
      <c r="R101" s="405"/>
      <c r="S101" s="405"/>
      <c r="T101" s="405"/>
      <c r="U101" s="256">
        <v>-5256</v>
      </c>
      <c r="V101" s="256">
        <v>-3744</v>
      </c>
      <c r="W101" s="256">
        <v>-3602</v>
      </c>
      <c r="X101" s="256">
        <v>-4210</v>
      </c>
      <c r="Y101" s="256">
        <v>-4315.7520000000004</v>
      </c>
      <c r="Z101" s="256">
        <v>-3345.2509999999993</v>
      </c>
      <c r="AA101" s="256">
        <v>-3412.5760000000005</v>
      </c>
      <c r="AB101" s="256">
        <v>-4133.4210000000003</v>
      </c>
      <c r="AC101" s="256">
        <v>-3828.8900000000003</v>
      </c>
      <c r="AD101" s="256">
        <v>-3299.848</v>
      </c>
      <c r="AE101" s="256">
        <v>-3405.5460000000003</v>
      </c>
      <c r="AF101" s="256">
        <v>-3551.4989999999998</v>
      </c>
      <c r="AG101" s="256">
        <v>-3270.4199999999992</v>
      </c>
      <c r="AH101" s="256">
        <v>-3100.2380000000003</v>
      </c>
      <c r="AI101" s="256">
        <v>-3723.5640000000003</v>
      </c>
      <c r="AJ101" s="256">
        <v>-2539.712</v>
      </c>
      <c r="AK101" s="256">
        <v>-2677.701</v>
      </c>
      <c r="AL101" s="256">
        <v>-2724.6009999999997</v>
      </c>
      <c r="AM101" s="256">
        <v>-2779.3990000000003</v>
      </c>
      <c r="AN101" s="256">
        <v>-2407.4179999999997</v>
      </c>
      <c r="AO101" s="256">
        <v>-2931.7190000000001</v>
      </c>
      <c r="AP101" s="256">
        <v>-2518.1630000000005</v>
      </c>
      <c r="AQ101" s="256">
        <v>-2512.6679999999997</v>
      </c>
      <c r="AR101" s="256">
        <v>-2315.152</v>
      </c>
      <c r="AS101" s="256">
        <v>-2784.8229999999999</v>
      </c>
      <c r="AT101" s="256">
        <v>-2054.6419999999998</v>
      </c>
      <c r="AU101" s="256">
        <v>-2235.7640000000001</v>
      </c>
      <c r="AV101" s="256">
        <v>-1830.0070000000001</v>
      </c>
      <c r="AW101" s="256">
        <v>-2329.4190000000003</v>
      </c>
      <c r="AX101" s="256">
        <v>-1891.7180000000001</v>
      </c>
      <c r="AY101" s="256">
        <v>-2018.2869999999998</v>
      </c>
      <c r="AZ101" s="256">
        <v>-1661.173</v>
      </c>
      <c r="BA101" s="256">
        <v>-1809.6680000000003</v>
      </c>
      <c r="BB101" s="256">
        <v>-1554.9660000000001</v>
      </c>
      <c r="BC101" s="256">
        <v>-1412.7429999999999</v>
      </c>
      <c r="BD101" s="256">
        <v>-1292.817</v>
      </c>
      <c r="BE101" s="256">
        <v>-1694.1349999999998</v>
      </c>
      <c r="BF101" s="256">
        <v>-1395.42</v>
      </c>
      <c r="BG101" s="256">
        <v>-1306.759</v>
      </c>
      <c r="BH101" s="256">
        <v>-1276.223</v>
      </c>
      <c r="BI101" s="256">
        <v>-1489.7829999999999</v>
      </c>
      <c r="BJ101" s="256">
        <v>-1291.7239999999999</v>
      </c>
      <c r="BK101" s="256">
        <v>-1237.019</v>
      </c>
      <c r="BL101" s="256">
        <v>-951.05500000000006</v>
      </c>
      <c r="BM101" s="352">
        <v>-1075.105</v>
      </c>
      <c r="BN101" s="352">
        <v>-1128.423</v>
      </c>
      <c r="BO101" s="352">
        <v>-746.14</v>
      </c>
      <c r="BP101" s="352">
        <v>-679.33300000000008</v>
      </c>
      <c r="BQ101" s="352" t="s">
        <v>121</v>
      </c>
      <c r="BR101" s="352" t="s">
        <v>121</v>
      </c>
      <c r="BS101" s="352" t="s">
        <v>121</v>
      </c>
      <c r="BT101" s="352" t="s">
        <v>121</v>
      </c>
      <c r="BU101" s="352" t="s">
        <v>121</v>
      </c>
      <c r="BV101" s="352" t="s">
        <v>121</v>
      </c>
      <c r="BW101" s="352" t="s">
        <v>121</v>
      </c>
      <c r="BX101" s="352" t="s">
        <v>121</v>
      </c>
      <c r="BY101" s="352" t="s">
        <v>121</v>
      </c>
      <c r="BZ101" s="352" t="s">
        <v>121</v>
      </c>
      <c r="CA101" s="352" t="s">
        <v>121</v>
      </c>
      <c r="CB101" s="352" t="s">
        <v>121</v>
      </c>
      <c r="CC101" s="352" t="s">
        <v>121</v>
      </c>
      <c r="CD101" s="352" t="s">
        <v>121</v>
      </c>
      <c r="CE101" s="352" t="s">
        <v>121</v>
      </c>
      <c r="CF101" s="352" t="s">
        <v>121</v>
      </c>
      <c r="CG101" s="352" t="s">
        <v>121</v>
      </c>
      <c r="CH101" s="352" t="s">
        <v>121</v>
      </c>
      <c r="CI101" s="352" t="s">
        <v>121</v>
      </c>
      <c r="CJ101" s="352" t="s">
        <v>121</v>
      </c>
      <c r="CK101" s="352" t="s">
        <v>121</v>
      </c>
      <c r="CL101" s="352" t="s">
        <v>121</v>
      </c>
      <c r="CM101" s="352" t="s">
        <v>121</v>
      </c>
      <c r="CN101" s="352" t="s">
        <v>121</v>
      </c>
      <c r="CO101" s="352" t="s">
        <v>121</v>
      </c>
      <c r="CP101" s="352" t="s">
        <v>121</v>
      </c>
      <c r="CQ101" s="352" t="s">
        <v>121</v>
      </c>
      <c r="CR101" s="352" t="s">
        <v>121</v>
      </c>
      <c r="CS101" s="352" t="s">
        <v>121</v>
      </c>
      <c r="CT101" s="352" t="s">
        <v>121</v>
      </c>
      <c r="CU101" s="352" t="s">
        <v>121</v>
      </c>
      <c r="CV101" s="352" t="s">
        <v>121</v>
      </c>
      <c r="CW101" s="352" t="s">
        <v>121</v>
      </c>
      <c r="CX101" s="352" t="s">
        <v>121</v>
      </c>
      <c r="CY101" s="352" t="s">
        <v>121</v>
      </c>
      <c r="CZ101" s="352" t="s">
        <v>121</v>
      </c>
      <c r="DA101" s="352" t="s">
        <v>121</v>
      </c>
      <c r="DB101" s="352" t="s">
        <v>121</v>
      </c>
      <c r="DC101" s="352" t="s">
        <v>121</v>
      </c>
      <c r="DD101" s="352" t="s">
        <v>121</v>
      </c>
      <c r="DE101" s="352" t="s">
        <v>121</v>
      </c>
      <c r="DF101" s="352" t="s">
        <v>121</v>
      </c>
      <c r="DG101" s="352" t="s">
        <v>121</v>
      </c>
      <c r="DH101" s="352" t="s">
        <v>121</v>
      </c>
      <c r="DI101" s="352" t="s">
        <v>121</v>
      </c>
      <c r="DJ101" s="352" t="s">
        <v>121</v>
      </c>
      <c r="DK101" s="352" t="s">
        <v>121</v>
      </c>
      <c r="DL101" s="352" t="s">
        <v>121</v>
      </c>
      <c r="DM101" s="352" t="s">
        <v>121</v>
      </c>
      <c r="DN101" s="352" t="s">
        <v>121</v>
      </c>
      <c r="DO101" s="352" t="s">
        <v>121</v>
      </c>
      <c r="DP101" s="352" t="s">
        <v>121</v>
      </c>
      <c r="DQ101" s="352" t="s">
        <v>121</v>
      </c>
      <c r="DR101" s="352" t="s">
        <v>121</v>
      </c>
      <c r="DS101" s="352" t="s">
        <v>121</v>
      </c>
      <c r="DT101" s="352" t="s">
        <v>121</v>
      </c>
      <c r="DU101" s="352" t="s">
        <v>121</v>
      </c>
      <c r="DV101" s="352" t="s">
        <v>121</v>
      </c>
      <c r="DW101" s="352" t="s">
        <v>121</v>
      </c>
      <c r="DX101" s="352" t="s">
        <v>121</v>
      </c>
      <c r="DY101" s="352" t="s">
        <v>121</v>
      </c>
      <c r="DZ101" s="352" t="s">
        <v>121</v>
      </c>
      <c r="EA101" s="352" t="s">
        <v>121</v>
      </c>
      <c r="EB101" s="352" t="s">
        <v>121</v>
      </c>
      <c r="EC101" s="352" t="s">
        <v>121</v>
      </c>
      <c r="ED101" s="352" t="s">
        <v>121</v>
      </c>
      <c r="EE101" s="352" t="s">
        <v>121</v>
      </c>
      <c r="EF101" s="352" t="s">
        <v>121</v>
      </c>
      <c r="EG101" s="352" t="s">
        <v>121</v>
      </c>
      <c r="EH101" s="352" t="s">
        <v>121</v>
      </c>
      <c r="EI101" s="352" t="s">
        <v>121</v>
      </c>
      <c r="EJ101" s="352" t="s">
        <v>121</v>
      </c>
      <c r="EK101" s="352" t="s">
        <v>121</v>
      </c>
      <c r="EL101" s="352" t="s">
        <v>121</v>
      </c>
      <c r="EM101" s="352" t="s">
        <v>121</v>
      </c>
      <c r="EN101" s="352" t="s">
        <v>121</v>
      </c>
      <c r="EO101" s="352" t="s">
        <v>121</v>
      </c>
      <c r="EP101" s="352" t="s">
        <v>121</v>
      </c>
      <c r="EQ101" s="352" t="s">
        <v>121</v>
      </c>
      <c r="ER101" s="352" t="s">
        <v>121</v>
      </c>
      <c r="ES101" s="352" t="s">
        <v>121</v>
      </c>
      <c r="ET101" s="352" t="s">
        <v>121</v>
      </c>
      <c r="EU101" s="352" t="s">
        <v>121</v>
      </c>
      <c r="EV101" s="352" t="s">
        <v>121</v>
      </c>
      <c r="EW101" s="352" t="s">
        <v>121</v>
      </c>
      <c r="EX101" s="352" t="s">
        <v>121</v>
      </c>
    </row>
    <row r="102" spans="1:168" s="352" customFormat="1" x14ac:dyDescent="0.25">
      <c r="A102" s="273">
        <v>102</v>
      </c>
      <c r="B102" s="384" t="s">
        <v>423</v>
      </c>
      <c r="C102" s="345">
        <v>6.5204847085978068E-2</v>
      </c>
      <c r="D102" s="275" t="s">
        <v>121</v>
      </c>
      <c r="E102" s="270">
        <v>-0.10301263362487856</v>
      </c>
      <c r="F102" s="255">
        <v>-3692</v>
      </c>
      <c r="G102" s="255">
        <v>-3466</v>
      </c>
      <c r="H102" s="255">
        <v>-3429</v>
      </c>
      <c r="I102" s="255">
        <v>-4317</v>
      </c>
      <c r="J102" s="255">
        <v>-4116</v>
      </c>
      <c r="K102" s="255">
        <v>-2886</v>
      </c>
      <c r="L102" s="255">
        <v>-4041</v>
      </c>
      <c r="M102" s="255">
        <v>-2289</v>
      </c>
      <c r="N102" s="255">
        <v>-4014</v>
      </c>
      <c r="O102" s="255">
        <v>-3524</v>
      </c>
      <c r="P102" s="255">
        <v>-4020</v>
      </c>
      <c r="Q102" s="405"/>
      <c r="R102" s="405"/>
      <c r="S102" s="405"/>
      <c r="T102" s="405"/>
      <c r="U102" s="255">
        <v>-2496</v>
      </c>
      <c r="V102" s="255">
        <v>-1887</v>
      </c>
      <c r="W102" s="255">
        <v>-1623</v>
      </c>
      <c r="X102" s="255">
        <v>-2502</v>
      </c>
      <c r="Y102" s="255">
        <v>-2018.2579999999998</v>
      </c>
      <c r="Z102" s="255">
        <v>-1488.384</v>
      </c>
      <c r="AA102" s="255">
        <v>-1773.3830000000003</v>
      </c>
      <c r="AB102" s="255">
        <v>-2295.9749999999999</v>
      </c>
      <c r="AC102" s="255">
        <v>-1570.7069999999994</v>
      </c>
      <c r="AD102" s="255">
        <v>-1500.1440000000002</v>
      </c>
      <c r="AE102" s="255">
        <v>-1615.71</v>
      </c>
      <c r="AF102" s="255">
        <v>-1767.37</v>
      </c>
      <c r="AG102" s="255">
        <v>-1280.808</v>
      </c>
      <c r="AH102" s="255">
        <v>-1384.8320000000003</v>
      </c>
      <c r="AI102" s="255">
        <v>-1509.7579999999998</v>
      </c>
      <c r="AJ102" s="255">
        <v>-1766.6030000000001</v>
      </c>
      <c r="AK102" s="255">
        <v>-1406.0100000000002</v>
      </c>
      <c r="AL102" s="255">
        <v>-1583.8409999999994</v>
      </c>
      <c r="AM102" s="255">
        <v>-1450.4050000000002</v>
      </c>
      <c r="AN102" s="255">
        <v>-1530.3009999999999</v>
      </c>
      <c r="AO102" s="255">
        <v>-1571.7139999999995</v>
      </c>
      <c r="AP102" s="255">
        <v>-1363.8010000000004</v>
      </c>
      <c r="AQ102" s="255">
        <v>-1310.1199999999999</v>
      </c>
      <c r="AR102" s="255">
        <v>-1382.9259999999999</v>
      </c>
      <c r="AS102" s="255">
        <v>-1010.598</v>
      </c>
      <c r="AT102" s="255">
        <v>-1058.5190000000002</v>
      </c>
      <c r="AU102" s="255">
        <v>-1297.6529999999998</v>
      </c>
      <c r="AV102" s="255">
        <v>-1107.0070000000001</v>
      </c>
      <c r="AW102" s="255">
        <v>-1167.319</v>
      </c>
      <c r="AX102" s="255">
        <v>-1149.5550000000003</v>
      </c>
      <c r="AY102" s="255">
        <v>-1095.4459999999999</v>
      </c>
      <c r="AZ102" s="255">
        <v>-1064.819</v>
      </c>
      <c r="BA102" s="393">
        <v>-871.69300000000021</v>
      </c>
      <c r="BB102" s="255">
        <v>-860.75800000000004</v>
      </c>
      <c r="BC102" s="255">
        <v>-767.73500000000001</v>
      </c>
      <c r="BD102" s="255">
        <v>-809.58900000000006</v>
      </c>
      <c r="BE102" s="255">
        <v>-783.08699999999999</v>
      </c>
      <c r="BF102" s="255">
        <v>-808.36900000000003</v>
      </c>
      <c r="BG102" s="255">
        <v>-722.88099999999997</v>
      </c>
      <c r="BH102" s="255">
        <v>-744.68600000000004</v>
      </c>
      <c r="BI102" s="255">
        <v>-773.36500000000001</v>
      </c>
      <c r="BJ102" s="255">
        <v>-770.05799999999999</v>
      </c>
      <c r="BK102" s="255">
        <v>-768.346</v>
      </c>
      <c r="BL102" s="255">
        <v>-632.68700000000001</v>
      </c>
      <c r="BM102" s="352">
        <v>-553.87800000000004</v>
      </c>
      <c r="BN102" s="352">
        <v>-637.99099999999999</v>
      </c>
      <c r="BO102" s="352">
        <v>-501.95299999999997</v>
      </c>
      <c r="BP102" s="352">
        <v>-460.358</v>
      </c>
      <c r="BQ102" s="352" t="s">
        <v>121</v>
      </c>
      <c r="BR102" s="352" t="s">
        <v>121</v>
      </c>
      <c r="BS102" s="352" t="s">
        <v>121</v>
      </c>
      <c r="BT102" s="352" t="s">
        <v>121</v>
      </c>
      <c r="BU102" s="352" t="s">
        <v>121</v>
      </c>
      <c r="BV102" s="352" t="s">
        <v>121</v>
      </c>
      <c r="BW102" s="352" t="s">
        <v>121</v>
      </c>
      <c r="BX102" s="352" t="s">
        <v>121</v>
      </c>
      <c r="BY102" s="352" t="s">
        <v>121</v>
      </c>
      <c r="BZ102" s="352" t="s">
        <v>121</v>
      </c>
      <c r="CA102" s="352" t="s">
        <v>121</v>
      </c>
      <c r="CB102" s="352" t="s">
        <v>121</v>
      </c>
      <c r="CC102" s="352" t="s">
        <v>121</v>
      </c>
      <c r="CD102" s="352" t="s">
        <v>121</v>
      </c>
      <c r="CE102" s="352" t="s">
        <v>121</v>
      </c>
      <c r="CF102" s="352" t="s">
        <v>121</v>
      </c>
      <c r="CG102" s="352" t="s">
        <v>121</v>
      </c>
      <c r="CH102" s="352" t="s">
        <v>121</v>
      </c>
      <c r="CI102" s="352" t="s">
        <v>121</v>
      </c>
      <c r="CJ102" s="352" t="s">
        <v>121</v>
      </c>
      <c r="CK102" s="352" t="s">
        <v>121</v>
      </c>
      <c r="CL102" s="352" t="s">
        <v>121</v>
      </c>
      <c r="CM102" s="352" t="s">
        <v>121</v>
      </c>
      <c r="CN102" s="352" t="s">
        <v>121</v>
      </c>
      <c r="CO102" s="352" t="s">
        <v>121</v>
      </c>
      <c r="CP102" s="352" t="s">
        <v>121</v>
      </c>
      <c r="CQ102" s="352" t="s">
        <v>121</v>
      </c>
      <c r="CR102" s="352" t="s">
        <v>121</v>
      </c>
      <c r="CS102" s="352" t="s">
        <v>121</v>
      </c>
      <c r="CT102" s="352" t="s">
        <v>121</v>
      </c>
      <c r="CU102" s="352" t="s">
        <v>121</v>
      </c>
      <c r="CV102" s="352" t="s">
        <v>121</v>
      </c>
      <c r="CW102" s="352" t="s">
        <v>121</v>
      </c>
      <c r="CX102" s="352" t="s">
        <v>121</v>
      </c>
      <c r="CY102" s="352" t="s">
        <v>121</v>
      </c>
      <c r="CZ102" s="352" t="s">
        <v>121</v>
      </c>
      <c r="DA102" s="352" t="s">
        <v>121</v>
      </c>
      <c r="DB102" s="352" t="s">
        <v>121</v>
      </c>
      <c r="DC102" s="352" t="s">
        <v>121</v>
      </c>
      <c r="DD102" s="352" t="s">
        <v>121</v>
      </c>
      <c r="DE102" s="352" t="s">
        <v>121</v>
      </c>
      <c r="DF102" s="352" t="s">
        <v>121</v>
      </c>
      <c r="DG102" s="352" t="s">
        <v>121</v>
      </c>
      <c r="DH102" s="352" t="s">
        <v>121</v>
      </c>
      <c r="DI102" s="352" t="s">
        <v>121</v>
      </c>
      <c r="DJ102" s="352" t="s">
        <v>121</v>
      </c>
      <c r="DK102" s="352" t="s">
        <v>121</v>
      </c>
      <c r="DL102" s="352" t="s">
        <v>121</v>
      </c>
      <c r="DM102" s="352" t="s">
        <v>121</v>
      </c>
      <c r="DN102" s="352" t="s">
        <v>121</v>
      </c>
      <c r="DO102" s="352" t="s">
        <v>121</v>
      </c>
      <c r="DP102" s="352" t="s">
        <v>121</v>
      </c>
      <c r="DQ102" s="352" t="s">
        <v>121</v>
      </c>
      <c r="DR102" s="352" t="s">
        <v>121</v>
      </c>
      <c r="DS102" s="352" t="s">
        <v>121</v>
      </c>
      <c r="DT102" s="352" t="s">
        <v>121</v>
      </c>
      <c r="DU102" s="352" t="s">
        <v>121</v>
      </c>
      <c r="DV102" s="352" t="s">
        <v>121</v>
      </c>
      <c r="DW102" s="352" t="s">
        <v>121</v>
      </c>
      <c r="DX102" s="352" t="s">
        <v>121</v>
      </c>
      <c r="DY102" s="352" t="s">
        <v>121</v>
      </c>
      <c r="DZ102" s="352" t="s">
        <v>121</v>
      </c>
      <c r="EA102" s="352" t="s">
        <v>121</v>
      </c>
      <c r="EB102" s="352" t="s">
        <v>121</v>
      </c>
      <c r="EC102" s="352" t="s">
        <v>121</v>
      </c>
      <c r="ED102" s="352" t="s">
        <v>121</v>
      </c>
      <c r="EE102" s="352" t="s">
        <v>121</v>
      </c>
      <c r="EF102" s="352" t="s">
        <v>121</v>
      </c>
      <c r="EG102" s="352" t="s">
        <v>121</v>
      </c>
      <c r="EH102" s="352" t="s">
        <v>121</v>
      </c>
      <c r="EI102" s="352" t="s">
        <v>121</v>
      </c>
      <c r="EJ102" s="352" t="s">
        <v>121</v>
      </c>
      <c r="EK102" s="352" t="s">
        <v>121</v>
      </c>
      <c r="EL102" s="352" t="s">
        <v>121</v>
      </c>
      <c r="EM102" s="352" t="s">
        <v>121</v>
      </c>
      <c r="EN102" s="352" t="s">
        <v>121</v>
      </c>
      <c r="EO102" s="352" t="s">
        <v>121</v>
      </c>
      <c r="EP102" s="352" t="s">
        <v>121</v>
      </c>
      <c r="EQ102" s="352" t="s">
        <v>121</v>
      </c>
      <c r="ER102" s="352" t="s">
        <v>121</v>
      </c>
      <c r="ES102" s="352" t="s">
        <v>121</v>
      </c>
      <c r="ET102" s="352" t="s">
        <v>121</v>
      </c>
      <c r="EU102" s="352" t="s">
        <v>121</v>
      </c>
      <c r="EV102" s="352" t="s">
        <v>121</v>
      </c>
      <c r="EW102" s="352" t="s">
        <v>121</v>
      </c>
      <c r="EX102" s="352" t="s">
        <v>121</v>
      </c>
    </row>
    <row r="103" spans="1:168" s="352" customFormat="1" x14ac:dyDescent="0.25">
      <c r="A103" s="273">
        <v>103</v>
      </c>
      <c r="B103" s="384" t="s">
        <v>424</v>
      </c>
      <c r="C103" s="345">
        <v>0.11817310763334388</v>
      </c>
      <c r="D103" s="275" t="s">
        <v>121</v>
      </c>
      <c r="E103" s="270">
        <v>0.43307408923454771</v>
      </c>
      <c r="F103" s="255">
        <v>-3501</v>
      </c>
      <c r="G103" s="255">
        <v>-3131</v>
      </c>
      <c r="H103" s="255">
        <v>-2286</v>
      </c>
      <c r="I103" s="255">
        <v>-3616</v>
      </c>
      <c r="J103" s="255">
        <v>-2443</v>
      </c>
      <c r="K103" s="255">
        <v>-2582</v>
      </c>
      <c r="L103" s="255">
        <v>-1934</v>
      </c>
      <c r="M103" s="255">
        <v>-3044</v>
      </c>
      <c r="N103" s="255">
        <v>-2305</v>
      </c>
      <c r="O103" s="255">
        <v>-2420</v>
      </c>
      <c r="P103" s="255">
        <v>-1998</v>
      </c>
      <c r="Q103" s="405"/>
      <c r="R103" s="405"/>
      <c r="S103" s="405"/>
      <c r="T103" s="405"/>
      <c r="U103" s="255">
        <v>-2760</v>
      </c>
      <c r="V103" s="255">
        <v>-1857</v>
      </c>
      <c r="W103" s="255">
        <v>-1979</v>
      </c>
      <c r="X103" s="255">
        <v>-1708</v>
      </c>
      <c r="Y103" s="255">
        <v>-2297.4940000000006</v>
      </c>
      <c r="Z103" s="255">
        <v>-1856.8669999999993</v>
      </c>
      <c r="AA103" s="255">
        <v>-1639.1930000000002</v>
      </c>
      <c r="AB103" s="255">
        <v>-1837.4459999999999</v>
      </c>
      <c r="AC103" s="255">
        <v>-2258.1830000000009</v>
      </c>
      <c r="AD103" s="255">
        <v>-1799.7039999999997</v>
      </c>
      <c r="AE103" s="255">
        <v>-1789.8360000000002</v>
      </c>
      <c r="AF103" s="255">
        <v>-1784.1289999999999</v>
      </c>
      <c r="AG103" s="255">
        <v>-1989.6119999999992</v>
      </c>
      <c r="AH103" s="255">
        <v>-1715.4059999999999</v>
      </c>
      <c r="AI103" s="255">
        <v>-2213.8060000000005</v>
      </c>
      <c r="AJ103" s="255">
        <v>-773.10900000000004</v>
      </c>
      <c r="AK103" s="255">
        <v>-1271.6909999999998</v>
      </c>
      <c r="AL103" s="255">
        <v>-1140.7600000000002</v>
      </c>
      <c r="AM103" s="255">
        <v>-1328.9939999999999</v>
      </c>
      <c r="AN103" s="255">
        <v>-877.11699999999996</v>
      </c>
      <c r="AO103" s="255">
        <v>-1360.0050000000006</v>
      </c>
      <c r="AP103" s="255">
        <v>-1154.3619999999999</v>
      </c>
      <c r="AQ103" s="255">
        <v>-1202.548</v>
      </c>
      <c r="AR103" s="255">
        <v>-932.22600000000011</v>
      </c>
      <c r="AS103" s="255">
        <v>-1774.2249999999999</v>
      </c>
      <c r="AT103" s="255">
        <v>-996.12299999999982</v>
      </c>
      <c r="AU103" s="255">
        <v>-938.1110000000001</v>
      </c>
      <c r="AV103" s="255">
        <v>-723</v>
      </c>
      <c r="AW103" s="255">
        <v>-1162.1000000000004</v>
      </c>
      <c r="AX103" s="255">
        <v>-742.16299999999978</v>
      </c>
      <c r="AY103" s="255">
        <v>-922.84100000000001</v>
      </c>
      <c r="AZ103" s="255">
        <v>-596.35400000000004</v>
      </c>
      <c r="BA103" s="393">
        <v>-937.97500000000014</v>
      </c>
      <c r="BB103" s="255">
        <v>-694.20800000000008</v>
      </c>
      <c r="BC103" s="255">
        <v>-645.00799999999992</v>
      </c>
      <c r="BD103" s="255">
        <v>-483.22800000000007</v>
      </c>
      <c r="BE103" s="255">
        <v>-911.04799999999977</v>
      </c>
      <c r="BF103" s="255">
        <v>-587.05100000000004</v>
      </c>
      <c r="BG103" s="255">
        <v>-583.87799999999993</v>
      </c>
      <c r="BH103" s="255">
        <v>-531.53700000000003</v>
      </c>
      <c r="BI103" s="255">
        <v>-716.41800000000001</v>
      </c>
      <c r="BJ103" s="255">
        <v>-521.66599999999994</v>
      </c>
      <c r="BK103" s="255">
        <v>-468.673</v>
      </c>
      <c r="BL103" s="255">
        <v>-318.36799999999999</v>
      </c>
      <c r="BM103" s="352">
        <v>-521.22699999999998</v>
      </c>
      <c r="BN103" s="352">
        <v>-490.43200000000002</v>
      </c>
      <c r="BO103" s="352">
        <v>-244.18700000000001</v>
      </c>
      <c r="BP103" s="352">
        <v>-218.97500000000002</v>
      </c>
      <c r="BQ103" s="352" t="s">
        <v>121</v>
      </c>
      <c r="BR103" s="352" t="s">
        <v>121</v>
      </c>
      <c r="BS103" s="352" t="s">
        <v>121</v>
      </c>
      <c r="BT103" s="352" t="s">
        <v>121</v>
      </c>
      <c r="BU103" s="352" t="s">
        <v>121</v>
      </c>
      <c r="BV103" s="352" t="s">
        <v>121</v>
      </c>
      <c r="BW103" s="352" t="s">
        <v>121</v>
      </c>
      <c r="BX103" s="352" t="s">
        <v>121</v>
      </c>
      <c r="BY103" s="352" t="s">
        <v>121</v>
      </c>
      <c r="BZ103" s="352" t="s">
        <v>121</v>
      </c>
      <c r="CA103" s="352" t="s">
        <v>121</v>
      </c>
      <c r="CB103" s="352" t="s">
        <v>121</v>
      </c>
      <c r="CC103" s="352" t="s">
        <v>121</v>
      </c>
      <c r="CD103" s="352" t="s">
        <v>121</v>
      </c>
      <c r="CE103" s="352" t="s">
        <v>121</v>
      </c>
      <c r="CF103" s="352" t="s">
        <v>121</v>
      </c>
      <c r="CG103" s="352" t="s">
        <v>121</v>
      </c>
      <c r="CH103" s="352" t="s">
        <v>121</v>
      </c>
      <c r="CI103" s="352" t="s">
        <v>121</v>
      </c>
      <c r="CJ103" s="352" t="s">
        <v>121</v>
      </c>
      <c r="CK103" s="352" t="s">
        <v>121</v>
      </c>
      <c r="CL103" s="352" t="s">
        <v>121</v>
      </c>
      <c r="CM103" s="352" t="s">
        <v>121</v>
      </c>
      <c r="CN103" s="352" t="s">
        <v>121</v>
      </c>
      <c r="CO103" s="352" t="s">
        <v>121</v>
      </c>
      <c r="CP103" s="352" t="s">
        <v>121</v>
      </c>
      <c r="CQ103" s="352" t="s">
        <v>121</v>
      </c>
      <c r="CR103" s="352" t="s">
        <v>121</v>
      </c>
      <c r="CS103" s="352" t="s">
        <v>121</v>
      </c>
      <c r="CT103" s="352" t="s">
        <v>121</v>
      </c>
      <c r="CU103" s="352" t="s">
        <v>121</v>
      </c>
      <c r="CV103" s="352" t="s">
        <v>121</v>
      </c>
      <c r="CW103" s="352" t="s">
        <v>121</v>
      </c>
      <c r="CX103" s="352" t="s">
        <v>121</v>
      </c>
      <c r="CY103" s="352" t="s">
        <v>121</v>
      </c>
      <c r="CZ103" s="352" t="s">
        <v>121</v>
      </c>
      <c r="DA103" s="352" t="s">
        <v>121</v>
      </c>
      <c r="DB103" s="352" t="s">
        <v>121</v>
      </c>
      <c r="DC103" s="352" t="s">
        <v>121</v>
      </c>
      <c r="DD103" s="352" t="s">
        <v>121</v>
      </c>
      <c r="DE103" s="352" t="s">
        <v>121</v>
      </c>
      <c r="DF103" s="352" t="s">
        <v>121</v>
      </c>
      <c r="DG103" s="352" t="s">
        <v>121</v>
      </c>
      <c r="DH103" s="352" t="s">
        <v>121</v>
      </c>
      <c r="DI103" s="352" t="s">
        <v>121</v>
      </c>
      <c r="DJ103" s="352" t="s">
        <v>121</v>
      </c>
      <c r="DK103" s="352" t="s">
        <v>121</v>
      </c>
      <c r="DL103" s="352" t="s">
        <v>121</v>
      </c>
      <c r="DM103" s="352" t="s">
        <v>121</v>
      </c>
      <c r="DN103" s="352" t="s">
        <v>121</v>
      </c>
      <c r="DO103" s="352" t="s">
        <v>121</v>
      </c>
      <c r="DP103" s="352" t="s">
        <v>121</v>
      </c>
      <c r="DQ103" s="352" t="s">
        <v>121</v>
      </c>
      <c r="DR103" s="352" t="s">
        <v>121</v>
      </c>
      <c r="DS103" s="352" t="s">
        <v>121</v>
      </c>
      <c r="DT103" s="352" t="s">
        <v>121</v>
      </c>
      <c r="DU103" s="352" t="s">
        <v>121</v>
      </c>
      <c r="DV103" s="352" t="s">
        <v>121</v>
      </c>
      <c r="DW103" s="352" t="s">
        <v>121</v>
      </c>
      <c r="DX103" s="352" t="s">
        <v>121</v>
      </c>
      <c r="DY103" s="352" t="s">
        <v>121</v>
      </c>
      <c r="DZ103" s="352" t="s">
        <v>121</v>
      </c>
      <c r="EA103" s="352" t="s">
        <v>121</v>
      </c>
      <c r="EB103" s="352" t="s">
        <v>121</v>
      </c>
      <c r="EC103" s="352" t="s">
        <v>121</v>
      </c>
      <c r="ED103" s="352" t="s">
        <v>121</v>
      </c>
      <c r="EE103" s="352" t="s">
        <v>121</v>
      </c>
      <c r="EF103" s="352" t="s">
        <v>121</v>
      </c>
      <c r="EG103" s="352" t="s">
        <v>121</v>
      </c>
      <c r="EH103" s="352" t="s">
        <v>121</v>
      </c>
      <c r="EI103" s="352" t="s">
        <v>121</v>
      </c>
      <c r="EJ103" s="352" t="s">
        <v>121</v>
      </c>
      <c r="EK103" s="352" t="s">
        <v>121</v>
      </c>
      <c r="EL103" s="352" t="s">
        <v>121</v>
      </c>
      <c r="EM103" s="352" t="s">
        <v>121</v>
      </c>
      <c r="EN103" s="352" t="s">
        <v>121</v>
      </c>
      <c r="EO103" s="352" t="s">
        <v>121</v>
      </c>
      <c r="EP103" s="352" t="s">
        <v>121</v>
      </c>
      <c r="EQ103" s="352" t="s">
        <v>121</v>
      </c>
      <c r="ER103" s="352" t="s">
        <v>121</v>
      </c>
      <c r="ES103" s="352" t="s">
        <v>121</v>
      </c>
      <c r="ET103" s="352" t="s">
        <v>121</v>
      </c>
      <c r="EU103" s="352" t="s">
        <v>121</v>
      </c>
      <c r="EV103" s="352" t="s">
        <v>121</v>
      </c>
      <c r="EW103" s="352" t="s">
        <v>121</v>
      </c>
      <c r="EX103" s="352" t="s">
        <v>121</v>
      </c>
    </row>
    <row r="104" spans="1:168" s="395" customFormat="1" ht="26.1" customHeight="1" x14ac:dyDescent="0.25">
      <c r="A104" s="273">
        <v>104</v>
      </c>
      <c r="B104" s="396" t="s">
        <v>425</v>
      </c>
      <c r="C104" s="345">
        <v>-3.3606420331048326E-2</v>
      </c>
      <c r="D104" s="275" t="s">
        <v>121</v>
      </c>
      <c r="E104" s="383">
        <v>-0.29555149299207795</v>
      </c>
      <c r="F104" s="256">
        <v>11560</v>
      </c>
      <c r="G104" s="256">
        <v>11962</v>
      </c>
      <c r="H104" s="256">
        <v>20456</v>
      </c>
      <c r="I104" s="256">
        <v>16273</v>
      </c>
      <c r="J104" s="256">
        <v>16410</v>
      </c>
      <c r="K104" s="256">
        <v>13937</v>
      </c>
      <c r="L104" s="256">
        <v>16090</v>
      </c>
      <c r="M104" s="256">
        <v>15102</v>
      </c>
      <c r="N104" s="256">
        <v>10689</v>
      </c>
      <c r="O104" s="256">
        <v>17180</v>
      </c>
      <c r="P104" s="256">
        <v>18244</v>
      </c>
      <c r="Q104" s="405"/>
      <c r="R104" s="405"/>
      <c r="S104" s="405"/>
      <c r="T104" s="405"/>
      <c r="U104" s="256">
        <v>8366</v>
      </c>
      <c r="V104" s="256">
        <v>5171</v>
      </c>
      <c r="W104" s="256">
        <v>5996</v>
      </c>
      <c r="X104" s="256">
        <v>3090</v>
      </c>
      <c r="Y104" s="256">
        <v>5311.0859999999993</v>
      </c>
      <c r="Z104" s="256">
        <v>3779.9759999999997</v>
      </c>
      <c r="AA104" s="256">
        <v>2327.6430000000005</v>
      </c>
      <c r="AB104" s="256">
        <v>2091.2949999999996</v>
      </c>
      <c r="AC104" s="256">
        <v>2962.4270000000033</v>
      </c>
      <c r="AD104" s="256">
        <v>2478.5210000000034</v>
      </c>
      <c r="AE104" s="256">
        <v>2734.4039999999986</v>
      </c>
      <c r="AF104" s="256">
        <v>1542.5830000000005</v>
      </c>
      <c r="AG104" s="256">
        <v>3263.8660000000045</v>
      </c>
      <c r="AH104" s="256">
        <v>2426.2129999999952</v>
      </c>
      <c r="AI104" s="256">
        <v>3243.0909999999985</v>
      </c>
      <c r="AJ104" s="256">
        <v>2623.3139999999989</v>
      </c>
      <c r="AK104" s="256">
        <v>2567.5759999999946</v>
      </c>
      <c r="AL104" s="256">
        <v>2734.3939999999993</v>
      </c>
      <c r="AM104" s="256">
        <v>2597.8079999999982</v>
      </c>
      <c r="AN104" s="256">
        <v>2032.390000000001</v>
      </c>
      <c r="AO104" s="256">
        <v>1624.2769999999991</v>
      </c>
      <c r="AP104" s="256">
        <v>1542.3160000000009</v>
      </c>
      <c r="AQ104" s="256">
        <v>1133.2349999999981</v>
      </c>
      <c r="AR104" s="256">
        <v>1524.1080000000006</v>
      </c>
      <c r="AS104" s="256">
        <v>1621.5070000000028</v>
      </c>
      <c r="AT104" s="256">
        <v>1644.007999999995</v>
      </c>
      <c r="AU104" s="256">
        <v>1325.6480000000013</v>
      </c>
      <c r="AV104" s="256">
        <v>1009.5679999999998</v>
      </c>
      <c r="AW104" s="256">
        <v>1303.1490000000035</v>
      </c>
      <c r="AX104" s="256">
        <v>1836.100000000001</v>
      </c>
      <c r="AY104" s="256">
        <v>1608.1229999999996</v>
      </c>
      <c r="AZ104" s="256">
        <v>2283.4840000000004</v>
      </c>
      <c r="BA104" s="256">
        <v>2228.6470000000018</v>
      </c>
      <c r="BB104" s="256">
        <v>1763.5239999999999</v>
      </c>
      <c r="BC104" s="256">
        <v>1470.8520000000008</v>
      </c>
      <c r="BD104" s="256">
        <v>1632.6439999999998</v>
      </c>
      <c r="BE104" s="256">
        <v>825.48000000000138</v>
      </c>
      <c r="BF104" s="256">
        <v>1100.7840000000006</v>
      </c>
      <c r="BG104" s="256">
        <v>479.08499999999981</v>
      </c>
      <c r="BH104" s="256">
        <v>520.76999999999975</v>
      </c>
      <c r="BI104" s="256">
        <v>616.09099999999978</v>
      </c>
      <c r="BJ104" s="256">
        <v>1644.3419999999999</v>
      </c>
      <c r="BK104" s="256">
        <v>2370.2190000000001</v>
      </c>
      <c r="BL104" s="256">
        <v>2637.5590000000007</v>
      </c>
      <c r="BM104" s="397">
        <v>2448.5660000000007</v>
      </c>
      <c r="BN104" s="397">
        <v>1430.4230000000005</v>
      </c>
      <c r="BO104" s="397">
        <v>1219.4270000000006</v>
      </c>
      <c r="BP104" s="397">
        <v>604.42700000000025</v>
      </c>
      <c r="BQ104" s="397" t="s">
        <v>121</v>
      </c>
      <c r="BR104" s="397" t="s">
        <v>121</v>
      </c>
      <c r="BS104" s="397" t="s">
        <v>121</v>
      </c>
      <c r="BT104" s="397" t="s">
        <v>121</v>
      </c>
      <c r="BU104" s="397" t="s">
        <v>121</v>
      </c>
      <c r="BV104" s="397" t="s">
        <v>121</v>
      </c>
      <c r="BW104" s="397" t="s">
        <v>121</v>
      </c>
      <c r="BX104" s="397" t="s">
        <v>121</v>
      </c>
      <c r="BY104" s="397" t="s">
        <v>121</v>
      </c>
      <c r="BZ104" s="397" t="s">
        <v>121</v>
      </c>
      <c r="CA104" s="397" t="s">
        <v>121</v>
      </c>
      <c r="CB104" s="397" t="s">
        <v>121</v>
      </c>
      <c r="CC104" s="397" t="s">
        <v>121</v>
      </c>
      <c r="CD104" s="397" t="s">
        <v>121</v>
      </c>
      <c r="CE104" s="397" t="s">
        <v>121</v>
      </c>
      <c r="CF104" s="397" t="s">
        <v>121</v>
      </c>
      <c r="CG104" s="397" t="s">
        <v>121</v>
      </c>
      <c r="CH104" s="397" t="s">
        <v>121</v>
      </c>
      <c r="CI104" s="397" t="s">
        <v>121</v>
      </c>
      <c r="CJ104" s="397" t="s">
        <v>121</v>
      </c>
      <c r="CK104" s="397" t="s">
        <v>121</v>
      </c>
      <c r="CL104" s="397" t="s">
        <v>121</v>
      </c>
      <c r="CM104" s="397" t="s">
        <v>121</v>
      </c>
      <c r="CN104" s="397" t="s">
        <v>121</v>
      </c>
      <c r="CO104" s="397" t="s">
        <v>121</v>
      </c>
      <c r="CP104" s="397" t="s">
        <v>121</v>
      </c>
      <c r="CQ104" s="397" t="s">
        <v>121</v>
      </c>
      <c r="CR104" s="397" t="s">
        <v>121</v>
      </c>
      <c r="CS104" s="397" t="s">
        <v>121</v>
      </c>
      <c r="CT104" s="397" t="s">
        <v>121</v>
      </c>
      <c r="CU104" s="397" t="s">
        <v>121</v>
      </c>
      <c r="CV104" s="397" t="s">
        <v>121</v>
      </c>
      <c r="CW104" s="397" t="s">
        <v>121</v>
      </c>
      <c r="CX104" s="397" t="s">
        <v>121</v>
      </c>
      <c r="CY104" s="397" t="s">
        <v>121</v>
      </c>
      <c r="CZ104" s="397" t="s">
        <v>121</v>
      </c>
      <c r="DA104" s="397" t="s">
        <v>121</v>
      </c>
      <c r="DB104" s="397" t="s">
        <v>121</v>
      </c>
      <c r="DC104" s="397" t="s">
        <v>121</v>
      </c>
      <c r="DD104" s="397" t="s">
        <v>121</v>
      </c>
      <c r="DE104" s="397" t="s">
        <v>121</v>
      </c>
      <c r="DF104" s="397" t="s">
        <v>121</v>
      </c>
      <c r="DG104" s="397" t="s">
        <v>121</v>
      </c>
      <c r="DH104" s="397" t="s">
        <v>121</v>
      </c>
      <c r="DI104" s="397" t="s">
        <v>121</v>
      </c>
      <c r="DJ104" s="397" t="s">
        <v>121</v>
      </c>
      <c r="DK104" s="397" t="s">
        <v>121</v>
      </c>
      <c r="DL104" s="397" t="s">
        <v>121</v>
      </c>
      <c r="DM104" s="397" t="s">
        <v>121</v>
      </c>
      <c r="DN104" s="397" t="s">
        <v>121</v>
      </c>
      <c r="DO104" s="397" t="s">
        <v>121</v>
      </c>
      <c r="DP104" s="397" t="s">
        <v>121</v>
      </c>
      <c r="DQ104" s="397" t="s">
        <v>121</v>
      </c>
      <c r="DR104" s="397" t="s">
        <v>121</v>
      </c>
      <c r="DS104" s="397" t="s">
        <v>121</v>
      </c>
      <c r="DT104" s="397" t="s">
        <v>121</v>
      </c>
      <c r="DU104" s="397" t="s">
        <v>121</v>
      </c>
      <c r="DV104" s="397" t="s">
        <v>121</v>
      </c>
      <c r="DW104" s="397" t="s">
        <v>121</v>
      </c>
      <c r="DX104" s="397" t="s">
        <v>121</v>
      </c>
      <c r="DY104" s="397" t="s">
        <v>121</v>
      </c>
      <c r="DZ104" s="397" t="s">
        <v>121</v>
      </c>
      <c r="EA104" s="397" t="s">
        <v>121</v>
      </c>
      <c r="EB104" s="397" t="s">
        <v>121</v>
      </c>
      <c r="EC104" s="397" t="s">
        <v>121</v>
      </c>
      <c r="ED104" s="397" t="s">
        <v>121</v>
      </c>
      <c r="EE104" s="397" t="s">
        <v>121</v>
      </c>
      <c r="EF104" s="397" t="s">
        <v>121</v>
      </c>
      <c r="EG104" s="397" t="s">
        <v>121</v>
      </c>
      <c r="EH104" s="397" t="s">
        <v>121</v>
      </c>
      <c r="EI104" s="397" t="s">
        <v>121</v>
      </c>
      <c r="EJ104" s="397" t="s">
        <v>121</v>
      </c>
      <c r="EK104" s="397" t="s">
        <v>121</v>
      </c>
      <c r="EL104" s="397" t="s">
        <v>121</v>
      </c>
      <c r="EM104" s="397" t="s">
        <v>121</v>
      </c>
      <c r="EN104" s="397" t="s">
        <v>121</v>
      </c>
      <c r="EO104" s="397" t="s">
        <v>121</v>
      </c>
      <c r="EP104" s="397" t="s">
        <v>121</v>
      </c>
      <c r="EQ104" s="397" t="s">
        <v>121</v>
      </c>
      <c r="ER104" s="397" t="s">
        <v>121</v>
      </c>
      <c r="ES104" s="397" t="s">
        <v>121</v>
      </c>
      <c r="ET104" s="397" t="s">
        <v>121</v>
      </c>
      <c r="EU104" s="397" t="s">
        <v>121</v>
      </c>
      <c r="EV104" s="397" t="s">
        <v>121</v>
      </c>
      <c r="EW104" s="397" t="s">
        <v>121</v>
      </c>
      <c r="EX104" s="397" t="s">
        <v>121</v>
      </c>
      <c r="EY104" s="397"/>
      <c r="EZ104" s="397"/>
      <c r="FA104" s="397"/>
      <c r="FB104" s="397"/>
      <c r="FC104" s="397"/>
      <c r="FD104" s="397"/>
      <c r="FE104" s="397"/>
      <c r="FF104" s="397"/>
      <c r="FG104" s="397"/>
      <c r="FH104" s="397"/>
      <c r="FI104" s="397"/>
      <c r="FJ104" s="397"/>
      <c r="FK104" s="397"/>
      <c r="FL104" s="397"/>
    </row>
    <row r="105" spans="1:168" s="352" customFormat="1" ht="18.75" customHeight="1" x14ac:dyDescent="0.25">
      <c r="A105" s="273">
        <v>105</v>
      </c>
      <c r="B105" s="305" t="s">
        <v>426</v>
      </c>
      <c r="C105" s="345" t="s">
        <v>121</v>
      </c>
      <c r="D105" s="275" t="s">
        <v>121</v>
      </c>
      <c r="E105" s="270" t="s">
        <v>121</v>
      </c>
      <c r="F105" s="255">
        <v>-2797</v>
      </c>
      <c r="G105" s="255">
        <v>-2837</v>
      </c>
      <c r="H105" s="255">
        <v>-4929</v>
      </c>
      <c r="I105" s="255">
        <v>-3064</v>
      </c>
      <c r="J105" s="255">
        <v>-3147</v>
      </c>
      <c r="K105" s="255">
        <v>-2656</v>
      </c>
      <c r="L105" s="255">
        <v>-3070</v>
      </c>
      <c r="M105" s="255">
        <v>-4667</v>
      </c>
      <c r="N105" s="255">
        <v>-2164</v>
      </c>
      <c r="O105" s="255">
        <v>-3446</v>
      </c>
      <c r="P105" s="255">
        <v>-3623</v>
      </c>
      <c r="Q105" s="405"/>
      <c r="R105" s="405"/>
      <c r="S105" s="405"/>
      <c r="T105" s="405"/>
      <c r="U105" s="255">
        <v>-1689</v>
      </c>
      <c r="V105" s="255">
        <v>-1034</v>
      </c>
      <c r="W105" s="255">
        <v>-1120</v>
      </c>
      <c r="X105" s="255">
        <v>-697</v>
      </c>
      <c r="Y105" s="255">
        <v>-832.62599999999998</v>
      </c>
      <c r="Z105" s="255">
        <v>-1029.732</v>
      </c>
      <c r="AA105" s="255">
        <v>-310.51000000000005</v>
      </c>
      <c r="AB105" s="255">
        <v>-510.13200000000001</v>
      </c>
      <c r="AC105" s="255">
        <v>-558.62000000000012</v>
      </c>
      <c r="AD105" s="255">
        <v>-448.11400000000003</v>
      </c>
      <c r="AE105" s="255">
        <v>-544.38099999999997</v>
      </c>
      <c r="AF105" s="255">
        <v>-260.92899999999997</v>
      </c>
      <c r="AG105" s="255">
        <v>-690.88700000000017</v>
      </c>
      <c r="AH105" s="255">
        <v>-345.21599999999989</v>
      </c>
      <c r="AI105" s="255">
        <v>-700.21</v>
      </c>
      <c r="AJ105" s="255">
        <v>-423.80799999999999</v>
      </c>
      <c r="AK105" s="255">
        <v>-448.74399999999991</v>
      </c>
      <c r="AL105" s="255">
        <v>-605.33900000000006</v>
      </c>
      <c r="AM105" s="255">
        <v>-450.63399999999996</v>
      </c>
      <c r="AN105" s="255">
        <v>-359.54599999999999</v>
      </c>
      <c r="AO105" s="255">
        <v>-201.60500000000002</v>
      </c>
      <c r="AP105" s="255">
        <v>-226.36</v>
      </c>
      <c r="AQ105" s="255">
        <v>-82.223000000000013</v>
      </c>
      <c r="AR105" s="255">
        <v>-345.25700000000001</v>
      </c>
      <c r="AS105" s="255">
        <v>-453.32400000000001</v>
      </c>
      <c r="AT105" s="255">
        <v>-223.31799999999993</v>
      </c>
      <c r="AU105" s="255">
        <v>-305.18700000000001</v>
      </c>
      <c r="AV105" s="255">
        <v>-146.68</v>
      </c>
      <c r="AW105" s="255">
        <v>-235.09400000000005</v>
      </c>
      <c r="AX105" s="255">
        <v>-346.26</v>
      </c>
      <c r="AY105" s="255">
        <v>-400.63699999999994</v>
      </c>
      <c r="AZ105" s="255">
        <v>-270.96100000000001</v>
      </c>
      <c r="BA105" s="255">
        <v>-794.17099999999994</v>
      </c>
      <c r="BB105" s="255">
        <v>-435.79300000000001</v>
      </c>
      <c r="BC105" s="255">
        <v>-263.85000000000002</v>
      </c>
      <c r="BD105" s="255">
        <v>-294.38900000000001</v>
      </c>
      <c r="BE105" s="255">
        <v>-188.32299999999998</v>
      </c>
      <c r="BF105" s="255">
        <v>-182.12899999999999</v>
      </c>
      <c r="BG105" s="255">
        <v>-40.5</v>
      </c>
      <c r="BH105" s="255">
        <v>-68.561000000000007</v>
      </c>
      <c r="BI105" s="255">
        <v>-91.265000000000001</v>
      </c>
      <c r="BJ105" s="255">
        <v>-272.649</v>
      </c>
      <c r="BK105" s="255">
        <v>-658.04899999999998</v>
      </c>
      <c r="BL105" s="255">
        <v>-379.68099999999998</v>
      </c>
      <c r="BM105" s="352">
        <v>-472.18</v>
      </c>
      <c r="BN105" s="352">
        <v>-114.29900000000001</v>
      </c>
      <c r="BO105" s="352">
        <v>-300.52800000000002</v>
      </c>
      <c r="BP105" s="352">
        <v>-135.26499999999999</v>
      </c>
      <c r="BQ105" s="352" t="s">
        <v>121</v>
      </c>
      <c r="BR105" s="352" t="s">
        <v>121</v>
      </c>
      <c r="BS105" s="352" t="s">
        <v>121</v>
      </c>
      <c r="BT105" s="352" t="s">
        <v>121</v>
      </c>
      <c r="BU105" s="352" t="s">
        <v>121</v>
      </c>
      <c r="BV105" s="352" t="s">
        <v>121</v>
      </c>
      <c r="BW105" s="352" t="s">
        <v>121</v>
      </c>
      <c r="BX105" s="352" t="s">
        <v>121</v>
      </c>
      <c r="BY105" s="352" t="s">
        <v>121</v>
      </c>
      <c r="BZ105" s="352" t="s">
        <v>121</v>
      </c>
      <c r="CA105" s="352" t="s">
        <v>121</v>
      </c>
      <c r="CB105" s="352" t="s">
        <v>121</v>
      </c>
      <c r="CC105" s="352" t="s">
        <v>121</v>
      </c>
      <c r="CD105" s="352" t="s">
        <v>121</v>
      </c>
      <c r="CE105" s="352" t="s">
        <v>121</v>
      </c>
      <c r="CF105" s="352" t="s">
        <v>121</v>
      </c>
      <c r="CG105" s="352" t="s">
        <v>121</v>
      </c>
      <c r="CH105" s="352" t="s">
        <v>121</v>
      </c>
      <c r="CI105" s="352" t="s">
        <v>121</v>
      </c>
      <c r="CJ105" s="352" t="s">
        <v>121</v>
      </c>
      <c r="CK105" s="352" t="s">
        <v>121</v>
      </c>
      <c r="CL105" s="352" t="s">
        <v>121</v>
      </c>
      <c r="CM105" s="352" t="s">
        <v>121</v>
      </c>
      <c r="CN105" s="352" t="s">
        <v>121</v>
      </c>
      <c r="CO105" s="352" t="s">
        <v>121</v>
      </c>
      <c r="CP105" s="352" t="s">
        <v>121</v>
      </c>
      <c r="CQ105" s="352" t="s">
        <v>121</v>
      </c>
      <c r="CR105" s="352" t="s">
        <v>121</v>
      </c>
      <c r="CS105" s="352" t="s">
        <v>121</v>
      </c>
      <c r="CT105" s="352" t="s">
        <v>121</v>
      </c>
      <c r="CU105" s="352" t="s">
        <v>121</v>
      </c>
      <c r="CV105" s="352" t="s">
        <v>121</v>
      </c>
      <c r="CW105" s="352" t="s">
        <v>121</v>
      </c>
      <c r="CX105" s="352" t="s">
        <v>121</v>
      </c>
      <c r="CY105" s="352" t="s">
        <v>121</v>
      </c>
      <c r="CZ105" s="352" t="s">
        <v>121</v>
      </c>
      <c r="DA105" s="352" t="s">
        <v>121</v>
      </c>
      <c r="DB105" s="352" t="s">
        <v>121</v>
      </c>
      <c r="DC105" s="352" t="s">
        <v>121</v>
      </c>
      <c r="DD105" s="352" t="s">
        <v>121</v>
      </c>
      <c r="DE105" s="352" t="s">
        <v>121</v>
      </c>
      <c r="DF105" s="352" t="s">
        <v>121</v>
      </c>
      <c r="DG105" s="352" t="s">
        <v>121</v>
      </c>
      <c r="DH105" s="352" t="s">
        <v>121</v>
      </c>
      <c r="DI105" s="352" t="s">
        <v>121</v>
      </c>
      <c r="DJ105" s="352" t="s">
        <v>121</v>
      </c>
      <c r="DK105" s="352" t="s">
        <v>121</v>
      </c>
      <c r="DL105" s="352" t="s">
        <v>121</v>
      </c>
      <c r="DM105" s="352" t="s">
        <v>121</v>
      </c>
      <c r="DN105" s="352" t="s">
        <v>121</v>
      </c>
      <c r="DO105" s="352" t="s">
        <v>121</v>
      </c>
      <c r="DP105" s="352" t="s">
        <v>121</v>
      </c>
      <c r="DQ105" s="352" t="s">
        <v>121</v>
      </c>
      <c r="DR105" s="352" t="s">
        <v>121</v>
      </c>
      <c r="DS105" s="352" t="s">
        <v>121</v>
      </c>
      <c r="DT105" s="352" t="s">
        <v>121</v>
      </c>
      <c r="DU105" s="352" t="s">
        <v>121</v>
      </c>
      <c r="DV105" s="352" t="s">
        <v>121</v>
      </c>
      <c r="DW105" s="352" t="s">
        <v>121</v>
      </c>
      <c r="DX105" s="352" t="s">
        <v>121</v>
      </c>
      <c r="DY105" s="352" t="s">
        <v>121</v>
      </c>
      <c r="DZ105" s="352" t="s">
        <v>121</v>
      </c>
      <c r="EA105" s="352" t="s">
        <v>121</v>
      </c>
      <c r="EB105" s="352" t="s">
        <v>121</v>
      </c>
      <c r="EC105" s="352" t="s">
        <v>121</v>
      </c>
      <c r="ED105" s="352" t="s">
        <v>121</v>
      </c>
      <c r="EE105" s="352" t="s">
        <v>121</v>
      </c>
      <c r="EF105" s="352" t="s">
        <v>121</v>
      </c>
      <c r="EG105" s="352" t="s">
        <v>121</v>
      </c>
      <c r="EH105" s="352" t="s">
        <v>121</v>
      </c>
      <c r="EI105" s="352" t="s">
        <v>121</v>
      </c>
      <c r="EJ105" s="352" t="s">
        <v>121</v>
      </c>
      <c r="EK105" s="352" t="s">
        <v>121</v>
      </c>
      <c r="EL105" s="352" t="s">
        <v>121</v>
      </c>
      <c r="EM105" s="352" t="s">
        <v>121</v>
      </c>
      <c r="EN105" s="352" t="s">
        <v>121</v>
      </c>
      <c r="EO105" s="352" t="s">
        <v>121</v>
      </c>
      <c r="EP105" s="352" t="s">
        <v>121</v>
      </c>
      <c r="EQ105" s="352" t="s">
        <v>121</v>
      </c>
      <c r="ER105" s="352" t="s">
        <v>121</v>
      </c>
      <c r="ES105" s="352" t="s">
        <v>121</v>
      </c>
      <c r="ET105" s="352" t="s">
        <v>121</v>
      </c>
      <c r="EU105" s="352" t="s">
        <v>121</v>
      </c>
      <c r="EV105" s="352" t="s">
        <v>121</v>
      </c>
      <c r="EW105" s="352" t="s">
        <v>121</v>
      </c>
      <c r="EX105" s="352" t="s">
        <v>121</v>
      </c>
    </row>
    <row r="106" spans="1:168" s="397" customFormat="1" ht="26.25" customHeight="1" x14ac:dyDescent="0.25">
      <c r="A106" s="273">
        <v>106</v>
      </c>
      <c r="B106" s="396" t="s">
        <v>427</v>
      </c>
      <c r="C106" s="345" t="s">
        <v>121</v>
      </c>
      <c r="D106" s="275" t="s">
        <v>121</v>
      </c>
      <c r="E106" s="383" t="s">
        <v>121</v>
      </c>
      <c r="F106" s="256" t="s">
        <v>121</v>
      </c>
      <c r="G106" s="256" t="s">
        <v>121</v>
      </c>
      <c r="H106" s="256" t="s">
        <v>121</v>
      </c>
      <c r="I106" s="256" t="s">
        <v>121</v>
      </c>
      <c r="J106" s="256" t="s">
        <v>121</v>
      </c>
      <c r="K106" s="256" t="s">
        <v>121</v>
      </c>
      <c r="L106" s="256" t="s">
        <v>121</v>
      </c>
      <c r="M106" s="256" t="s">
        <v>121</v>
      </c>
      <c r="N106" s="256" t="s">
        <v>121</v>
      </c>
      <c r="O106" s="256" t="s">
        <v>121</v>
      </c>
      <c r="P106" s="256" t="s">
        <v>121</v>
      </c>
      <c r="Q106" s="405"/>
      <c r="R106" s="405"/>
      <c r="S106" s="405"/>
      <c r="T106" s="405"/>
      <c r="U106" s="256" t="s">
        <v>121</v>
      </c>
      <c r="V106" s="256" t="s">
        <v>121</v>
      </c>
      <c r="W106" s="256" t="s">
        <v>121</v>
      </c>
      <c r="X106" s="256" t="s">
        <v>121</v>
      </c>
      <c r="Y106" s="256" t="s">
        <v>121</v>
      </c>
      <c r="Z106" s="256" t="s">
        <v>121</v>
      </c>
      <c r="AA106" s="256" t="s">
        <v>121</v>
      </c>
      <c r="AB106" s="256" t="s">
        <v>121</v>
      </c>
      <c r="AC106" s="256" t="s">
        <v>121</v>
      </c>
      <c r="AD106" s="256" t="s">
        <v>121</v>
      </c>
      <c r="AE106" s="256" t="s">
        <v>121</v>
      </c>
      <c r="AF106" s="255" t="s">
        <v>121</v>
      </c>
      <c r="AG106" s="255" t="s">
        <v>121</v>
      </c>
      <c r="AH106" s="255" t="s">
        <v>121</v>
      </c>
      <c r="AI106" s="256" t="s">
        <v>121</v>
      </c>
      <c r="AJ106" s="256" t="s">
        <v>121</v>
      </c>
      <c r="AK106" s="256" t="s">
        <v>121</v>
      </c>
      <c r="AL106" s="256" t="s">
        <v>121</v>
      </c>
      <c r="AM106" s="256" t="s">
        <v>121</v>
      </c>
      <c r="AN106" s="256" t="s">
        <v>121</v>
      </c>
      <c r="AO106" s="256" t="s">
        <v>121</v>
      </c>
      <c r="AP106" s="256" t="s">
        <v>121</v>
      </c>
      <c r="AQ106" s="256" t="s">
        <v>121</v>
      </c>
      <c r="AR106" s="256" t="s">
        <v>121</v>
      </c>
      <c r="AS106" s="256" t="s">
        <v>121</v>
      </c>
      <c r="AT106" s="256" t="s">
        <v>121</v>
      </c>
      <c r="AU106" s="256" t="s">
        <v>121</v>
      </c>
      <c r="AV106" s="256" t="s">
        <v>121</v>
      </c>
      <c r="AW106" s="256" t="s">
        <v>121</v>
      </c>
      <c r="AX106" s="291" t="s">
        <v>121</v>
      </c>
      <c r="AY106" s="291" t="s">
        <v>121</v>
      </c>
      <c r="AZ106" s="256" t="s">
        <v>121</v>
      </c>
      <c r="BA106" s="291" t="s">
        <v>121</v>
      </c>
      <c r="BB106" s="291" t="s">
        <v>121</v>
      </c>
      <c r="BC106" s="291" t="s">
        <v>121</v>
      </c>
      <c r="BD106" s="291" t="s">
        <v>121</v>
      </c>
      <c r="BE106" s="291" t="s">
        <v>121</v>
      </c>
      <c r="BF106" s="291" t="s">
        <v>121</v>
      </c>
      <c r="BG106" s="291" t="s">
        <v>121</v>
      </c>
      <c r="BH106" s="291" t="s">
        <v>121</v>
      </c>
      <c r="BI106" s="291" t="s">
        <v>121</v>
      </c>
      <c r="BJ106" s="291" t="s">
        <v>121</v>
      </c>
      <c r="BK106" s="291" t="s">
        <v>121</v>
      </c>
      <c r="BL106" s="291" t="s">
        <v>121</v>
      </c>
      <c r="BM106" s="397" t="s">
        <v>121</v>
      </c>
      <c r="BN106" s="397" t="s">
        <v>121</v>
      </c>
      <c r="BO106" s="397" t="s">
        <v>121</v>
      </c>
      <c r="BP106" s="397" t="s">
        <v>121</v>
      </c>
      <c r="BQ106" s="397" t="s">
        <v>121</v>
      </c>
      <c r="BR106" s="397" t="s">
        <v>121</v>
      </c>
      <c r="BS106" s="397" t="s">
        <v>121</v>
      </c>
      <c r="BT106" s="397" t="s">
        <v>121</v>
      </c>
      <c r="BU106" s="397" t="s">
        <v>121</v>
      </c>
      <c r="BV106" s="397" t="s">
        <v>121</v>
      </c>
      <c r="BW106" s="397" t="s">
        <v>121</v>
      </c>
      <c r="BX106" s="397" t="s">
        <v>121</v>
      </c>
      <c r="BY106" s="397" t="s">
        <v>121</v>
      </c>
      <c r="BZ106" s="397" t="s">
        <v>121</v>
      </c>
      <c r="CA106" s="397" t="s">
        <v>121</v>
      </c>
      <c r="CB106" s="397" t="s">
        <v>121</v>
      </c>
      <c r="CC106" s="397" t="s">
        <v>121</v>
      </c>
      <c r="CD106" s="397" t="s">
        <v>121</v>
      </c>
      <c r="CE106" s="397" t="s">
        <v>121</v>
      </c>
      <c r="CF106" s="397" t="s">
        <v>121</v>
      </c>
      <c r="CG106" s="397" t="s">
        <v>121</v>
      </c>
      <c r="CH106" s="397" t="s">
        <v>121</v>
      </c>
      <c r="CI106" s="397" t="s">
        <v>121</v>
      </c>
      <c r="CJ106" s="397" t="s">
        <v>121</v>
      </c>
      <c r="CK106" s="397" t="s">
        <v>121</v>
      </c>
      <c r="CL106" s="397" t="s">
        <v>121</v>
      </c>
      <c r="CM106" s="397" t="s">
        <v>121</v>
      </c>
      <c r="CN106" s="397" t="s">
        <v>121</v>
      </c>
      <c r="CO106" s="397" t="s">
        <v>121</v>
      </c>
      <c r="CP106" s="397" t="s">
        <v>121</v>
      </c>
      <c r="CQ106" s="397" t="s">
        <v>121</v>
      </c>
      <c r="CR106" s="397" t="s">
        <v>121</v>
      </c>
      <c r="CS106" s="397" t="s">
        <v>121</v>
      </c>
      <c r="CT106" s="397" t="s">
        <v>121</v>
      </c>
      <c r="CU106" s="397" t="s">
        <v>121</v>
      </c>
      <c r="CV106" s="397" t="s">
        <v>121</v>
      </c>
      <c r="CW106" s="397" t="s">
        <v>121</v>
      </c>
      <c r="CX106" s="397" t="s">
        <v>121</v>
      </c>
      <c r="CY106" s="397" t="s">
        <v>121</v>
      </c>
      <c r="CZ106" s="397" t="s">
        <v>121</v>
      </c>
      <c r="DA106" s="397" t="s">
        <v>121</v>
      </c>
      <c r="DB106" s="397" t="s">
        <v>121</v>
      </c>
      <c r="DC106" s="397" t="s">
        <v>121</v>
      </c>
      <c r="DD106" s="397" t="s">
        <v>121</v>
      </c>
      <c r="DE106" s="397" t="s">
        <v>121</v>
      </c>
      <c r="DF106" s="397" t="s">
        <v>121</v>
      </c>
      <c r="DG106" s="397" t="s">
        <v>121</v>
      </c>
      <c r="DH106" s="397" t="s">
        <v>121</v>
      </c>
      <c r="DI106" s="397" t="s">
        <v>121</v>
      </c>
      <c r="DJ106" s="397" t="s">
        <v>121</v>
      </c>
      <c r="DK106" s="397" t="s">
        <v>121</v>
      </c>
      <c r="DL106" s="397" t="s">
        <v>121</v>
      </c>
      <c r="DM106" s="397" t="s">
        <v>121</v>
      </c>
      <c r="DN106" s="397" t="s">
        <v>121</v>
      </c>
      <c r="DO106" s="397" t="s">
        <v>121</v>
      </c>
      <c r="DP106" s="397" t="s">
        <v>121</v>
      </c>
      <c r="DQ106" s="397" t="s">
        <v>121</v>
      </c>
      <c r="DR106" s="397" t="s">
        <v>121</v>
      </c>
      <c r="DS106" s="397" t="s">
        <v>121</v>
      </c>
      <c r="DT106" s="397" t="s">
        <v>121</v>
      </c>
      <c r="DU106" s="397" t="s">
        <v>121</v>
      </c>
      <c r="DV106" s="397" t="s">
        <v>121</v>
      </c>
      <c r="DW106" s="397" t="s">
        <v>121</v>
      </c>
      <c r="DX106" s="397" t="s">
        <v>121</v>
      </c>
      <c r="DY106" s="397" t="s">
        <v>121</v>
      </c>
      <c r="DZ106" s="397" t="s">
        <v>121</v>
      </c>
      <c r="EA106" s="397" t="s">
        <v>121</v>
      </c>
      <c r="EB106" s="397" t="s">
        <v>121</v>
      </c>
      <c r="EC106" s="397" t="s">
        <v>121</v>
      </c>
      <c r="ED106" s="397" t="s">
        <v>121</v>
      </c>
      <c r="EE106" s="397" t="s">
        <v>121</v>
      </c>
      <c r="EF106" s="397" t="s">
        <v>121</v>
      </c>
      <c r="EG106" s="397" t="s">
        <v>121</v>
      </c>
      <c r="EH106" s="397" t="s">
        <v>121</v>
      </c>
      <c r="EI106" s="397" t="s">
        <v>121</v>
      </c>
      <c r="EJ106" s="397" t="s">
        <v>121</v>
      </c>
      <c r="EK106" s="397" t="s">
        <v>121</v>
      </c>
      <c r="EL106" s="397" t="s">
        <v>121</v>
      </c>
      <c r="EM106" s="397" t="s">
        <v>121</v>
      </c>
      <c r="EN106" s="397" t="s">
        <v>121</v>
      </c>
      <c r="EO106" s="397" t="s">
        <v>121</v>
      </c>
      <c r="EP106" s="397" t="s">
        <v>121</v>
      </c>
      <c r="EQ106" s="397" t="s">
        <v>121</v>
      </c>
      <c r="ER106" s="397" t="s">
        <v>121</v>
      </c>
      <c r="ES106" s="397" t="s">
        <v>121</v>
      </c>
      <c r="ET106" s="397" t="s">
        <v>121</v>
      </c>
      <c r="EU106" s="397" t="s">
        <v>121</v>
      </c>
      <c r="EV106" s="397" t="s">
        <v>121</v>
      </c>
      <c r="EW106" s="397" t="s">
        <v>121</v>
      </c>
      <c r="EX106" s="397" t="s">
        <v>121</v>
      </c>
    </row>
    <row r="107" spans="1:168" s="397" customFormat="1" ht="15" customHeight="1" x14ac:dyDescent="0.25">
      <c r="A107" s="273">
        <v>107</v>
      </c>
      <c r="B107" s="305" t="s">
        <v>428</v>
      </c>
      <c r="C107" s="345" t="s">
        <v>121</v>
      </c>
      <c r="D107" s="275" t="s">
        <v>121</v>
      </c>
      <c r="E107" s="383" t="s">
        <v>121</v>
      </c>
      <c r="F107" s="255">
        <v>8763</v>
      </c>
      <c r="G107" s="255">
        <v>9125</v>
      </c>
      <c r="H107" s="255">
        <v>15527</v>
      </c>
      <c r="I107" s="255">
        <v>13209</v>
      </c>
      <c r="J107" s="255">
        <v>13263</v>
      </c>
      <c r="K107" s="255">
        <v>11287</v>
      </c>
      <c r="L107" s="255">
        <v>13020</v>
      </c>
      <c r="M107" s="255">
        <v>10435</v>
      </c>
      <c r="N107" s="255">
        <v>8525</v>
      </c>
      <c r="O107" s="255">
        <v>13734</v>
      </c>
      <c r="P107" s="255">
        <v>14621</v>
      </c>
      <c r="Q107" s="405"/>
      <c r="R107" s="405"/>
      <c r="S107" s="405"/>
      <c r="T107" s="405"/>
      <c r="U107" s="255">
        <v>6677</v>
      </c>
      <c r="V107" s="255">
        <v>4137</v>
      </c>
      <c r="W107" s="255">
        <v>4876</v>
      </c>
      <c r="X107" s="255">
        <v>2393</v>
      </c>
      <c r="Y107" s="255">
        <v>4478.4600000000028</v>
      </c>
      <c r="Z107" s="255">
        <v>2750.243999999996</v>
      </c>
      <c r="AA107" s="255">
        <v>2017.1330000000012</v>
      </c>
      <c r="AB107" s="255">
        <v>1581.163</v>
      </c>
      <c r="AC107" s="255">
        <v>2377.2729999999992</v>
      </c>
      <c r="AD107" s="255">
        <v>2056.6600000000003</v>
      </c>
      <c r="AE107" s="255">
        <v>2190.9210000000003</v>
      </c>
      <c r="AF107" s="255">
        <v>1281.037</v>
      </c>
      <c r="AG107" s="255">
        <v>2553.8509999999997</v>
      </c>
      <c r="AH107" s="255">
        <v>2038.3519999999999</v>
      </c>
      <c r="AI107" s="255">
        <v>2510.7629999999999</v>
      </c>
      <c r="AJ107" s="255">
        <v>1834.075</v>
      </c>
      <c r="AK107" s="255">
        <v>1746.6619999999994</v>
      </c>
      <c r="AL107" s="255">
        <v>2387.174</v>
      </c>
      <c r="AM107" s="255">
        <v>1818.4109999999987</v>
      </c>
      <c r="AN107" s="255">
        <v>1672.844000000001</v>
      </c>
      <c r="AO107" s="255">
        <v>1422.6719999999991</v>
      </c>
      <c r="AP107" s="255">
        <v>1315.956000000001</v>
      </c>
      <c r="AQ107" s="255">
        <v>1051.0119999999981</v>
      </c>
      <c r="AR107" s="255">
        <v>1178.8510000000006</v>
      </c>
      <c r="AS107" s="255">
        <v>1168.1830000000027</v>
      </c>
      <c r="AT107" s="255">
        <v>1420.6899999999951</v>
      </c>
      <c r="AU107" s="255">
        <v>1020.4610000000013</v>
      </c>
      <c r="AV107" s="255">
        <v>862.88799999999969</v>
      </c>
      <c r="AW107" s="255">
        <v>1068.0550000000035</v>
      </c>
      <c r="AX107" s="255">
        <v>1489.8400000000011</v>
      </c>
      <c r="AY107" s="255">
        <v>1207.4859999999996</v>
      </c>
      <c r="AZ107" s="255">
        <v>2012.5230000000004</v>
      </c>
      <c r="BA107" s="255">
        <v>1434.4760000000019</v>
      </c>
      <c r="BB107" s="255">
        <v>1327.7309999999998</v>
      </c>
      <c r="BC107" s="255">
        <v>1207.0020000000009</v>
      </c>
      <c r="BD107" s="255">
        <v>1338.2549999999997</v>
      </c>
      <c r="BE107" s="255">
        <v>637.1570000000014</v>
      </c>
      <c r="BF107" s="255">
        <v>918.65500000000054</v>
      </c>
      <c r="BG107" s="255">
        <v>438.58499999999981</v>
      </c>
      <c r="BH107" s="255">
        <v>452.20899999999972</v>
      </c>
      <c r="BI107" s="255">
        <v>524.82599999999979</v>
      </c>
      <c r="BJ107" s="255">
        <v>1371.6929999999998</v>
      </c>
      <c r="BK107" s="255">
        <v>1712.17</v>
      </c>
      <c r="BL107" s="255">
        <v>2257.8780000000006</v>
      </c>
      <c r="BM107" s="397">
        <v>1976.3860000000006</v>
      </c>
      <c r="BN107" s="397">
        <v>1316.1240000000005</v>
      </c>
      <c r="BO107" s="397">
        <v>918.89900000000057</v>
      </c>
      <c r="BP107" s="397">
        <v>469.16200000000026</v>
      </c>
      <c r="BQ107" s="397" t="s">
        <v>121</v>
      </c>
      <c r="BR107" s="397" t="s">
        <v>121</v>
      </c>
      <c r="BS107" s="397" t="s">
        <v>121</v>
      </c>
      <c r="BT107" s="397" t="s">
        <v>121</v>
      </c>
      <c r="BU107" s="397" t="s">
        <v>121</v>
      </c>
      <c r="BV107" s="397" t="s">
        <v>121</v>
      </c>
      <c r="BW107" s="397" t="s">
        <v>121</v>
      </c>
      <c r="BX107" s="397" t="s">
        <v>121</v>
      </c>
      <c r="BY107" s="397" t="s">
        <v>121</v>
      </c>
      <c r="BZ107" s="397" t="s">
        <v>121</v>
      </c>
      <c r="CA107" s="397" t="s">
        <v>121</v>
      </c>
      <c r="CB107" s="397" t="s">
        <v>121</v>
      </c>
      <c r="CC107" s="397" t="s">
        <v>121</v>
      </c>
      <c r="CD107" s="397" t="s">
        <v>121</v>
      </c>
      <c r="CE107" s="397" t="s">
        <v>121</v>
      </c>
      <c r="CF107" s="397" t="s">
        <v>121</v>
      </c>
      <c r="CG107" s="397" t="s">
        <v>121</v>
      </c>
      <c r="CH107" s="397" t="s">
        <v>121</v>
      </c>
      <c r="CI107" s="397" t="s">
        <v>121</v>
      </c>
      <c r="CJ107" s="397" t="s">
        <v>121</v>
      </c>
      <c r="CK107" s="397" t="s">
        <v>121</v>
      </c>
      <c r="CL107" s="397" t="s">
        <v>121</v>
      </c>
      <c r="CM107" s="397" t="s">
        <v>121</v>
      </c>
      <c r="CN107" s="397" t="s">
        <v>121</v>
      </c>
      <c r="CO107" s="397" t="s">
        <v>121</v>
      </c>
      <c r="CP107" s="397" t="s">
        <v>121</v>
      </c>
      <c r="CQ107" s="397" t="s">
        <v>121</v>
      </c>
      <c r="CR107" s="397" t="s">
        <v>121</v>
      </c>
      <c r="CS107" s="397" t="s">
        <v>121</v>
      </c>
      <c r="CT107" s="397" t="s">
        <v>121</v>
      </c>
      <c r="CU107" s="397" t="s">
        <v>121</v>
      </c>
      <c r="CV107" s="397" t="s">
        <v>121</v>
      </c>
      <c r="CW107" s="397" t="s">
        <v>121</v>
      </c>
      <c r="CX107" s="397" t="s">
        <v>121</v>
      </c>
      <c r="CY107" s="397" t="s">
        <v>121</v>
      </c>
      <c r="CZ107" s="397" t="s">
        <v>121</v>
      </c>
      <c r="DA107" s="397" t="s">
        <v>121</v>
      </c>
      <c r="DB107" s="397" t="s">
        <v>121</v>
      </c>
      <c r="DC107" s="397" t="s">
        <v>121</v>
      </c>
      <c r="DD107" s="397" t="s">
        <v>121</v>
      </c>
      <c r="DE107" s="397" t="s">
        <v>121</v>
      </c>
      <c r="DF107" s="397" t="s">
        <v>121</v>
      </c>
      <c r="DG107" s="397" t="s">
        <v>121</v>
      </c>
      <c r="DH107" s="397" t="s">
        <v>121</v>
      </c>
      <c r="DI107" s="397" t="s">
        <v>121</v>
      </c>
      <c r="DJ107" s="397" t="s">
        <v>121</v>
      </c>
      <c r="DK107" s="397" t="s">
        <v>121</v>
      </c>
      <c r="DL107" s="397" t="s">
        <v>121</v>
      </c>
      <c r="DM107" s="397" t="s">
        <v>121</v>
      </c>
      <c r="DN107" s="397" t="s">
        <v>121</v>
      </c>
      <c r="DO107" s="397" t="s">
        <v>121</v>
      </c>
      <c r="DP107" s="397" t="s">
        <v>121</v>
      </c>
      <c r="DQ107" s="397" t="s">
        <v>121</v>
      </c>
      <c r="DR107" s="397" t="s">
        <v>121</v>
      </c>
      <c r="DS107" s="397" t="s">
        <v>121</v>
      </c>
      <c r="DT107" s="397" t="s">
        <v>121</v>
      </c>
      <c r="DU107" s="397" t="s">
        <v>121</v>
      </c>
      <c r="DV107" s="397" t="s">
        <v>121</v>
      </c>
      <c r="DW107" s="397" t="s">
        <v>121</v>
      </c>
      <c r="DX107" s="397" t="s">
        <v>121</v>
      </c>
      <c r="DY107" s="397" t="s">
        <v>121</v>
      </c>
      <c r="DZ107" s="397" t="s">
        <v>121</v>
      </c>
      <c r="EA107" s="397" t="s">
        <v>121</v>
      </c>
      <c r="EB107" s="397" t="s">
        <v>121</v>
      </c>
      <c r="EC107" s="397" t="s">
        <v>121</v>
      </c>
      <c r="ED107" s="397" t="s">
        <v>121</v>
      </c>
      <c r="EE107" s="397" t="s">
        <v>121</v>
      </c>
      <c r="EF107" s="397" t="s">
        <v>121</v>
      </c>
      <c r="EG107" s="397" t="s">
        <v>121</v>
      </c>
      <c r="EH107" s="397" t="s">
        <v>121</v>
      </c>
      <c r="EI107" s="397" t="s">
        <v>121</v>
      </c>
      <c r="EJ107" s="397" t="s">
        <v>121</v>
      </c>
      <c r="EK107" s="397" t="s">
        <v>121</v>
      </c>
      <c r="EL107" s="397" t="s">
        <v>121</v>
      </c>
      <c r="EM107" s="397" t="s">
        <v>121</v>
      </c>
      <c r="EN107" s="397" t="s">
        <v>121</v>
      </c>
      <c r="EO107" s="397" t="s">
        <v>121</v>
      </c>
      <c r="EP107" s="397" t="s">
        <v>121</v>
      </c>
      <c r="EQ107" s="397" t="s">
        <v>121</v>
      </c>
      <c r="ER107" s="397" t="s">
        <v>121</v>
      </c>
      <c r="ES107" s="397" t="s">
        <v>121</v>
      </c>
      <c r="ET107" s="397" t="s">
        <v>121</v>
      </c>
      <c r="EU107" s="397" t="s">
        <v>121</v>
      </c>
      <c r="EV107" s="397" t="s">
        <v>121</v>
      </c>
      <c r="EW107" s="397" t="s">
        <v>121</v>
      </c>
      <c r="EX107" s="397" t="s">
        <v>121</v>
      </c>
    </row>
    <row r="108" spans="1:168" s="397" customFormat="1" ht="15" customHeight="1" x14ac:dyDescent="0.25">
      <c r="A108" s="273">
        <v>108</v>
      </c>
      <c r="B108" s="305" t="s">
        <v>308</v>
      </c>
      <c r="C108" s="345" t="s">
        <v>121</v>
      </c>
      <c r="D108" s="275" t="s">
        <v>121</v>
      </c>
      <c r="E108" s="383" t="s">
        <v>121</v>
      </c>
      <c r="F108" s="398" t="s">
        <v>121</v>
      </c>
      <c r="G108" s="398" t="s">
        <v>121</v>
      </c>
      <c r="H108" s="398" t="s">
        <v>121</v>
      </c>
      <c r="I108" s="398" t="s">
        <v>121</v>
      </c>
      <c r="J108" s="398" t="s">
        <v>121</v>
      </c>
      <c r="K108" s="398" t="s">
        <v>121</v>
      </c>
      <c r="L108" s="398" t="s">
        <v>121</v>
      </c>
      <c r="M108" s="398" t="s">
        <v>121</v>
      </c>
      <c r="N108" s="398" t="s">
        <v>121</v>
      </c>
      <c r="O108" s="398" t="s">
        <v>121</v>
      </c>
      <c r="P108" s="398" t="s">
        <v>121</v>
      </c>
      <c r="Q108" s="405"/>
      <c r="R108" s="405"/>
      <c r="S108" s="405"/>
      <c r="T108" s="405"/>
      <c r="U108" s="255" t="s">
        <v>121</v>
      </c>
      <c r="V108" s="255" t="s">
        <v>121</v>
      </c>
      <c r="W108" s="255" t="s">
        <v>121</v>
      </c>
      <c r="X108" s="255" t="s">
        <v>121</v>
      </c>
      <c r="Y108" s="255" t="s">
        <v>121</v>
      </c>
      <c r="Z108" s="255" t="s">
        <v>121</v>
      </c>
      <c r="AA108" s="255" t="s">
        <v>121</v>
      </c>
      <c r="AB108" s="255" t="s">
        <v>121</v>
      </c>
      <c r="AC108" s="255">
        <v>26.533000000000001</v>
      </c>
      <c r="AD108" s="255">
        <v>-26.252000000000002</v>
      </c>
      <c r="AE108" s="255">
        <v>-0.89800000000000002</v>
      </c>
      <c r="AF108" s="255">
        <v>0.61699999999999999</v>
      </c>
      <c r="AG108" s="255">
        <v>21.128</v>
      </c>
      <c r="AH108" s="255">
        <v>43.645000000000003</v>
      </c>
      <c r="AI108" s="256">
        <v>32.117999999999995</v>
      </c>
      <c r="AJ108" s="256">
        <v>12.996</v>
      </c>
      <c r="AK108" s="256">
        <v>7.2609999999999957</v>
      </c>
      <c r="AL108" s="256">
        <v>25.795000000000005</v>
      </c>
      <c r="AM108" s="256">
        <v>28.922999999999998</v>
      </c>
      <c r="AN108" s="256" t="s">
        <v>121</v>
      </c>
      <c r="AO108" s="256" t="s">
        <v>121</v>
      </c>
      <c r="AP108" s="256" t="s">
        <v>121</v>
      </c>
      <c r="AQ108" s="256" t="s">
        <v>121</v>
      </c>
      <c r="AR108" s="256" t="s">
        <v>121</v>
      </c>
      <c r="AS108" s="256" t="s">
        <v>121</v>
      </c>
      <c r="AT108" s="256" t="s">
        <v>121</v>
      </c>
      <c r="AU108" s="256" t="s">
        <v>121</v>
      </c>
      <c r="AV108" s="256" t="s">
        <v>121</v>
      </c>
      <c r="AW108" s="256" t="s">
        <v>121</v>
      </c>
      <c r="AX108" s="291" t="s">
        <v>121</v>
      </c>
      <c r="AY108" s="291" t="s">
        <v>121</v>
      </c>
      <c r="AZ108" s="256" t="s">
        <v>121</v>
      </c>
      <c r="BA108" s="291" t="s">
        <v>121</v>
      </c>
      <c r="BB108" s="291" t="s">
        <v>121</v>
      </c>
      <c r="BC108" s="291" t="s">
        <v>121</v>
      </c>
      <c r="BD108" s="291" t="s">
        <v>121</v>
      </c>
      <c r="BE108" s="291" t="s">
        <v>121</v>
      </c>
      <c r="BF108" s="291" t="s">
        <v>121</v>
      </c>
      <c r="BG108" s="291" t="s">
        <v>121</v>
      </c>
      <c r="BH108" s="291" t="s">
        <v>121</v>
      </c>
      <c r="BI108" s="291" t="s">
        <v>121</v>
      </c>
      <c r="BJ108" s="291" t="s">
        <v>121</v>
      </c>
      <c r="BK108" s="291" t="s">
        <v>121</v>
      </c>
      <c r="BL108" s="291" t="s">
        <v>121</v>
      </c>
      <c r="BM108" s="397" t="s">
        <v>121</v>
      </c>
      <c r="BN108" s="397" t="s">
        <v>121</v>
      </c>
      <c r="BO108" s="397" t="s">
        <v>121</v>
      </c>
      <c r="BP108" s="397" t="s">
        <v>121</v>
      </c>
      <c r="BQ108" s="397" t="s">
        <v>121</v>
      </c>
      <c r="BR108" s="397" t="s">
        <v>121</v>
      </c>
      <c r="BS108" s="397" t="s">
        <v>121</v>
      </c>
      <c r="BT108" s="397" t="s">
        <v>121</v>
      </c>
      <c r="BU108" s="397" t="s">
        <v>121</v>
      </c>
      <c r="BV108" s="397" t="s">
        <v>121</v>
      </c>
      <c r="BW108" s="397" t="s">
        <v>121</v>
      </c>
      <c r="BX108" s="397" t="s">
        <v>121</v>
      </c>
      <c r="BY108" s="397" t="s">
        <v>121</v>
      </c>
      <c r="BZ108" s="397" t="s">
        <v>121</v>
      </c>
      <c r="CA108" s="397" t="s">
        <v>121</v>
      </c>
      <c r="CB108" s="397" t="s">
        <v>121</v>
      </c>
      <c r="CC108" s="397" t="s">
        <v>121</v>
      </c>
      <c r="CD108" s="397" t="s">
        <v>121</v>
      </c>
      <c r="CE108" s="397" t="s">
        <v>121</v>
      </c>
      <c r="CF108" s="397" t="s">
        <v>121</v>
      </c>
      <c r="CG108" s="397" t="s">
        <v>121</v>
      </c>
      <c r="CH108" s="397" t="s">
        <v>121</v>
      </c>
      <c r="CI108" s="397" t="s">
        <v>121</v>
      </c>
      <c r="CJ108" s="397" t="s">
        <v>121</v>
      </c>
      <c r="CK108" s="397" t="s">
        <v>121</v>
      </c>
      <c r="CL108" s="397" t="s">
        <v>121</v>
      </c>
      <c r="CM108" s="397" t="s">
        <v>121</v>
      </c>
      <c r="CN108" s="397" t="s">
        <v>121</v>
      </c>
      <c r="CO108" s="397" t="s">
        <v>121</v>
      </c>
      <c r="CP108" s="397" t="s">
        <v>121</v>
      </c>
      <c r="CQ108" s="397" t="s">
        <v>121</v>
      </c>
      <c r="CR108" s="397" t="s">
        <v>121</v>
      </c>
      <c r="CS108" s="397" t="s">
        <v>121</v>
      </c>
      <c r="CT108" s="397" t="s">
        <v>121</v>
      </c>
      <c r="CU108" s="397" t="s">
        <v>121</v>
      </c>
      <c r="CV108" s="397" t="s">
        <v>121</v>
      </c>
      <c r="CW108" s="397" t="s">
        <v>121</v>
      </c>
      <c r="CX108" s="397" t="s">
        <v>121</v>
      </c>
      <c r="CY108" s="397" t="s">
        <v>121</v>
      </c>
      <c r="CZ108" s="397" t="s">
        <v>121</v>
      </c>
      <c r="DA108" s="397" t="s">
        <v>121</v>
      </c>
      <c r="DB108" s="397" t="s">
        <v>121</v>
      </c>
      <c r="DC108" s="397" t="s">
        <v>121</v>
      </c>
      <c r="DD108" s="397" t="s">
        <v>121</v>
      </c>
      <c r="DE108" s="397" t="s">
        <v>121</v>
      </c>
      <c r="DF108" s="397" t="s">
        <v>121</v>
      </c>
      <c r="DG108" s="397" t="s">
        <v>121</v>
      </c>
      <c r="DH108" s="397" t="s">
        <v>121</v>
      </c>
      <c r="DI108" s="397" t="s">
        <v>121</v>
      </c>
      <c r="DJ108" s="397" t="s">
        <v>121</v>
      </c>
      <c r="DK108" s="397" t="s">
        <v>121</v>
      </c>
      <c r="DL108" s="397" t="s">
        <v>121</v>
      </c>
      <c r="DM108" s="397" t="s">
        <v>121</v>
      </c>
      <c r="DN108" s="397" t="s">
        <v>121</v>
      </c>
      <c r="DO108" s="397" t="s">
        <v>121</v>
      </c>
      <c r="DP108" s="397" t="s">
        <v>121</v>
      </c>
      <c r="DQ108" s="397" t="s">
        <v>121</v>
      </c>
      <c r="DR108" s="397" t="s">
        <v>121</v>
      </c>
      <c r="DS108" s="397" t="s">
        <v>121</v>
      </c>
      <c r="DT108" s="397" t="s">
        <v>121</v>
      </c>
      <c r="DU108" s="397" t="s">
        <v>121</v>
      </c>
      <c r="DV108" s="397" t="s">
        <v>121</v>
      </c>
      <c r="DW108" s="397" t="s">
        <v>121</v>
      </c>
      <c r="DX108" s="397" t="s">
        <v>121</v>
      </c>
      <c r="DY108" s="397" t="s">
        <v>121</v>
      </c>
      <c r="DZ108" s="397" t="s">
        <v>121</v>
      </c>
      <c r="EA108" s="397" t="s">
        <v>121</v>
      </c>
      <c r="EB108" s="397" t="s">
        <v>121</v>
      </c>
      <c r="EC108" s="397" t="s">
        <v>121</v>
      </c>
      <c r="ED108" s="397" t="s">
        <v>121</v>
      </c>
      <c r="EE108" s="397" t="s">
        <v>121</v>
      </c>
      <c r="EF108" s="397" t="s">
        <v>121</v>
      </c>
      <c r="EG108" s="397" t="s">
        <v>121</v>
      </c>
      <c r="EH108" s="397" t="s">
        <v>121</v>
      </c>
      <c r="EI108" s="397" t="s">
        <v>121</v>
      </c>
      <c r="EJ108" s="397" t="s">
        <v>121</v>
      </c>
      <c r="EK108" s="397" t="s">
        <v>121</v>
      </c>
      <c r="EL108" s="397" t="s">
        <v>121</v>
      </c>
      <c r="EM108" s="397" t="s">
        <v>121</v>
      </c>
      <c r="EN108" s="397" t="s">
        <v>121</v>
      </c>
      <c r="EO108" s="397" t="s">
        <v>121</v>
      </c>
      <c r="EP108" s="397" t="s">
        <v>121</v>
      </c>
      <c r="EQ108" s="397" t="s">
        <v>121</v>
      </c>
      <c r="ER108" s="397" t="s">
        <v>121</v>
      </c>
      <c r="ES108" s="397" t="s">
        <v>121</v>
      </c>
      <c r="ET108" s="397" t="s">
        <v>121</v>
      </c>
      <c r="EU108" s="397" t="s">
        <v>121</v>
      </c>
      <c r="EV108" s="397" t="s">
        <v>121</v>
      </c>
      <c r="EW108" s="397" t="s">
        <v>121</v>
      </c>
      <c r="EX108" s="397" t="s">
        <v>121</v>
      </c>
    </row>
    <row r="109" spans="1:168" s="395" customFormat="1" ht="26.1" customHeight="1" x14ac:dyDescent="0.25">
      <c r="A109" s="273">
        <v>109</v>
      </c>
      <c r="B109" s="396" t="s">
        <v>196</v>
      </c>
      <c r="C109" s="345">
        <v>-3.967123287671237E-2</v>
      </c>
      <c r="D109" s="275" t="s">
        <v>121</v>
      </c>
      <c r="E109" s="383">
        <v>-0.33928975344944579</v>
      </c>
      <c r="F109" s="256">
        <v>8763</v>
      </c>
      <c r="G109" s="256">
        <v>9125</v>
      </c>
      <c r="H109" s="256">
        <v>15527</v>
      </c>
      <c r="I109" s="256">
        <v>13209</v>
      </c>
      <c r="J109" s="256">
        <v>13263</v>
      </c>
      <c r="K109" s="256">
        <v>11287</v>
      </c>
      <c r="L109" s="256">
        <v>13020</v>
      </c>
      <c r="M109" s="256">
        <v>10435</v>
      </c>
      <c r="N109" s="256">
        <v>8525</v>
      </c>
      <c r="O109" s="256">
        <v>13734</v>
      </c>
      <c r="P109" s="256">
        <v>14621</v>
      </c>
      <c r="Q109" s="405"/>
      <c r="R109" s="405"/>
      <c r="S109" s="405"/>
      <c r="T109" s="405"/>
      <c r="U109" s="256">
        <v>6677</v>
      </c>
      <c r="V109" s="256">
        <v>4137</v>
      </c>
      <c r="W109" s="256">
        <v>4876</v>
      </c>
      <c r="X109" s="256">
        <v>2393</v>
      </c>
      <c r="Y109" s="256">
        <v>4478.4600000000028</v>
      </c>
      <c r="Z109" s="256">
        <v>2750.243999999996</v>
      </c>
      <c r="AA109" s="256">
        <v>2017.1330000000016</v>
      </c>
      <c r="AB109" s="256">
        <v>1581.1629999999996</v>
      </c>
      <c r="AC109" s="256">
        <v>2403.8070000000016</v>
      </c>
      <c r="AD109" s="256">
        <v>2030.4070000000024</v>
      </c>
      <c r="AE109" s="256">
        <v>2190.0229999999988</v>
      </c>
      <c r="AF109" s="256">
        <v>1281.6540000000005</v>
      </c>
      <c r="AG109" s="256">
        <v>2574.9790000000066</v>
      </c>
      <c r="AH109" s="256">
        <v>2081.9969999999948</v>
      </c>
      <c r="AI109" s="256">
        <v>2542.8809999999994</v>
      </c>
      <c r="AJ109" s="256">
        <v>2199.5059999999989</v>
      </c>
      <c r="AK109" s="256">
        <v>2118.8319999999949</v>
      </c>
      <c r="AL109" s="256">
        <v>2129.0549999999994</v>
      </c>
      <c r="AM109" s="256">
        <v>2147.1739999999982</v>
      </c>
      <c r="AN109" s="256">
        <v>1672.844000000001</v>
      </c>
      <c r="AO109" s="256">
        <v>1422.6719999999991</v>
      </c>
      <c r="AP109" s="256">
        <v>1315.956000000001</v>
      </c>
      <c r="AQ109" s="256">
        <v>1051.0119999999981</v>
      </c>
      <c r="AR109" s="256">
        <v>1178.8510000000006</v>
      </c>
      <c r="AS109" s="256">
        <v>1168.1830000000027</v>
      </c>
      <c r="AT109" s="256">
        <v>1420.6899999999951</v>
      </c>
      <c r="AU109" s="256">
        <v>1020.4610000000013</v>
      </c>
      <c r="AV109" s="256">
        <v>862.88799999999969</v>
      </c>
      <c r="AW109" s="256">
        <v>1068.0550000000035</v>
      </c>
      <c r="AX109" s="291">
        <v>1489.8400000000011</v>
      </c>
      <c r="AY109" s="291">
        <v>1207.4859999999996</v>
      </c>
      <c r="AZ109" s="256">
        <v>2012.5230000000004</v>
      </c>
      <c r="BA109" s="291">
        <v>1434.4760000000019</v>
      </c>
      <c r="BB109" s="291">
        <v>1327.7309999999998</v>
      </c>
      <c r="BC109" s="291">
        <v>1207.0020000000009</v>
      </c>
      <c r="BD109" s="291">
        <v>1338.2549999999997</v>
      </c>
      <c r="BE109" s="291">
        <v>637.1570000000014</v>
      </c>
      <c r="BF109" s="291">
        <v>918.65500000000054</v>
      </c>
      <c r="BG109" s="291">
        <v>438.58499999999981</v>
      </c>
      <c r="BH109" s="291">
        <v>452.20899999999972</v>
      </c>
      <c r="BI109" s="291">
        <v>524.82599999999979</v>
      </c>
      <c r="BJ109" s="291">
        <v>1371.6929999999998</v>
      </c>
      <c r="BK109" s="291">
        <v>1712.17</v>
      </c>
      <c r="BL109" s="291">
        <v>2257.8780000000006</v>
      </c>
      <c r="BM109" s="397">
        <v>1976.3860000000006</v>
      </c>
      <c r="BN109" s="397">
        <v>1316.1240000000005</v>
      </c>
      <c r="BO109" s="397">
        <v>918.89900000000057</v>
      </c>
      <c r="BP109" s="397">
        <v>469.16200000000026</v>
      </c>
      <c r="BQ109" s="397" t="s">
        <v>121</v>
      </c>
      <c r="BR109" s="397" t="s">
        <v>121</v>
      </c>
      <c r="BS109" s="397" t="s">
        <v>121</v>
      </c>
      <c r="BT109" s="397" t="s">
        <v>121</v>
      </c>
      <c r="BU109" s="397" t="s">
        <v>121</v>
      </c>
      <c r="BV109" s="397" t="s">
        <v>121</v>
      </c>
      <c r="BW109" s="397" t="s">
        <v>121</v>
      </c>
      <c r="BX109" s="397" t="s">
        <v>121</v>
      </c>
      <c r="BY109" s="397" t="s">
        <v>121</v>
      </c>
      <c r="BZ109" s="397" t="s">
        <v>121</v>
      </c>
      <c r="CA109" s="397" t="s">
        <v>121</v>
      </c>
      <c r="CB109" s="397" t="s">
        <v>121</v>
      </c>
      <c r="CC109" s="397" t="s">
        <v>121</v>
      </c>
      <c r="CD109" s="397" t="s">
        <v>121</v>
      </c>
      <c r="CE109" s="397" t="s">
        <v>121</v>
      </c>
      <c r="CF109" s="397" t="s">
        <v>121</v>
      </c>
      <c r="CG109" s="397" t="s">
        <v>121</v>
      </c>
      <c r="CH109" s="397" t="s">
        <v>121</v>
      </c>
      <c r="CI109" s="397" t="s">
        <v>121</v>
      </c>
      <c r="CJ109" s="397" t="s">
        <v>121</v>
      </c>
      <c r="CK109" s="397" t="s">
        <v>121</v>
      </c>
      <c r="CL109" s="397" t="s">
        <v>121</v>
      </c>
      <c r="CM109" s="397" t="s">
        <v>121</v>
      </c>
      <c r="CN109" s="397" t="s">
        <v>121</v>
      </c>
      <c r="CO109" s="397" t="s">
        <v>121</v>
      </c>
      <c r="CP109" s="397" t="s">
        <v>121</v>
      </c>
      <c r="CQ109" s="397" t="s">
        <v>121</v>
      </c>
      <c r="CR109" s="397" t="s">
        <v>121</v>
      </c>
      <c r="CS109" s="397" t="s">
        <v>121</v>
      </c>
      <c r="CT109" s="397" t="s">
        <v>121</v>
      </c>
      <c r="CU109" s="397" t="s">
        <v>121</v>
      </c>
      <c r="CV109" s="397" t="s">
        <v>121</v>
      </c>
      <c r="CW109" s="397" t="s">
        <v>121</v>
      </c>
      <c r="CX109" s="397" t="s">
        <v>121</v>
      </c>
      <c r="CY109" s="397" t="s">
        <v>121</v>
      </c>
      <c r="CZ109" s="397" t="s">
        <v>121</v>
      </c>
      <c r="DA109" s="397" t="s">
        <v>121</v>
      </c>
      <c r="DB109" s="397" t="s">
        <v>121</v>
      </c>
      <c r="DC109" s="397" t="s">
        <v>121</v>
      </c>
      <c r="DD109" s="397" t="s">
        <v>121</v>
      </c>
      <c r="DE109" s="397" t="s">
        <v>121</v>
      </c>
      <c r="DF109" s="397" t="s">
        <v>121</v>
      </c>
      <c r="DG109" s="397" t="s">
        <v>121</v>
      </c>
      <c r="DH109" s="397" t="s">
        <v>121</v>
      </c>
      <c r="DI109" s="397" t="s">
        <v>121</v>
      </c>
      <c r="DJ109" s="397" t="s">
        <v>121</v>
      </c>
      <c r="DK109" s="397" t="s">
        <v>121</v>
      </c>
      <c r="DL109" s="397" t="s">
        <v>121</v>
      </c>
      <c r="DM109" s="397" t="s">
        <v>121</v>
      </c>
      <c r="DN109" s="397" t="s">
        <v>121</v>
      </c>
      <c r="DO109" s="397" t="s">
        <v>121</v>
      </c>
      <c r="DP109" s="397" t="s">
        <v>121</v>
      </c>
      <c r="DQ109" s="397" t="s">
        <v>121</v>
      </c>
      <c r="DR109" s="397" t="s">
        <v>121</v>
      </c>
      <c r="DS109" s="397" t="s">
        <v>121</v>
      </c>
      <c r="DT109" s="397" t="s">
        <v>121</v>
      </c>
      <c r="DU109" s="397" t="s">
        <v>121</v>
      </c>
      <c r="DV109" s="397" t="s">
        <v>121</v>
      </c>
      <c r="DW109" s="397" t="s">
        <v>121</v>
      </c>
      <c r="DX109" s="397" t="s">
        <v>121</v>
      </c>
      <c r="DY109" s="397" t="s">
        <v>121</v>
      </c>
      <c r="DZ109" s="397" t="s">
        <v>121</v>
      </c>
      <c r="EA109" s="397" t="s">
        <v>121</v>
      </c>
      <c r="EB109" s="397" t="s">
        <v>121</v>
      </c>
      <c r="EC109" s="397" t="s">
        <v>121</v>
      </c>
      <c r="ED109" s="397" t="s">
        <v>121</v>
      </c>
      <c r="EE109" s="397" t="s">
        <v>121</v>
      </c>
      <c r="EF109" s="397" t="s">
        <v>121</v>
      </c>
      <c r="EG109" s="397" t="s">
        <v>121</v>
      </c>
      <c r="EH109" s="397" t="s">
        <v>121</v>
      </c>
      <c r="EI109" s="397" t="s">
        <v>121</v>
      </c>
      <c r="EJ109" s="397" t="s">
        <v>121</v>
      </c>
      <c r="EK109" s="397" t="s">
        <v>121</v>
      </c>
      <c r="EL109" s="397" t="s">
        <v>121</v>
      </c>
      <c r="EM109" s="397" t="s">
        <v>121</v>
      </c>
      <c r="EN109" s="397" t="s">
        <v>121</v>
      </c>
      <c r="EO109" s="397" t="s">
        <v>121</v>
      </c>
      <c r="EP109" s="397" t="s">
        <v>121</v>
      </c>
      <c r="EQ109" s="397" t="s">
        <v>121</v>
      </c>
      <c r="ER109" s="397" t="s">
        <v>121</v>
      </c>
      <c r="ES109" s="397" t="s">
        <v>121</v>
      </c>
      <c r="ET109" s="397" t="s">
        <v>121</v>
      </c>
      <c r="EU109" s="397" t="s">
        <v>121</v>
      </c>
      <c r="EV109" s="397" t="s">
        <v>121</v>
      </c>
      <c r="EW109" s="397" t="s">
        <v>121</v>
      </c>
      <c r="EX109" s="397" t="s">
        <v>121</v>
      </c>
      <c r="EY109" s="397"/>
      <c r="EZ109" s="397"/>
      <c r="FA109" s="397"/>
      <c r="FB109" s="397"/>
      <c r="FC109" s="397"/>
      <c r="FD109" s="397"/>
      <c r="FE109" s="397"/>
      <c r="FF109" s="397"/>
      <c r="FG109" s="397"/>
      <c r="FH109" s="397"/>
      <c r="FI109" s="397"/>
      <c r="FJ109" s="397"/>
      <c r="FK109" s="397"/>
      <c r="FL109" s="397"/>
    </row>
    <row r="110" spans="1:168" s="352" customFormat="1" ht="26.1" customHeight="1" x14ac:dyDescent="0.25">
      <c r="A110" s="273">
        <v>110</v>
      </c>
      <c r="B110" s="399" t="s">
        <v>436</v>
      </c>
      <c r="C110" s="345" t="s">
        <v>121</v>
      </c>
      <c r="D110" s="275" t="s">
        <v>121</v>
      </c>
      <c r="E110" s="270" t="s">
        <v>121</v>
      </c>
      <c r="F110" s="386" t="s">
        <v>121</v>
      </c>
      <c r="G110" s="386" t="s">
        <v>121</v>
      </c>
      <c r="H110" s="386" t="s">
        <v>121</v>
      </c>
      <c r="I110" s="386" t="s">
        <v>121</v>
      </c>
      <c r="J110" s="386" t="s">
        <v>121</v>
      </c>
      <c r="K110" s="386" t="s">
        <v>121</v>
      </c>
      <c r="L110" s="386" t="s">
        <v>121</v>
      </c>
      <c r="M110" s="386" t="s">
        <v>121</v>
      </c>
      <c r="N110" s="386" t="s">
        <v>121</v>
      </c>
      <c r="O110" s="386" t="s">
        <v>121</v>
      </c>
      <c r="P110" s="386" t="s">
        <v>121</v>
      </c>
      <c r="Q110" s="405"/>
      <c r="R110" s="405"/>
      <c r="S110" s="405"/>
      <c r="T110" s="405"/>
      <c r="U110" s="303" t="s">
        <v>121</v>
      </c>
      <c r="V110" s="303" t="s">
        <v>121</v>
      </c>
      <c r="W110" s="303" t="s">
        <v>121</v>
      </c>
      <c r="X110" s="303" t="s">
        <v>121</v>
      </c>
      <c r="Y110" s="303" t="s">
        <v>121</v>
      </c>
      <c r="Z110" s="303" t="s">
        <v>121</v>
      </c>
      <c r="AA110" s="303" t="s">
        <v>121</v>
      </c>
      <c r="AB110" s="303" t="s">
        <v>121</v>
      </c>
      <c r="AC110" s="303" t="s">
        <v>121</v>
      </c>
      <c r="AD110" s="303" t="s">
        <v>121</v>
      </c>
      <c r="AE110" s="303" t="s">
        <v>121</v>
      </c>
      <c r="AF110" s="303" t="s">
        <v>121</v>
      </c>
      <c r="AG110" s="303" t="s">
        <v>121</v>
      </c>
      <c r="AH110" s="303" t="s">
        <v>121</v>
      </c>
      <c r="AI110" s="303" t="s">
        <v>121</v>
      </c>
      <c r="AJ110" s="303" t="s">
        <v>121</v>
      </c>
      <c r="AK110" s="303" t="s">
        <v>121</v>
      </c>
      <c r="AL110" s="303" t="s">
        <v>121</v>
      </c>
      <c r="AM110" s="303" t="s">
        <v>121</v>
      </c>
      <c r="AN110" s="303" t="s">
        <v>121</v>
      </c>
      <c r="AO110" s="303" t="s">
        <v>121</v>
      </c>
      <c r="AP110" s="303" t="s">
        <v>121</v>
      </c>
      <c r="AQ110" s="303" t="s">
        <v>121</v>
      </c>
      <c r="AR110" s="303" t="s">
        <v>121</v>
      </c>
      <c r="AS110" s="303" t="s">
        <v>121</v>
      </c>
      <c r="AT110" s="303" t="s">
        <v>121</v>
      </c>
      <c r="AU110" s="303" t="s">
        <v>121</v>
      </c>
      <c r="AV110" s="303" t="s">
        <v>121</v>
      </c>
      <c r="AW110" s="303" t="s">
        <v>121</v>
      </c>
      <c r="AX110" s="275" t="s">
        <v>121</v>
      </c>
      <c r="AY110" s="323" t="s">
        <v>121</v>
      </c>
      <c r="AZ110" s="255" t="s">
        <v>121</v>
      </c>
      <c r="BA110" s="323" t="s">
        <v>121</v>
      </c>
      <c r="BB110" s="323" t="s">
        <v>121</v>
      </c>
      <c r="BC110" s="323" t="s">
        <v>121</v>
      </c>
      <c r="BD110" s="323" t="s">
        <v>121</v>
      </c>
      <c r="BE110" s="323" t="s">
        <v>121</v>
      </c>
      <c r="BF110" s="323" t="s">
        <v>121</v>
      </c>
      <c r="BG110" s="323" t="s">
        <v>121</v>
      </c>
      <c r="BH110" s="323" t="s">
        <v>121</v>
      </c>
      <c r="BI110" s="323" t="s">
        <v>121</v>
      </c>
      <c r="BJ110" s="323" t="s">
        <v>121</v>
      </c>
      <c r="BK110" s="323" t="s">
        <v>121</v>
      </c>
      <c r="BL110" s="323" t="s">
        <v>121</v>
      </c>
      <c r="BM110" s="284" t="s">
        <v>121</v>
      </c>
      <c r="BN110" s="284" t="s">
        <v>121</v>
      </c>
      <c r="BO110" s="284" t="s">
        <v>121</v>
      </c>
      <c r="BP110" s="284" t="s">
        <v>121</v>
      </c>
      <c r="BQ110" s="284" t="s">
        <v>121</v>
      </c>
      <c r="BR110" s="284" t="s">
        <v>121</v>
      </c>
      <c r="BS110" s="284" t="s">
        <v>121</v>
      </c>
      <c r="BT110" s="284" t="s">
        <v>121</v>
      </c>
      <c r="BU110" s="284" t="s">
        <v>121</v>
      </c>
      <c r="BV110" s="284" t="s">
        <v>121</v>
      </c>
      <c r="BW110" s="284" t="s">
        <v>121</v>
      </c>
      <c r="BX110" s="284" t="s">
        <v>121</v>
      </c>
      <c r="BY110" s="284" t="s">
        <v>121</v>
      </c>
      <c r="BZ110" s="284" t="s">
        <v>121</v>
      </c>
      <c r="CA110" s="284" t="s">
        <v>121</v>
      </c>
      <c r="CB110" s="284" t="s">
        <v>121</v>
      </c>
      <c r="CC110" s="284" t="s">
        <v>121</v>
      </c>
      <c r="CD110" s="284" t="s">
        <v>121</v>
      </c>
      <c r="CE110" s="284" t="s">
        <v>121</v>
      </c>
      <c r="CF110" s="284" t="s">
        <v>121</v>
      </c>
      <c r="CG110" s="284" t="s">
        <v>121</v>
      </c>
      <c r="CH110" s="284" t="s">
        <v>121</v>
      </c>
      <c r="CI110" s="284" t="s">
        <v>121</v>
      </c>
      <c r="CJ110" s="284" t="s">
        <v>121</v>
      </c>
      <c r="CK110" s="284" t="s">
        <v>121</v>
      </c>
      <c r="CL110" s="284" t="s">
        <v>121</v>
      </c>
      <c r="CM110" s="284" t="s">
        <v>121</v>
      </c>
      <c r="CN110" s="284" t="s">
        <v>121</v>
      </c>
      <c r="CO110" s="284" t="s">
        <v>121</v>
      </c>
      <c r="CP110" s="284" t="s">
        <v>121</v>
      </c>
      <c r="CQ110" s="284" t="s">
        <v>121</v>
      </c>
      <c r="CR110" s="284" t="s">
        <v>121</v>
      </c>
      <c r="CS110" s="284" t="s">
        <v>121</v>
      </c>
      <c r="CT110" s="284" t="s">
        <v>121</v>
      </c>
      <c r="CU110" s="284" t="s">
        <v>121</v>
      </c>
      <c r="CV110" s="284" t="s">
        <v>121</v>
      </c>
      <c r="CW110" s="284" t="s">
        <v>121</v>
      </c>
      <c r="CX110" s="284" t="s">
        <v>121</v>
      </c>
      <c r="CY110" s="284" t="s">
        <v>121</v>
      </c>
      <c r="CZ110" s="284" t="s">
        <v>121</v>
      </c>
      <c r="DA110" s="284" t="s">
        <v>121</v>
      </c>
      <c r="DB110" s="284" t="s">
        <v>121</v>
      </c>
      <c r="DC110" s="284" t="s">
        <v>121</v>
      </c>
      <c r="DD110" s="284" t="s">
        <v>121</v>
      </c>
      <c r="DE110" s="284" t="s">
        <v>121</v>
      </c>
      <c r="DF110" s="284" t="s">
        <v>121</v>
      </c>
      <c r="DG110" s="284" t="s">
        <v>121</v>
      </c>
      <c r="DH110" s="284" t="s">
        <v>121</v>
      </c>
      <c r="DI110" s="284" t="s">
        <v>121</v>
      </c>
      <c r="DJ110" s="284" t="s">
        <v>121</v>
      </c>
      <c r="DK110" s="284" t="s">
        <v>121</v>
      </c>
      <c r="DL110" s="284" t="s">
        <v>121</v>
      </c>
      <c r="DM110" s="284" t="s">
        <v>121</v>
      </c>
      <c r="DN110" s="284" t="s">
        <v>121</v>
      </c>
      <c r="DO110" s="284" t="s">
        <v>121</v>
      </c>
      <c r="DP110" s="284" t="s">
        <v>121</v>
      </c>
      <c r="DQ110" s="284" t="s">
        <v>121</v>
      </c>
      <c r="DR110" s="284" t="s">
        <v>121</v>
      </c>
      <c r="DS110" s="284" t="s">
        <v>121</v>
      </c>
      <c r="DT110" s="284" t="s">
        <v>121</v>
      </c>
      <c r="DU110" s="284" t="s">
        <v>121</v>
      </c>
      <c r="DV110" s="284" t="s">
        <v>121</v>
      </c>
      <c r="DW110" s="284" t="s">
        <v>121</v>
      </c>
      <c r="DX110" s="284" t="s">
        <v>121</v>
      </c>
      <c r="DY110" s="284" t="s">
        <v>121</v>
      </c>
      <c r="DZ110" s="284" t="s">
        <v>121</v>
      </c>
      <c r="EA110" s="284" t="s">
        <v>121</v>
      </c>
      <c r="EB110" s="284" t="s">
        <v>121</v>
      </c>
      <c r="EC110" s="284" t="s">
        <v>121</v>
      </c>
      <c r="ED110" s="284" t="s">
        <v>121</v>
      </c>
      <c r="EE110" s="284" t="s">
        <v>121</v>
      </c>
      <c r="EF110" s="284" t="s">
        <v>121</v>
      </c>
      <c r="EG110" s="284" t="s">
        <v>121</v>
      </c>
      <c r="EH110" s="284" t="s">
        <v>121</v>
      </c>
      <c r="EI110" s="284" t="s">
        <v>121</v>
      </c>
      <c r="EJ110" s="284" t="s">
        <v>121</v>
      </c>
      <c r="EK110" s="284" t="s">
        <v>121</v>
      </c>
      <c r="EL110" s="284" t="s">
        <v>121</v>
      </c>
      <c r="EM110" s="284" t="s">
        <v>121</v>
      </c>
      <c r="EN110" s="284" t="s">
        <v>121</v>
      </c>
      <c r="EO110" s="284" t="s">
        <v>121</v>
      </c>
      <c r="EP110" s="284" t="s">
        <v>121</v>
      </c>
      <c r="EQ110" s="284" t="s">
        <v>121</v>
      </c>
      <c r="ER110" s="284" t="s">
        <v>121</v>
      </c>
      <c r="ES110" s="284" t="s">
        <v>121</v>
      </c>
      <c r="ET110" s="284" t="s">
        <v>121</v>
      </c>
      <c r="EU110" s="284" t="s">
        <v>121</v>
      </c>
      <c r="EV110" s="284" t="s">
        <v>121</v>
      </c>
      <c r="EW110" s="284" t="s">
        <v>121</v>
      </c>
      <c r="EX110" s="284" t="s">
        <v>121</v>
      </c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</row>
    <row r="111" spans="1:168" s="352" customFormat="1" ht="26.1" customHeight="1" x14ac:dyDescent="0.25">
      <c r="A111" s="273">
        <v>111</v>
      </c>
      <c r="B111" s="385" t="s">
        <v>109</v>
      </c>
      <c r="C111" s="345" t="s">
        <v>121</v>
      </c>
      <c r="D111" s="275" t="s">
        <v>121</v>
      </c>
      <c r="E111" s="270" t="s">
        <v>121</v>
      </c>
      <c r="F111" s="284" t="s">
        <v>121</v>
      </c>
      <c r="G111" s="284" t="s">
        <v>121</v>
      </c>
      <c r="H111" s="284" t="s">
        <v>121</v>
      </c>
      <c r="I111" s="284" t="s">
        <v>121</v>
      </c>
      <c r="J111" s="284" t="s">
        <v>121</v>
      </c>
      <c r="K111" s="284" t="s">
        <v>121</v>
      </c>
      <c r="L111" s="284" t="s">
        <v>121</v>
      </c>
      <c r="M111" s="386" t="s">
        <v>121</v>
      </c>
      <c r="N111" s="386" t="s">
        <v>121</v>
      </c>
      <c r="O111" s="386" t="s">
        <v>121</v>
      </c>
      <c r="P111" s="386" t="s">
        <v>121</v>
      </c>
      <c r="Q111" s="405"/>
      <c r="R111" s="405"/>
      <c r="S111" s="405"/>
      <c r="T111" s="405"/>
      <c r="U111" s="303" t="s">
        <v>121</v>
      </c>
      <c r="V111" s="303" t="s">
        <v>121</v>
      </c>
      <c r="W111" s="303" t="s">
        <v>121</v>
      </c>
      <c r="X111" s="303" t="s">
        <v>121</v>
      </c>
      <c r="Y111" s="303" t="s">
        <v>121</v>
      </c>
      <c r="Z111" s="303" t="s">
        <v>121</v>
      </c>
      <c r="AA111" s="303" t="s">
        <v>121</v>
      </c>
      <c r="AB111" s="303" t="s">
        <v>121</v>
      </c>
      <c r="AC111" s="303" t="s">
        <v>121</v>
      </c>
      <c r="AD111" s="303" t="s">
        <v>121</v>
      </c>
      <c r="AE111" s="303" t="s">
        <v>121</v>
      </c>
      <c r="AF111" s="303" t="s">
        <v>121</v>
      </c>
      <c r="AG111" s="303" t="s">
        <v>121</v>
      </c>
      <c r="AH111" s="303" t="s">
        <v>121</v>
      </c>
      <c r="AI111" s="303" t="s">
        <v>121</v>
      </c>
      <c r="AJ111" s="303" t="s">
        <v>121</v>
      </c>
      <c r="AK111" s="303" t="s">
        <v>121</v>
      </c>
      <c r="AL111" s="303" t="s">
        <v>121</v>
      </c>
      <c r="AM111" s="303" t="s">
        <v>121</v>
      </c>
      <c r="AN111" s="303" t="s">
        <v>121</v>
      </c>
      <c r="AO111" s="303" t="s">
        <v>121</v>
      </c>
      <c r="AP111" s="303" t="s">
        <v>121</v>
      </c>
      <c r="AQ111" s="303" t="s">
        <v>121</v>
      </c>
      <c r="AR111" s="303" t="s">
        <v>121</v>
      </c>
      <c r="AS111" s="303" t="s">
        <v>121</v>
      </c>
      <c r="AT111" s="303" t="s">
        <v>121</v>
      </c>
      <c r="AU111" s="303" t="s">
        <v>121</v>
      </c>
      <c r="AV111" s="303" t="s">
        <v>121</v>
      </c>
      <c r="AW111" s="303" t="s">
        <v>121</v>
      </c>
      <c r="AX111" s="275" t="s">
        <v>121</v>
      </c>
      <c r="AY111" s="323" t="s">
        <v>121</v>
      </c>
      <c r="AZ111" s="255" t="s">
        <v>121</v>
      </c>
      <c r="BA111" s="323" t="s">
        <v>121</v>
      </c>
      <c r="BB111" s="323" t="s">
        <v>121</v>
      </c>
      <c r="BC111" s="323" t="s">
        <v>121</v>
      </c>
      <c r="BD111" s="323" t="s">
        <v>121</v>
      </c>
      <c r="BE111" s="323" t="s">
        <v>121</v>
      </c>
      <c r="BF111" s="323" t="s">
        <v>121</v>
      </c>
      <c r="BG111" s="323" t="s">
        <v>121</v>
      </c>
      <c r="BH111" s="323" t="s">
        <v>121</v>
      </c>
      <c r="BI111" s="323" t="s">
        <v>121</v>
      </c>
      <c r="BJ111" s="323" t="s">
        <v>121</v>
      </c>
      <c r="BK111" s="323" t="s">
        <v>121</v>
      </c>
      <c r="BL111" s="323" t="s">
        <v>121</v>
      </c>
      <c r="BM111" s="284" t="s">
        <v>121</v>
      </c>
      <c r="BN111" s="284" t="s">
        <v>121</v>
      </c>
      <c r="BO111" s="284" t="s">
        <v>121</v>
      </c>
      <c r="BP111" s="284" t="s">
        <v>121</v>
      </c>
      <c r="BQ111" s="284" t="s">
        <v>121</v>
      </c>
      <c r="BR111" s="284" t="s">
        <v>121</v>
      </c>
      <c r="BS111" s="284" t="s">
        <v>121</v>
      </c>
      <c r="BT111" s="284" t="s">
        <v>121</v>
      </c>
      <c r="BU111" s="284" t="s">
        <v>121</v>
      </c>
      <c r="BV111" s="284" t="s">
        <v>121</v>
      </c>
      <c r="BW111" s="284" t="s">
        <v>121</v>
      </c>
      <c r="BX111" s="284" t="s">
        <v>121</v>
      </c>
      <c r="BY111" s="284" t="s">
        <v>121</v>
      </c>
      <c r="BZ111" s="284" t="s">
        <v>121</v>
      </c>
      <c r="CA111" s="284" t="s">
        <v>121</v>
      </c>
      <c r="CB111" s="284" t="s">
        <v>121</v>
      </c>
      <c r="CC111" s="284" t="s">
        <v>121</v>
      </c>
      <c r="CD111" s="284" t="s">
        <v>121</v>
      </c>
      <c r="CE111" s="284" t="s">
        <v>121</v>
      </c>
      <c r="CF111" s="284" t="s">
        <v>121</v>
      </c>
      <c r="CG111" s="284" t="s">
        <v>121</v>
      </c>
      <c r="CH111" s="284" t="s">
        <v>121</v>
      </c>
      <c r="CI111" s="284" t="s">
        <v>121</v>
      </c>
      <c r="CJ111" s="284" t="s">
        <v>121</v>
      </c>
      <c r="CK111" s="284" t="s">
        <v>121</v>
      </c>
      <c r="CL111" s="284" t="s">
        <v>121</v>
      </c>
      <c r="CM111" s="284" t="s">
        <v>121</v>
      </c>
      <c r="CN111" s="284" t="s">
        <v>121</v>
      </c>
      <c r="CO111" s="284" t="s">
        <v>121</v>
      </c>
      <c r="CP111" s="284" t="s">
        <v>121</v>
      </c>
      <c r="CQ111" s="284" t="s">
        <v>121</v>
      </c>
      <c r="CR111" s="284" t="s">
        <v>121</v>
      </c>
      <c r="CS111" s="284" t="s">
        <v>121</v>
      </c>
      <c r="CT111" s="284" t="s">
        <v>121</v>
      </c>
      <c r="CU111" s="284" t="s">
        <v>121</v>
      </c>
      <c r="CV111" s="284" t="s">
        <v>121</v>
      </c>
      <c r="CW111" s="284" t="s">
        <v>121</v>
      </c>
      <c r="CX111" s="284" t="s">
        <v>121</v>
      </c>
      <c r="CY111" s="284" t="s">
        <v>121</v>
      </c>
      <c r="CZ111" s="284" t="s">
        <v>121</v>
      </c>
      <c r="DA111" s="284" t="s">
        <v>121</v>
      </c>
      <c r="DB111" s="284" t="s">
        <v>121</v>
      </c>
      <c r="DC111" s="284" t="s">
        <v>121</v>
      </c>
      <c r="DD111" s="284" t="s">
        <v>121</v>
      </c>
      <c r="DE111" s="284" t="s">
        <v>121</v>
      </c>
      <c r="DF111" s="284" t="s">
        <v>121</v>
      </c>
      <c r="DG111" s="284" t="s">
        <v>121</v>
      </c>
      <c r="DH111" s="284" t="s">
        <v>121</v>
      </c>
      <c r="DI111" s="284" t="s">
        <v>121</v>
      </c>
      <c r="DJ111" s="284" t="s">
        <v>121</v>
      </c>
      <c r="DK111" s="284" t="s">
        <v>121</v>
      </c>
      <c r="DL111" s="284" t="s">
        <v>121</v>
      </c>
      <c r="DM111" s="284" t="s">
        <v>121</v>
      </c>
      <c r="DN111" s="284" t="s">
        <v>121</v>
      </c>
      <c r="DO111" s="284" t="s">
        <v>121</v>
      </c>
      <c r="DP111" s="284" t="s">
        <v>121</v>
      </c>
      <c r="DQ111" s="284" t="s">
        <v>121</v>
      </c>
      <c r="DR111" s="284" t="s">
        <v>121</v>
      </c>
      <c r="DS111" s="284" t="s">
        <v>121</v>
      </c>
      <c r="DT111" s="284" t="s">
        <v>121</v>
      </c>
      <c r="DU111" s="284" t="s">
        <v>121</v>
      </c>
      <c r="DV111" s="284" t="s">
        <v>121</v>
      </c>
      <c r="DW111" s="284" t="s">
        <v>121</v>
      </c>
      <c r="DX111" s="284" t="s">
        <v>121</v>
      </c>
      <c r="DY111" s="284" t="s">
        <v>121</v>
      </c>
      <c r="DZ111" s="284" t="s">
        <v>121</v>
      </c>
      <c r="EA111" s="284" t="s">
        <v>121</v>
      </c>
      <c r="EB111" s="284" t="s">
        <v>121</v>
      </c>
      <c r="EC111" s="284" t="s">
        <v>121</v>
      </c>
      <c r="ED111" s="284" t="s">
        <v>121</v>
      </c>
      <c r="EE111" s="284" t="s">
        <v>121</v>
      </c>
      <c r="EF111" s="284" t="s">
        <v>121</v>
      </c>
      <c r="EG111" s="284" t="s">
        <v>121</v>
      </c>
      <c r="EH111" s="284" t="s">
        <v>121</v>
      </c>
      <c r="EI111" s="284" t="s">
        <v>121</v>
      </c>
      <c r="EJ111" s="284" t="s">
        <v>121</v>
      </c>
      <c r="EK111" s="284" t="s">
        <v>121</v>
      </c>
      <c r="EL111" s="284" t="s">
        <v>121</v>
      </c>
      <c r="EM111" s="284" t="s">
        <v>121</v>
      </c>
      <c r="EN111" s="284" t="s">
        <v>121</v>
      </c>
      <c r="EO111" s="284" t="s">
        <v>121</v>
      </c>
      <c r="EP111" s="284" t="s">
        <v>121</v>
      </c>
      <c r="EQ111" s="284" t="s">
        <v>121</v>
      </c>
      <c r="ER111" s="284" t="s">
        <v>121</v>
      </c>
      <c r="ES111" s="284" t="s">
        <v>121</v>
      </c>
      <c r="ET111" s="284" t="s">
        <v>121</v>
      </c>
      <c r="EU111" s="284" t="s">
        <v>121</v>
      </c>
      <c r="EV111" s="284" t="s">
        <v>121</v>
      </c>
      <c r="EW111" s="284" t="s">
        <v>121</v>
      </c>
      <c r="EX111" s="284" t="s">
        <v>121</v>
      </c>
      <c r="EY111" s="284"/>
      <c r="EZ111" s="284"/>
      <c r="FA111" s="284"/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</row>
    <row r="112" spans="1:168" s="352" customFormat="1" ht="27" customHeight="1" x14ac:dyDescent="0.25">
      <c r="A112" s="273">
        <v>112</v>
      </c>
      <c r="B112" s="384" t="s">
        <v>110</v>
      </c>
      <c r="C112" s="345" t="s">
        <v>121</v>
      </c>
      <c r="D112" s="275" t="s">
        <v>121</v>
      </c>
      <c r="E112" s="270" t="s">
        <v>121</v>
      </c>
      <c r="F112" s="255">
        <v>3</v>
      </c>
      <c r="G112" s="255">
        <v>1</v>
      </c>
      <c r="H112" s="255" t="s">
        <v>121</v>
      </c>
      <c r="I112" s="255">
        <v>1</v>
      </c>
      <c r="J112" s="255">
        <v>-437</v>
      </c>
      <c r="K112" s="255">
        <v>-19</v>
      </c>
      <c r="L112" s="255" t="s">
        <v>121</v>
      </c>
      <c r="M112" s="255">
        <v>885</v>
      </c>
      <c r="N112" s="255">
        <v>105</v>
      </c>
      <c r="O112" s="255">
        <v>1</v>
      </c>
      <c r="P112" s="255">
        <v>15</v>
      </c>
      <c r="Q112" s="405"/>
      <c r="R112" s="405"/>
      <c r="S112" s="405"/>
      <c r="T112" s="405"/>
      <c r="U112" s="255">
        <v>181</v>
      </c>
      <c r="V112" s="255">
        <v>9</v>
      </c>
      <c r="W112" s="255">
        <v>139</v>
      </c>
      <c r="X112" s="255">
        <v>43</v>
      </c>
      <c r="Y112" s="255">
        <v>-5.1020000000000003</v>
      </c>
      <c r="Z112" s="255">
        <v>-1.1159999999999997</v>
      </c>
      <c r="AA112" s="255">
        <v>-0.9399999999999995</v>
      </c>
      <c r="AB112" s="255">
        <v>-9.8420000000000005</v>
      </c>
      <c r="AC112" s="255">
        <v>-123.345</v>
      </c>
      <c r="AD112" s="255">
        <v>-0.77400000000000091</v>
      </c>
      <c r="AE112" s="255">
        <v>6.4759999999999991</v>
      </c>
      <c r="AF112" s="255">
        <v>-29.420999999999999</v>
      </c>
      <c r="AG112" s="255">
        <v>73.208000000000027</v>
      </c>
      <c r="AH112" s="255">
        <v>50.270000000000039</v>
      </c>
      <c r="AI112" s="255">
        <v>-374.65500000000009</v>
      </c>
      <c r="AJ112" s="255">
        <v>-158.79499999999999</v>
      </c>
      <c r="AK112" s="255">
        <v>-165.19599999999991</v>
      </c>
      <c r="AL112" s="255">
        <v>-729.96500000000003</v>
      </c>
      <c r="AM112" s="255">
        <v>-139.53500000000003</v>
      </c>
      <c r="AN112" s="255">
        <v>-163.99799999999999</v>
      </c>
      <c r="AO112" s="255">
        <v>-290.06500000000005</v>
      </c>
      <c r="AP112" s="255">
        <v>-114.59299999999996</v>
      </c>
      <c r="AQ112" s="255">
        <v>-202.51800000000003</v>
      </c>
      <c r="AR112" s="255">
        <v>-375.73599999999999</v>
      </c>
      <c r="AS112" s="255">
        <v>-438.05100000000004</v>
      </c>
      <c r="AT112" s="255">
        <v>-106.459</v>
      </c>
      <c r="AU112" s="255">
        <v>-183.142</v>
      </c>
      <c r="AV112" s="255" t="s">
        <v>121</v>
      </c>
      <c r="AW112" s="303">
        <v>-372.32299999999998</v>
      </c>
      <c r="AX112" s="275" t="s">
        <v>121</v>
      </c>
      <c r="AY112" s="323" t="s">
        <v>121</v>
      </c>
      <c r="AZ112" s="255" t="s">
        <v>121</v>
      </c>
      <c r="BA112" s="323">
        <v>-2424.6950000000002</v>
      </c>
      <c r="BB112" s="323" t="s">
        <v>121</v>
      </c>
      <c r="BC112" s="323" t="s">
        <v>121</v>
      </c>
      <c r="BD112" s="323" t="s">
        <v>121</v>
      </c>
      <c r="BE112" s="323" t="s">
        <v>121</v>
      </c>
      <c r="BF112" s="323" t="s">
        <v>121</v>
      </c>
      <c r="BG112" s="323" t="s">
        <v>121</v>
      </c>
      <c r="BH112" s="323" t="s">
        <v>121</v>
      </c>
      <c r="BI112" s="323" t="s">
        <v>121</v>
      </c>
      <c r="BJ112" s="323" t="s">
        <v>121</v>
      </c>
      <c r="BK112" s="323" t="s">
        <v>121</v>
      </c>
      <c r="BL112" s="323" t="s">
        <v>121</v>
      </c>
      <c r="BM112" s="284" t="s">
        <v>121</v>
      </c>
      <c r="BN112" s="284" t="s">
        <v>121</v>
      </c>
      <c r="BO112" s="284" t="s">
        <v>121</v>
      </c>
      <c r="BP112" s="284" t="s">
        <v>121</v>
      </c>
      <c r="BQ112" s="284" t="s">
        <v>121</v>
      </c>
      <c r="BR112" s="284" t="s">
        <v>121</v>
      </c>
      <c r="BS112" s="284" t="s">
        <v>121</v>
      </c>
      <c r="BT112" s="284" t="s">
        <v>121</v>
      </c>
      <c r="BU112" s="284" t="s">
        <v>121</v>
      </c>
      <c r="BV112" s="284" t="s">
        <v>121</v>
      </c>
      <c r="BW112" s="284" t="s">
        <v>121</v>
      </c>
      <c r="BX112" s="284" t="s">
        <v>121</v>
      </c>
      <c r="BY112" s="284" t="s">
        <v>121</v>
      </c>
      <c r="BZ112" s="284" t="s">
        <v>121</v>
      </c>
      <c r="CA112" s="284" t="s">
        <v>121</v>
      </c>
      <c r="CB112" s="284" t="s">
        <v>121</v>
      </c>
      <c r="CC112" s="284" t="s">
        <v>121</v>
      </c>
      <c r="CD112" s="284" t="s">
        <v>121</v>
      </c>
      <c r="CE112" s="284" t="s">
        <v>121</v>
      </c>
      <c r="CF112" s="284" t="s">
        <v>121</v>
      </c>
      <c r="CG112" s="284" t="s">
        <v>121</v>
      </c>
      <c r="CH112" s="284" t="s">
        <v>121</v>
      </c>
      <c r="CI112" s="284" t="s">
        <v>121</v>
      </c>
      <c r="CJ112" s="284" t="s">
        <v>121</v>
      </c>
      <c r="CK112" s="284" t="s">
        <v>121</v>
      </c>
      <c r="CL112" s="284" t="s">
        <v>121</v>
      </c>
      <c r="CM112" s="284" t="s">
        <v>121</v>
      </c>
      <c r="CN112" s="284" t="s">
        <v>121</v>
      </c>
      <c r="CO112" s="284" t="s">
        <v>121</v>
      </c>
      <c r="CP112" s="284" t="s">
        <v>121</v>
      </c>
      <c r="CQ112" s="284" t="s">
        <v>121</v>
      </c>
      <c r="CR112" s="284" t="s">
        <v>121</v>
      </c>
      <c r="CS112" s="284" t="s">
        <v>121</v>
      </c>
      <c r="CT112" s="284" t="s">
        <v>121</v>
      </c>
      <c r="CU112" s="284" t="s">
        <v>121</v>
      </c>
      <c r="CV112" s="284" t="s">
        <v>121</v>
      </c>
      <c r="CW112" s="284" t="s">
        <v>121</v>
      </c>
      <c r="CX112" s="284" t="s">
        <v>121</v>
      </c>
      <c r="CY112" s="284" t="s">
        <v>121</v>
      </c>
      <c r="CZ112" s="284" t="s">
        <v>121</v>
      </c>
      <c r="DA112" s="284" t="s">
        <v>121</v>
      </c>
      <c r="DB112" s="284" t="s">
        <v>121</v>
      </c>
      <c r="DC112" s="284" t="s">
        <v>121</v>
      </c>
      <c r="DD112" s="284" t="s">
        <v>121</v>
      </c>
      <c r="DE112" s="284" t="s">
        <v>121</v>
      </c>
      <c r="DF112" s="284" t="s">
        <v>121</v>
      </c>
      <c r="DG112" s="284" t="s">
        <v>121</v>
      </c>
      <c r="DH112" s="284" t="s">
        <v>121</v>
      </c>
      <c r="DI112" s="284" t="s">
        <v>121</v>
      </c>
      <c r="DJ112" s="284" t="s">
        <v>121</v>
      </c>
      <c r="DK112" s="284" t="s">
        <v>121</v>
      </c>
      <c r="DL112" s="284" t="s">
        <v>121</v>
      </c>
      <c r="DM112" s="284" t="s">
        <v>121</v>
      </c>
      <c r="DN112" s="284" t="s">
        <v>121</v>
      </c>
      <c r="DO112" s="284" t="s">
        <v>121</v>
      </c>
      <c r="DP112" s="284" t="s">
        <v>121</v>
      </c>
      <c r="DQ112" s="284" t="s">
        <v>121</v>
      </c>
      <c r="DR112" s="284" t="s">
        <v>121</v>
      </c>
      <c r="DS112" s="284" t="s">
        <v>121</v>
      </c>
      <c r="DT112" s="284" t="s">
        <v>121</v>
      </c>
      <c r="DU112" s="284" t="s">
        <v>121</v>
      </c>
      <c r="DV112" s="284" t="s">
        <v>121</v>
      </c>
      <c r="DW112" s="284" t="s">
        <v>121</v>
      </c>
      <c r="DX112" s="284" t="s">
        <v>121</v>
      </c>
      <c r="DY112" s="284" t="s">
        <v>121</v>
      </c>
      <c r="DZ112" s="284" t="s">
        <v>121</v>
      </c>
      <c r="EA112" s="284" t="s">
        <v>121</v>
      </c>
      <c r="EB112" s="284" t="s">
        <v>121</v>
      </c>
      <c r="EC112" s="284" t="s">
        <v>121</v>
      </c>
      <c r="ED112" s="284" t="s">
        <v>121</v>
      </c>
      <c r="EE112" s="284" t="s">
        <v>121</v>
      </c>
      <c r="EF112" s="284" t="s">
        <v>121</v>
      </c>
      <c r="EG112" s="284" t="s">
        <v>121</v>
      </c>
      <c r="EH112" s="284" t="s">
        <v>121</v>
      </c>
      <c r="EI112" s="284" t="s">
        <v>121</v>
      </c>
      <c r="EJ112" s="284" t="s">
        <v>121</v>
      </c>
      <c r="EK112" s="284" t="s">
        <v>121</v>
      </c>
      <c r="EL112" s="284" t="s">
        <v>121</v>
      </c>
      <c r="EM112" s="284" t="s">
        <v>121</v>
      </c>
      <c r="EN112" s="284" t="s">
        <v>121</v>
      </c>
      <c r="EO112" s="284" t="s">
        <v>121</v>
      </c>
      <c r="EP112" s="284" t="s">
        <v>121</v>
      </c>
      <c r="EQ112" s="284" t="s">
        <v>121</v>
      </c>
      <c r="ER112" s="284" t="s">
        <v>121</v>
      </c>
      <c r="ES112" s="284" t="s">
        <v>121</v>
      </c>
      <c r="ET112" s="284" t="s">
        <v>121</v>
      </c>
      <c r="EU112" s="284" t="s">
        <v>121</v>
      </c>
      <c r="EV112" s="284" t="s">
        <v>121</v>
      </c>
      <c r="EW112" s="284" t="s">
        <v>121</v>
      </c>
      <c r="EX112" s="284" t="s">
        <v>121</v>
      </c>
      <c r="EY112" s="284"/>
      <c r="EZ112" s="284"/>
      <c r="FA112" s="284"/>
      <c r="FB112" s="284"/>
      <c r="FC112" s="284"/>
      <c r="FD112" s="284"/>
      <c r="FE112" s="284"/>
      <c r="FF112" s="284"/>
      <c r="FG112" s="284"/>
      <c r="FH112" s="284"/>
      <c r="FI112" s="284"/>
      <c r="FJ112" s="284"/>
      <c r="FK112" s="284"/>
      <c r="FL112" s="284"/>
    </row>
    <row r="113" spans="1:154" s="352" customFormat="1" ht="15" customHeight="1" x14ac:dyDescent="0.25">
      <c r="A113" s="273">
        <v>113</v>
      </c>
      <c r="B113" s="384" t="s">
        <v>111</v>
      </c>
      <c r="C113" s="345" t="s">
        <v>121</v>
      </c>
      <c r="D113" s="275" t="s">
        <v>121</v>
      </c>
      <c r="E113" s="270" t="s">
        <v>121</v>
      </c>
      <c r="F113" s="255">
        <v>-24</v>
      </c>
      <c r="G113" s="255">
        <v>17</v>
      </c>
      <c r="H113" s="255">
        <v>3</v>
      </c>
      <c r="I113" s="255">
        <v>-1</v>
      </c>
      <c r="J113" s="255">
        <v>49</v>
      </c>
      <c r="K113" s="255">
        <v>17</v>
      </c>
      <c r="L113" s="255">
        <v>-4</v>
      </c>
      <c r="M113" s="255">
        <v>-127</v>
      </c>
      <c r="N113" s="255">
        <v>-673</v>
      </c>
      <c r="O113" s="255">
        <v>-65</v>
      </c>
      <c r="P113" s="255">
        <v>64</v>
      </c>
      <c r="Q113" s="405"/>
      <c r="R113" s="405"/>
      <c r="S113" s="405"/>
      <c r="T113" s="405"/>
      <c r="U113" s="255">
        <v>38</v>
      </c>
      <c r="V113" s="255" t="s">
        <v>121</v>
      </c>
      <c r="W113" s="255">
        <v>-21</v>
      </c>
      <c r="X113" s="255">
        <v>-23</v>
      </c>
      <c r="Y113" s="255">
        <v>-66.087999999999994</v>
      </c>
      <c r="Z113" s="255">
        <v>131.601</v>
      </c>
      <c r="AA113" s="255">
        <v>17.823999999999998</v>
      </c>
      <c r="AB113" s="255">
        <v>-25.337</v>
      </c>
      <c r="AC113" s="255">
        <v>136.71499999999997</v>
      </c>
      <c r="AD113" s="255">
        <v>123.68800000000005</v>
      </c>
      <c r="AE113" s="255">
        <v>288.38</v>
      </c>
      <c r="AF113" s="255">
        <v>9.52</v>
      </c>
      <c r="AG113" s="255">
        <v>-441.20799999999997</v>
      </c>
      <c r="AH113" s="255">
        <v>-690.70499999999993</v>
      </c>
      <c r="AI113" s="255">
        <v>-492.64900000000006</v>
      </c>
      <c r="AJ113" s="255">
        <v>745.02200000000005</v>
      </c>
      <c r="AK113" s="255">
        <v>394.26400000000001</v>
      </c>
      <c r="AL113" s="255">
        <v>13.045000000000016</v>
      </c>
      <c r="AM113" s="255">
        <v>101.955</v>
      </c>
      <c r="AN113" s="255">
        <v>28.870999999999999</v>
      </c>
      <c r="AO113" s="255">
        <v>-474.30999999999995</v>
      </c>
      <c r="AP113" s="255">
        <v>223.20600000000013</v>
      </c>
      <c r="AQ113" s="255">
        <v>407.18099999999981</v>
      </c>
      <c r="AR113" s="255">
        <v>1072.9000000000001</v>
      </c>
      <c r="AS113" s="255">
        <v>576.59400000000005</v>
      </c>
      <c r="AT113" s="255">
        <v>346.15999999999985</v>
      </c>
      <c r="AU113" s="255">
        <v>1056.759</v>
      </c>
      <c r="AV113" s="255">
        <v>1285.864</v>
      </c>
      <c r="AW113" s="255">
        <v>-299.08800000000002</v>
      </c>
      <c r="AX113" s="255">
        <v>20.257000000000005</v>
      </c>
      <c r="AY113" s="255">
        <v>-295.58600000000001</v>
      </c>
      <c r="AZ113" s="255">
        <v>-95.221000000000004</v>
      </c>
      <c r="BA113" s="255">
        <v>707.89200000000017</v>
      </c>
      <c r="BB113" s="255">
        <v>20.689000000000021</v>
      </c>
      <c r="BC113" s="255">
        <v>230.88399999999996</v>
      </c>
      <c r="BD113" s="255">
        <v>-315.52499999999998</v>
      </c>
      <c r="BE113" s="255">
        <v>-580.399</v>
      </c>
      <c r="BF113" s="255">
        <v>1.3490000000000038</v>
      </c>
      <c r="BG113" s="255">
        <v>83.893000000000001</v>
      </c>
      <c r="BH113" s="255">
        <v>2.94</v>
      </c>
      <c r="BI113" s="255">
        <v>2730.6299999999997</v>
      </c>
      <c r="BJ113" s="255">
        <v>5.6110000000000007</v>
      </c>
      <c r="BK113" s="255">
        <v>11.795999999999999</v>
      </c>
      <c r="BL113" s="255">
        <v>-8.4039999999999999</v>
      </c>
      <c r="BM113" s="352">
        <v>-1.6790000000000003</v>
      </c>
      <c r="BN113" s="352">
        <v>0.72599999999999998</v>
      </c>
      <c r="BO113" s="352">
        <v>-7.1530000000000005</v>
      </c>
      <c r="BP113" s="352">
        <v>0.501</v>
      </c>
      <c r="BQ113" s="352" t="s">
        <v>121</v>
      </c>
      <c r="BR113" s="352" t="s">
        <v>121</v>
      </c>
      <c r="BS113" s="352" t="s">
        <v>121</v>
      </c>
      <c r="BT113" s="352" t="s">
        <v>121</v>
      </c>
      <c r="BU113" s="352" t="s">
        <v>121</v>
      </c>
      <c r="BV113" s="352" t="s">
        <v>121</v>
      </c>
      <c r="BW113" s="352" t="s">
        <v>121</v>
      </c>
      <c r="BX113" s="352" t="s">
        <v>121</v>
      </c>
      <c r="BY113" s="352" t="s">
        <v>121</v>
      </c>
      <c r="BZ113" s="352" t="s">
        <v>121</v>
      </c>
      <c r="CA113" s="352" t="s">
        <v>121</v>
      </c>
      <c r="CB113" s="352" t="s">
        <v>121</v>
      </c>
      <c r="CC113" s="352" t="s">
        <v>121</v>
      </c>
      <c r="CD113" s="352" t="s">
        <v>121</v>
      </c>
      <c r="CE113" s="352" t="s">
        <v>121</v>
      </c>
      <c r="CF113" s="352" t="s">
        <v>121</v>
      </c>
      <c r="CG113" s="352" t="s">
        <v>121</v>
      </c>
      <c r="CH113" s="352" t="s">
        <v>121</v>
      </c>
      <c r="CI113" s="352" t="s">
        <v>121</v>
      </c>
      <c r="CJ113" s="352" t="s">
        <v>121</v>
      </c>
      <c r="CK113" s="352" t="s">
        <v>121</v>
      </c>
      <c r="CL113" s="352" t="s">
        <v>121</v>
      </c>
      <c r="CM113" s="352" t="s">
        <v>121</v>
      </c>
      <c r="CN113" s="352" t="s">
        <v>121</v>
      </c>
      <c r="CO113" s="352" t="s">
        <v>121</v>
      </c>
      <c r="CP113" s="352" t="s">
        <v>121</v>
      </c>
      <c r="CQ113" s="352" t="s">
        <v>121</v>
      </c>
      <c r="CR113" s="352" t="s">
        <v>121</v>
      </c>
      <c r="CS113" s="352" t="s">
        <v>121</v>
      </c>
      <c r="CT113" s="352" t="s">
        <v>121</v>
      </c>
      <c r="CU113" s="352" t="s">
        <v>121</v>
      </c>
      <c r="CV113" s="352" t="s">
        <v>121</v>
      </c>
      <c r="CW113" s="352" t="s">
        <v>121</v>
      </c>
      <c r="CX113" s="352" t="s">
        <v>121</v>
      </c>
      <c r="CY113" s="352" t="s">
        <v>121</v>
      </c>
      <c r="CZ113" s="352" t="s">
        <v>121</v>
      </c>
      <c r="DA113" s="352" t="s">
        <v>121</v>
      </c>
      <c r="DB113" s="352" t="s">
        <v>121</v>
      </c>
      <c r="DC113" s="352" t="s">
        <v>121</v>
      </c>
      <c r="DD113" s="352" t="s">
        <v>121</v>
      </c>
      <c r="DE113" s="352" t="s">
        <v>121</v>
      </c>
      <c r="DF113" s="352" t="s">
        <v>121</v>
      </c>
      <c r="DG113" s="352" t="s">
        <v>121</v>
      </c>
      <c r="DH113" s="352" t="s">
        <v>121</v>
      </c>
      <c r="DI113" s="352" t="s">
        <v>121</v>
      </c>
      <c r="DJ113" s="352" t="s">
        <v>121</v>
      </c>
      <c r="DK113" s="352" t="s">
        <v>121</v>
      </c>
      <c r="DL113" s="352" t="s">
        <v>121</v>
      </c>
      <c r="DM113" s="352" t="s">
        <v>121</v>
      </c>
      <c r="DN113" s="352" t="s">
        <v>121</v>
      </c>
      <c r="DO113" s="352" t="s">
        <v>121</v>
      </c>
      <c r="DP113" s="352" t="s">
        <v>121</v>
      </c>
      <c r="DQ113" s="352" t="s">
        <v>121</v>
      </c>
      <c r="DR113" s="352" t="s">
        <v>121</v>
      </c>
      <c r="DS113" s="352" t="s">
        <v>121</v>
      </c>
      <c r="DT113" s="352" t="s">
        <v>121</v>
      </c>
      <c r="DU113" s="352" t="s">
        <v>121</v>
      </c>
      <c r="DV113" s="352" t="s">
        <v>121</v>
      </c>
      <c r="DW113" s="352" t="s">
        <v>121</v>
      </c>
      <c r="DX113" s="352" t="s">
        <v>121</v>
      </c>
      <c r="DY113" s="352" t="s">
        <v>121</v>
      </c>
      <c r="DZ113" s="352" t="s">
        <v>121</v>
      </c>
      <c r="EA113" s="352" t="s">
        <v>121</v>
      </c>
      <c r="EB113" s="352" t="s">
        <v>121</v>
      </c>
      <c r="EC113" s="352" t="s">
        <v>121</v>
      </c>
      <c r="ED113" s="352" t="s">
        <v>121</v>
      </c>
      <c r="EE113" s="352" t="s">
        <v>121</v>
      </c>
      <c r="EF113" s="352" t="s">
        <v>121</v>
      </c>
      <c r="EG113" s="352" t="s">
        <v>121</v>
      </c>
      <c r="EH113" s="352" t="s">
        <v>121</v>
      </c>
      <c r="EI113" s="352" t="s">
        <v>121</v>
      </c>
      <c r="EJ113" s="352" t="s">
        <v>121</v>
      </c>
      <c r="EK113" s="352" t="s">
        <v>121</v>
      </c>
      <c r="EL113" s="352" t="s">
        <v>121</v>
      </c>
      <c r="EM113" s="352" t="s">
        <v>121</v>
      </c>
      <c r="EN113" s="352" t="s">
        <v>121</v>
      </c>
      <c r="EO113" s="352" t="s">
        <v>121</v>
      </c>
      <c r="EP113" s="352" t="s">
        <v>121</v>
      </c>
      <c r="EQ113" s="352" t="s">
        <v>121</v>
      </c>
      <c r="ER113" s="352" t="s">
        <v>121</v>
      </c>
      <c r="ES113" s="352" t="s">
        <v>121</v>
      </c>
      <c r="ET113" s="352" t="s">
        <v>121</v>
      </c>
      <c r="EU113" s="352" t="s">
        <v>121</v>
      </c>
      <c r="EV113" s="352" t="s">
        <v>121</v>
      </c>
      <c r="EW113" s="352" t="s">
        <v>121</v>
      </c>
      <c r="EX113" s="352" t="s">
        <v>121</v>
      </c>
    </row>
    <row r="114" spans="1:154" s="352" customFormat="1" ht="15" customHeight="1" x14ac:dyDescent="0.25">
      <c r="A114" s="273">
        <v>114</v>
      </c>
      <c r="B114" s="384" t="s">
        <v>112</v>
      </c>
      <c r="C114" s="345" t="s">
        <v>121</v>
      </c>
      <c r="D114" s="275" t="s">
        <v>121</v>
      </c>
      <c r="E114" s="270" t="s">
        <v>121</v>
      </c>
      <c r="F114" s="255">
        <v>5</v>
      </c>
      <c r="G114" s="255">
        <v>-4</v>
      </c>
      <c r="H114" s="255">
        <v>-1</v>
      </c>
      <c r="I114" s="255" t="s">
        <v>121</v>
      </c>
      <c r="J114" s="255">
        <v>78</v>
      </c>
      <c r="K114" s="255" t="s">
        <v>121</v>
      </c>
      <c r="L114" s="255">
        <v>1</v>
      </c>
      <c r="M114" s="255">
        <v>-152</v>
      </c>
      <c r="N114" s="255">
        <v>114</v>
      </c>
      <c r="O114" s="255">
        <v>13</v>
      </c>
      <c r="P114" s="255">
        <v>-16</v>
      </c>
      <c r="Q114" s="405"/>
      <c r="R114" s="405"/>
      <c r="S114" s="405"/>
      <c r="T114" s="405"/>
      <c r="U114" s="255">
        <v>-44</v>
      </c>
      <c r="V114" s="255">
        <v>-2</v>
      </c>
      <c r="W114" s="255">
        <v>-23</v>
      </c>
      <c r="X114" s="255">
        <v>-5</v>
      </c>
      <c r="Y114" s="255">
        <v>13.823</v>
      </c>
      <c r="Z114" s="255">
        <v>-26.288</v>
      </c>
      <c r="AA114" s="255">
        <v>-3.4930000000000003</v>
      </c>
      <c r="AB114" s="255">
        <v>6.9580000000000002</v>
      </c>
      <c r="AC114" s="255">
        <v>-4.4480000000000075</v>
      </c>
      <c r="AD114" s="255">
        <v>-26.509999999999991</v>
      </c>
      <c r="AE114" s="255">
        <v>-61.545000000000009</v>
      </c>
      <c r="AF114" s="255">
        <v>-3.62</v>
      </c>
      <c r="AG114" s="255">
        <v>71.008999999999986</v>
      </c>
      <c r="AH114" s="255">
        <v>125.17100000000002</v>
      </c>
      <c r="AI114" s="255">
        <v>164.94399999999999</v>
      </c>
      <c r="AJ114" s="255">
        <v>-119.333</v>
      </c>
      <c r="AK114" s="255">
        <v>-45.813000000000017</v>
      </c>
      <c r="AL114" s="255">
        <v>143.38400000000001</v>
      </c>
      <c r="AM114" s="255">
        <v>7.5159999999999982</v>
      </c>
      <c r="AN114" s="255">
        <v>27.024999999999999</v>
      </c>
      <c r="AO114" s="255">
        <v>152.875</v>
      </c>
      <c r="AP114" s="255">
        <v>-21.72199999999998</v>
      </c>
      <c r="AQ114" s="255">
        <v>-40.933000000000021</v>
      </c>
      <c r="AR114" s="255">
        <v>-139.43299999999999</v>
      </c>
      <c r="AS114" s="255">
        <v>-27.708000000000027</v>
      </c>
      <c r="AT114" s="255">
        <v>-47.789999999999964</v>
      </c>
      <c r="AU114" s="255">
        <v>-174.87400000000002</v>
      </c>
      <c r="AV114" s="255">
        <v>-257.173</v>
      </c>
      <c r="AW114" s="255">
        <v>134.28300000000002</v>
      </c>
      <c r="AX114" s="255">
        <v>-4.0520000000000067</v>
      </c>
      <c r="AY114" s="255">
        <v>59.117000000000004</v>
      </c>
      <c r="AZ114" s="255">
        <v>19.045000000000002</v>
      </c>
      <c r="BA114" s="255">
        <v>308.21600000000001</v>
      </c>
      <c r="BB114" s="255">
        <v>-33.40100000000001</v>
      </c>
      <c r="BC114" s="255">
        <v>-46.176999999999992</v>
      </c>
      <c r="BD114" s="255">
        <v>63.104999999999997</v>
      </c>
      <c r="BE114" s="255">
        <v>65.132000000000005</v>
      </c>
      <c r="BF114" s="255">
        <v>-0.26999999999999957</v>
      </c>
      <c r="BG114" s="255">
        <v>-16.779</v>
      </c>
      <c r="BH114" s="255">
        <v>-0.58799999999999997</v>
      </c>
      <c r="BI114" s="255">
        <v>-828.53899999999999</v>
      </c>
      <c r="BJ114" s="255">
        <v>-1.1219999999999999</v>
      </c>
      <c r="BK114" s="255">
        <v>-2.359</v>
      </c>
      <c r="BL114" s="255">
        <v>1.68</v>
      </c>
      <c r="BM114" s="352">
        <v>0.33599999999999985</v>
      </c>
      <c r="BN114" s="352">
        <v>-0.14500000000000002</v>
      </c>
      <c r="BO114" s="352">
        <v>1.431</v>
      </c>
      <c r="BP114" s="352">
        <v>-0.10100000000000001</v>
      </c>
      <c r="BQ114" s="352" t="s">
        <v>121</v>
      </c>
      <c r="BR114" s="352" t="s">
        <v>121</v>
      </c>
      <c r="BS114" s="352" t="s">
        <v>121</v>
      </c>
      <c r="BT114" s="352" t="s">
        <v>121</v>
      </c>
      <c r="BU114" s="352" t="s">
        <v>121</v>
      </c>
      <c r="BV114" s="352" t="s">
        <v>121</v>
      </c>
      <c r="BW114" s="352" t="s">
        <v>121</v>
      </c>
      <c r="BX114" s="352" t="s">
        <v>121</v>
      </c>
      <c r="BY114" s="352" t="s">
        <v>121</v>
      </c>
      <c r="BZ114" s="352" t="s">
        <v>121</v>
      </c>
      <c r="CA114" s="352" t="s">
        <v>121</v>
      </c>
      <c r="CB114" s="352" t="s">
        <v>121</v>
      </c>
      <c r="CC114" s="352" t="s">
        <v>121</v>
      </c>
      <c r="CD114" s="352" t="s">
        <v>121</v>
      </c>
      <c r="CE114" s="352" t="s">
        <v>121</v>
      </c>
      <c r="CF114" s="352" t="s">
        <v>121</v>
      </c>
      <c r="CG114" s="352" t="s">
        <v>121</v>
      </c>
      <c r="CH114" s="352" t="s">
        <v>121</v>
      </c>
      <c r="CI114" s="352" t="s">
        <v>121</v>
      </c>
      <c r="CJ114" s="352" t="s">
        <v>121</v>
      </c>
      <c r="CK114" s="352" t="s">
        <v>121</v>
      </c>
      <c r="CL114" s="352" t="s">
        <v>121</v>
      </c>
      <c r="CM114" s="352" t="s">
        <v>121</v>
      </c>
      <c r="CN114" s="352" t="s">
        <v>121</v>
      </c>
      <c r="CO114" s="352" t="s">
        <v>121</v>
      </c>
      <c r="CP114" s="352" t="s">
        <v>121</v>
      </c>
      <c r="CQ114" s="352" t="s">
        <v>121</v>
      </c>
      <c r="CR114" s="352" t="s">
        <v>121</v>
      </c>
      <c r="CS114" s="352" t="s">
        <v>121</v>
      </c>
      <c r="CT114" s="352" t="s">
        <v>121</v>
      </c>
      <c r="CU114" s="352" t="s">
        <v>121</v>
      </c>
      <c r="CV114" s="352" t="s">
        <v>121</v>
      </c>
      <c r="CW114" s="352" t="s">
        <v>121</v>
      </c>
      <c r="CX114" s="352" t="s">
        <v>121</v>
      </c>
      <c r="CY114" s="352" t="s">
        <v>121</v>
      </c>
      <c r="CZ114" s="352" t="s">
        <v>121</v>
      </c>
      <c r="DA114" s="352" t="s">
        <v>121</v>
      </c>
      <c r="DB114" s="352" t="s">
        <v>121</v>
      </c>
      <c r="DC114" s="352" t="s">
        <v>121</v>
      </c>
      <c r="DD114" s="352" t="s">
        <v>121</v>
      </c>
      <c r="DE114" s="352" t="s">
        <v>121</v>
      </c>
      <c r="DF114" s="352" t="s">
        <v>121</v>
      </c>
      <c r="DG114" s="352" t="s">
        <v>121</v>
      </c>
      <c r="DH114" s="352" t="s">
        <v>121</v>
      </c>
      <c r="DI114" s="352" t="s">
        <v>121</v>
      </c>
      <c r="DJ114" s="352" t="s">
        <v>121</v>
      </c>
      <c r="DK114" s="352" t="s">
        <v>121</v>
      </c>
      <c r="DL114" s="352" t="s">
        <v>121</v>
      </c>
      <c r="DM114" s="352" t="s">
        <v>121</v>
      </c>
      <c r="DN114" s="352" t="s">
        <v>121</v>
      </c>
      <c r="DO114" s="352" t="s">
        <v>121</v>
      </c>
      <c r="DP114" s="352" t="s">
        <v>121</v>
      </c>
      <c r="DQ114" s="352" t="s">
        <v>121</v>
      </c>
      <c r="DR114" s="352" t="s">
        <v>121</v>
      </c>
      <c r="DS114" s="352" t="s">
        <v>121</v>
      </c>
      <c r="DT114" s="352" t="s">
        <v>121</v>
      </c>
      <c r="DU114" s="352" t="s">
        <v>121</v>
      </c>
      <c r="DV114" s="352" t="s">
        <v>121</v>
      </c>
      <c r="DW114" s="352" t="s">
        <v>121</v>
      </c>
      <c r="DX114" s="352" t="s">
        <v>121</v>
      </c>
      <c r="DY114" s="352" t="s">
        <v>121</v>
      </c>
      <c r="DZ114" s="352" t="s">
        <v>121</v>
      </c>
      <c r="EA114" s="352" t="s">
        <v>121</v>
      </c>
      <c r="EB114" s="352" t="s">
        <v>121</v>
      </c>
      <c r="EC114" s="352" t="s">
        <v>121</v>
      </c>
      <c r="ED114" s="352" t="s">
        <v>121</v>
      </c>
      <c r="EE114" s="352" t="s">
        <v>121</v>
      </c>
      <c r="EF114" s="352" t="s">
        <v>121</v>
      </c>
      <c r="EG114" s="352" t="s">
        <v>121</v>
      </c>
      <c r="EH114" s="352" t="s">
        <v>121</v>
      </c>
      <c r="EI114" s="352" t="s">
        <v>121</v>
      </c>
      <c r="EJ114" s="352" t="s">
        <v>121</v>
      </c>
      <c r="EK114" s="352" t="s">
        <v>121</v>
      </c>
      <c r="EL114" s="352" t="s">
        <v>121</v>
      </c>
      <c r="EM114" s="352" t="s">
        <v>121</v>
      </c>
      <c r="EN114" s="352" t="s">
        <v>121</v>
      </c>
      <c r="EO114" s="352" t="s">
        <v>121</v>
      </c>
      <c r="EP114" s="352" t="s">
        <v>121</v>
      </c>
      <c r="EQ114" s="352" t="s">
        <v>121</v>
      </c>
      <c r="ER114" s="352" t="s">
        <v>121</v>
      </c>
      <c r="ES114" s="352" t="s">
        <v>121</v>
      </c>
      <c r="ET114" s="352" t="s">
        <v>121</v>
      </c>
      <c r="EU114" s="352" t="s">
        <v>121</v>
      </c>
      <c r="EV114" s="352" t="s">
        <v>121</v>
      </c>
      <c r="EW114" s="352" t="s">
        <v>121</v>
      </c>
      <c r="EX114" s="352" t="s">
        <v>121</v>
      </c>
    </row>
    <row r="115" spans="1:154" s="352" customFormat="1" ht="15" customHeight="1" x14ac:dyDescent="0.25">
      <c r="A115" s="273">
        <v>115</v>
      </c>
      <c r="B115" s="384" t="s">
        <v>113</v>
      </c>
      <c r="C115" s="345" t="s">
        <v>121</v>
      </c>
      <c r="D115" s="275" t="s">
        <v>121</v>
      </c>
      <c r="E115" s="270" t="s">
        <v>121</v>
      </c>
      <c r="F115" s="255" t="s">
        <v>121</v>
      </c>
      <c r="G115" s="255" t="s">
        <v>121</v>
      </c>
      <c r="H115" s="255" t="s">
        <v>121</v>
      </c>
      <c r="I115" s="255" t="s">
        <v>121</v>
      </c>
      <c r="J115" s="255" t="s">
        <v>121</v>
      </c>
      <c r="K115" s="255" t="s">
        <v>121</v>
      </c>
      <c r="L115" s="255" t="s">
        <v>121</v>
      </c>
      <c r="M115" s="255" t="s">
        <v>121</v>
      </c>
      <c r="N115" s="255" t="s">
        <v>121</v>
      </c>
      <c r="O115" s="255" t="s">
        <v>121</v>
      </c>
      <c r="P115" s="255">
        <v>-94</v>
      </c>
      <c r="Q115" s="405"/>
      <c r="R115" s="405"/>
      <c r="S115" s="405"/>
      <c r="T115" s="405"/>
      <c r="U115" s="255">
        <v>1</v>
      </c>
      <c r="V115" s="255">
        <v>-1</v>
      </c>
      <c r="W115" s="255">
        <v>-9</v>
      </c>
      <c r="X115" s="255">
        <v>10</v>
      </c>
      <c r="Y115" s="255">
        <v>0.54200000000000159</v>
      </c>
      <c r="Z115" s="255">
        <v>-0.40100000000000335</v>
      </c>
      <c r="AA115" s="255">
        <v>11.080000000000002</v>
      </c>
      <c r="AB115" s="255">
        <v>20.779</v>
      </c>
      <c r="AC115" s="255">
        <v>8.6280000000000019</v>
      </c>
      <c r="AD115" s="255">
        <v>1.2809999999999988</v>
      </c>
      <c r="AE115" s="255">
        <v>5.7999999999999829E-2</v>
      </c>
      <c r="AF115" s="255">
        <v>-21.003</v>
      </c>
      <c r="AG115" s="255">
        <v>10.73</v>
      </c>
      <c r="AH115" s="255">
        <v>-5.1080000000000005</v>
      </c>
      <c r="AI115" s="255">
        <v>-2.0940000000000003</v>
      </c>
      <c r="AJ115" s="255">
        <v>-0.03</v>
      </c>
      <c r="AK115" s="255">
        <v>-0.16500000000000004</v>
      </c>
      <c r="AL115" s="255">
        <v>5.2999999999999936E-2</v>
      </c>
      <c r="AM115" s="255">
        <v>-1.339</v>
      </c>
      <c r="AN115" s="255" t="s">
        <v>121</v>
      </c>
      <c r="AO115" s="255" t="s">
        <v>121</v>
      </c>
      <c r="AP115" s="255" t="s">
        <v>121</v>
      </c>
      <c r="AQ115" s="255" t="s">
        <v>121</v>
      </c>
      <c r="AR115" s="255" t="s">
        <v>121</v>
      </c>
      <c r="AS115" s="255" t="s">
        <v>121</v>
      </c>
      <c r="AT115" s="255" t="s">
        <v>121</v>
      </c>
      <c r="AU115" s="255" t="s">
        <v>121</v>
      </c>
      <c r="AV115" s="255" t="s">
        <v>121</v>
      </c>
      <c r="AW115" s="255" t="s">
        <v>121</v>
      </c>
      <c r="AX115" s="255" t="s">
        <v>121</v>
      </c>
      <c r="AY115" s="255" t="s">
        <v>121</v>
      </c>
      <c r="AZ115" s="255" t="s">
        <v>121</v>
      </c>
      <c r="BA115" s="255" t="s">
        <v>121</v>
      </c>
      <c r="BB115" s="255" t="s">
        <v>121</v>
      </c>
      <c r="BC115" s="255" t="s">
        <v>121</v>
      </c>
      <c r="BD115" s="255" t="s">
        <v>121</v>
      </c>
      <c r="BE115" s="255" t="s">
        <v>121</v>
      </c>
      <c r="BF115" s="255" t="s">
        <v>121</v>
      </c>
      <c r="BG115" s="255" t="s">
        <v>121</v>
      </c>
      <c r="BH115" s="255" t="s">
        <v>121</v>
      </c>
      <c r="BI115" s="255" t="s">
        <v>121</v>
      </c>
      <c r="BJ115" s="255" t="s">
        <v>121</v>
      </c>
      <c r="BK115" s="255" t="s">
        <v>121</v>
      </c>
      <c r="BL115" s="255" t="s">
        <v>121</v>
      </c>
      <c r="BM115" s="352" t="s">
        <v>121</v>
      </c>
      <c r="BN115" s="352" t="s">
        <v>121</v>
      </c>
      <c r="BO115" s="352" t="s">
        <v>121</v>
      </c>
      <c r="BP115" s="352" t="s">
        <v>121</v>
      </c>
      <c r="BQ115" s="352" t="s">
        <v>121</v>
      </c>
      <c r="BR115" s="352" t="s">
        <v>121</v>
      </c>
      <c r="BS115" s="352" t="s">
        <v>121</v>
      </c>
      <c r="BT115" s="352" t="s">
        <v>121</v>
      </c>
      <c r="BU115" s="352" t="s">
        <v>121</v>
      </c>
      <c r="BV115" s="352" t="s">
        <v>121</v>
      </c>
      <c r="BW115" s="352" t="s">
        <v>121</v>
      </c>
      <c r="BX115" s="352" t="s">
        <v>121</v>
      </c>
      <c r="BY115" s="352" t="s">
        <v>121</v>
      </c>
      <c r="BZ115" s="352" t="s">
        <v>121</v>
      </c>
      <c r="CA115" s="352" t="s">
        <v>121</v>
      </c>
      <c r="CB115" s="352" t="s">
        <v>121</v>
      </c>
      <c r="CC115" s="352" t="s">
        <v>121</v>
      </c>
      <c r="CD115" s="352" t="s">
        <v>121</v>
      </c>
      <c r="CE115" s="352" t="s">
        <v>121</v>
      </c>
      <c r="CF115" s="352" t="s">
        <v>121</v>
      </c>
      <c r="CG115" s="352" t="s">
        <v>121</v>
      </c>
      <c r="CH115" s="352" t="s">
        <v>121</v>
      </c>
      <c r="CI115" s="352" t="s">
        <v>121</v>
      </c>
      <c r="CJ115" s="352" t="s">
        <v>121</v>
      </c>
      <c r="CK115" s="352" t="s">
        <v>121</v>
      </c>
      <c r="CL115" s="352" t="s">
        <v>121</v>
      </c>
      <c r="CM115" s="352" t="s">
        <v>121</v>
      </c>
      <c r="CN115" s="352" t="s">
        <v>121</v>
      </c>
      <c r="CO115" s="352" t="s">
        <v>121</v>
      </c>
      <c r="CP115" s="352" t="s">
        <v>121</v>
      </c>
      <c r="CQ115" s="352" t="s">
        <v>121</v>
      </c>
      <c r="CR115" s="352" t="s">
        <v>121</v>
      </c>
      <c r="CS115" s="352" t="s">
        <v>121</v>
      </c>
      <c r="CT115" s="352" t="s">
        <v>121</v>
      </c>
      <c r="CU115" s="352" t="s">
        <v>121</v>
      </c>
      <c r="CV115" s="352" t="s">
        <v>121</v>
      </c>
      <c r="CW115" s="352" t="s">
        <v>121</v>
      </c>
      <c r="CX115" s="352" t="s">
        <v>121</v>
      </c>
      <c r="CY115" s="352" t="s">
        <v>121</v>
      </c>
      <c r="CZ115" s="352" t="s">
        <v>121</v>
      </c>
      <c r="DA115" s="352" t="s">
        <v>121</v>
      </c>
      <c r="DB115" s="352" t="s">
        <v>121</v>
      </c>
      <c r="DC115" s="352" t="s">
        <v>121</v>
      </c>
      <c r="DD115" s="352" t="s">
        <v>121</v>
      </c>
      <c r="DE115" s="352" t="s">
        <v>121</v>
      </c>
      <c r="DF115" s="352" t="s">
        <v>121</v>
      </c>
      <c r="DG115" s="352" t="s">
        <v>121</v>
      </c>
      <c r="DH115" s="352" t="s">
        <v>121</v>
      </c>
      <c r="DI115" s="352" t="s">
        <v>121</v>
      </c>
      <c r="DJ115" s="352" t="s">
        <v>121</v>
      </c>
      <c r="DK115" s="352" t="s">
        <v>121</v>
      </c>
      <c r="DL115" s="352" t="s">
        <v>121</v>
      </c>
      <c r="DM115" s="352" t="s">
        <v>121</v>
      </c>
      <c r="DN115" s="352" t="s">
        <v>121</v>
      </c>
      <c r="DO115" s="352" t="s">
        <v>121</v>
      </c>
      <c r="DP115" s="352" t="s">
        <v>121</v>
      </c>
      <c r="DQ115" s="352" t="s">
        <v>121</v>
      </c>
      <c r="DR115" s="352" t="s">
        <v>121</v>
      </c>
      <c r="DS115" s="352" t="s">
        <v>121</v>
      </c>
      <c r="DT115" s="352" t="s">
        <v>121</v>
      </c>
      <c r="DU115" s="352" t="s">
        <v>121</v>
      </c>
      <c r="DV115" s="352" t="s">
        <v>121</v>
      </c>
      <c r="DW115" s="352" t="s">
        <v>121</v>
      </c>
      <c r="DX115" s="352" t="s">
        <v>121</v>
      </c>
      <c r="DY115" s="352" t="s">
        <v>121</v>
      </c>
      <c r="DZ115" s="352" t="s">
        <v>121</v>
      </c>
      <c r="EA115" s="352" t="s">
        <v>121</v>
      </c>
      <c r="EB115" s="352" t="s">
        <v>121</v>
      </c>
      <c r="EC115" s="352" t="s">
        <v>121</v>
      </c>
      <c r="ED115" s="352" t="s">
        <v>121</v>
      </c>
      <c r="EE115" s="352" t="s">
        <v>121</v>
      </c>
      <c r="EF115" s="352" t="s">
        <v>121</v>
      </c>
      <c r="EG115" s="352" t="s">
        <v>121</v>
      </c>
      <c r="EH115" s="352" t="s">
        <v>121</v>
      </c>
      <c r="EI115" s="352" t="s">
        <v>121</v>
      </c>
      <c r="EJ115" s="352" t="s">
        <v>121</v>
      </c>
      <c r="EK115" s="352" t="s">
        <v>121</v>
      </c>
      <c r="EL115" s="352" t="s">
        <v>121</v>
      </c>
      <c r="EM115" s="352" t="s">
        <v>121</v>
      </c>
      <c r="EN115" s="352" t="s">
        <v>121</v>
      </c>
      <c r="EO115" s="352" t="s">
        <v>121</v>
      </c>
      <c r="EP115" s="352" t="s">
        <v>121</v>
      </c>
      <c r="EQ115" s="352" t="s">
        <v>121</v>
      </c>
      <c r="ER115" s="352" t="s">
        <v>121</v>
      </c>
      <c r="ES115" s="352" t="s">
        <v>121</v>
      </c>
      <c r="ET115" s="352" t="s">
        <v>121</v>
      </c>
      <c r="EU115" s="352" t="s">
        <v>121</v>
      </c>
      <c r="EV115" s="352" t="s">
        <v>121</v>
      </c>
      <c r="EW115" s="352" t="s">
        <v>121</v>
      </c>
      <c r="EX115" s="352" t="s">
        <v>121</v>
      </c>
    </row>
    <row r="116" spans="1:154" s="352" customFormat="1" ht="15" customHeight="1" x14ac:dyDescent="0.25">
      <c r="A116" s="273">
        <v>116</v>
      </c>
      <c r="B116" s="387" t="s">
        <v>114</v>
      </c>
      <c r="C116" s="345" t="s">
        <v>121</v>
      </c>
      <c r="D116" s="275" t="s">
        <v>121</v>
      </c>
      <c r="E116" s="270" t="s">
        <v>121</v>
      </c>
      <c r="F116" s="255" t="s">
        <v>121</v>
      </c>
      <c r="G116" s="255" t="s">
        <v>121</v>
      </c>
      <c r="H116" s="255" t="s">
        <v>121</v>
      </c>
      <c r="I116" s="255" t="s">
        <v>121</v>
      </c>
      <c r="J116" s="255" t="s">
        <v>121</v>
      </c>
      <c r="K116" s="255" t="s">
        <v>121</v>
      </c>
      <c r="L116" s="255" t="s">
        <v>121</v>
      </c>
      <c r="M116" s="255" t="s">
        <v>121</v>
      </c>
      <c r="N116" s="255" t="s">
        <v>121</v>
      </c>
      <c r="O116" s="255" t="s">
        <v>121</v>
      </c>
      <c r="P116" s="255" t="s">
        <v>121</v>
      </c>
      <c r="Q116" s="405"/>
      <c r="R116" s="405"/>
      <c r="S116" s="405"/>
      <c r="T116" s="405"/>
      <c r="U116" s="255" t="s">
        <v>121</v>
      </c>
      <c r="V116" s="255" t="s">
        <v>121</v>
      </c>
      <c r="W116" s="255" t="s">
        <v>121</v>
      </c>
      <c r="X116" s="255" t="s">
        <v>121</v>
      </c>
      <c r="Y116" s="255" t="s">
        <v>121</v>
      </c>
      <c r="Z116" s="255" t="s">
        <v>121</v>
      </c>
      <c r="AA116" s="255" t="s">
        <v>121</v>
      </c>
      <c r="AB116" s="255" t="s">
        <v>121</v>
      </c>
      <c r="AC116" s="255" t="s">
        <v>121</v>
      </c>
      <c r="AD116" s="255" t="s">
        <v>121</v>
      </c>
      <c r="AE116" s="255" t="s">
        <v>121</v>
      </c>
      <c r="AF116" s="255" t="s">
        <v>121</v>
      </c>
      <c r="AG116" s="255" t="s">
        <v>121</v>
      </c>
      <c r="AH116" s="255" t="s">
        <v>121</v>
      </c>
      <c r="AI116" s="255" t="s">
        <v>121</v>
      </c>
      <c r="AJ116" s="255" t="s">
        <v>121</v>
      </c>
      <c r="AK116" s="255" t="s">
        <v>121</v>
      </c>
      <c r="AL116" s="255" t="s">
        <v>121</v>
      </c>
      <c r="AM116" s="255" t="s">
        <v>121</v>
      </c>
      <c r="AN116" s="255" t="s">
        <v>121</v>
      </c>
      <c r="AO116" s="255" t="s">
        <v>121</v>
      </c>
      <c r="AP116" s="255" t="s">
        <v>121</v>
      </c>
      <c r="AQ116" s="255" t="s">
        <v>121</v>
      </c>
      <c r="AR116" s="255" t="s">
        <v>121</v>
      </c>
      <c r="AS116" s="255" t="s">
        <v>121</v>
      </c>
      <c r="AT116" s="255" t="s">
        <v>121</v>
      </c>
      <c r="AU116" s="255" t="s">
        <v>121</v>
      </c>
      <c r="AV116" s="255" t="s">
        <v>121</v>
      </c>
      <c r="AW116" s="255" t="s">
        <v>121</v>
      </c>
      <c r="AX116" s="255" t="s">
        <v>121</v>
      </c>
      <c r="AY116" s="255" t="s">
        <v>121</v>
      </c>
      <c r="AZ116" s="255" t="s">
        <v>121</v>
      </c>
      <c r="BA116" s="255" t="s">
        <v>121</v>
      </c>
      <c r="BB116" s="255" t="s">
        <v>121</v>
      </c>
      <c r="BC116" s="255" t="s">
        <v>121</v>
      </c>
      <c r="BD116" s="255" t="s">
        <v>121</v>
      </c>
      <c r="BE116" s="255" t="s">
        <v>121</v>
      </c>
      <c r="BF116" s="255" t="s">
        <v>121</v>
      </c>
      <c r="BG116" s="255" t="s">
        <v>121</v>
      </c>
      <c r="BH116" s="255" t="s">
        <v>121</v>
      </c>
      <c r="BI116" s="255" t="s">
        <v>121</v>
      </c>
      <c r="BJ116" s="255" t="s">
        <v>121</v>
      </c>
      <c r="BK116" s="255" t="s">
        <v>121</v>
      </c>
      <c r="BL116" s="255" t="s">
        <v>121</v>
      </c>
      <c r="BM116" s="352" t="s">
        <v>121</v>
      </c>
      <c r="BN116" s="352" t="s">
        <v>121</v>
      </c>
      <c r="BO116" s="352" t="s">
        <v>121</v>
      </c>
      <c r="BP116" s="352" t="s">
        <v>121</v>
      </c>
      <c r="BQ116" s="352" t="s">
        <v>121</v>
      </c>
      <c r="BR116" s="352" t="s">
        <v>121</v>
      </c>
      <c r="BS116" s="352" t="s">
        <v>121</v>
      </c>
      <c r="BT116" s="352" t="s">
        <v>121</v>
      </c>
      <c r="BU116" s="352" t="s">
        <v>121</v>
      </c>
      <c r="BV116" s="352" t="s">
        <v>121</v>
      </c>
      <c r="BW116" s="352" t="s">
        <v>121</v>
      </c>
      <c r="BX116" s="352" t="s">
        <v>121</v>
      </c>
      <c r="BY116" s="352" t="s">
        <v>121</v>
      </c>
      <c r="BZ116" s="352" t="s">
        <v>121</v>
      </c>
      <c r="CA116" s="352" t="s">
        <v>121</v>
      </c>
      <c r="CB116" s="352" t="s">
        <v>121</v>
      </c>
      <c r="CC116" s="352" t="s">
        <v>121</v>
      </c>
      <c r="CD116" s="352" t="s">
        <v>121</v>
      </c>
      <c r="CE116" s="352" t="s">
        <v>121</v>
      </c>
      <c r="CF116" s="352" t="s">
        <v>121</v>
      </c>
      <c r="CG116" s="352" t="s">
        <v>121</v>
      </c>
      <c r="CH116" s="352" t="s">
        <v>121</v>
      </c>
      <c r="CI116" s="352" t="s">
        <v>121</v>
      </c>
      <c r="CJ116" s="352" t="s">
        <v>121</v>
      </c>
      <c r="CK116" s="352" t="s">
        <v>121</v>
      </c>
      <c r="CL116" s="352" t="s">
        <v>121</v>
      </c>
      <c r="CM116" s="352" t="s">
        <v>121</v>
      </c>
      <c r="CN116" s="352" t="s">
        <v>121</v>
      </c>
      <c r="CO116" s="352" t="s">
        <v>121</v>
      </c>
      <c r="CP116" s="352" t="s">
        <v>121</v>
      </c>
      <c r="CQ116" s="352" t="s">
        <v>121</v>
      </c>
      <c r="CR116" s="352" t="s">
        <v>121</v>
      </c>
      <c r="CS116" s="352" t="s">
        <v>121</v>
      </c>
      <c r="CT116" s="352" t="s">
        <v>121</v>
      </c>
      <c r="CU116" s="352" t="s">
        <v>121</v>
      </c>
      <c r="CV116" s="352" t="s">
        <v>121</v>
      </c>
      <c r="CW116" s="352" t="s">
        <v>121</v>
      </c>
      <c r="CX116" s="352" t="s">
        <v>121</v>
      </c>
      <c r="CY116" s="352" t="s">
        <v>121</v>
      </c>
      <c r="CZ116" s="352" t="s">
        <v>121</v>
      </c>
      <c r="DA116" s="352" t="s">
        <v>121</v>
      </c>
      <c r="DB116" s="352" t="s">
        <v>121</v>
      </c>
      <c r="DC116" s="352" t="s">
        <v>121</v>
      </c>
      <c r="DD116" s="352" t="s">
        <v>121</v>
      </c>
      <c r="DE116" s="352" t="s">
        <v>121</v>
      </c>
      <c r="DF116" s="352" t="s">
        <v>121</v>
      </c>
      <c r="DG116" s="352" t="s">
        <v>121</v>
      </c>
      <c r="DH116" s="352" t="s">
        <v>121</v>
      </c>
      <c r="DI116" s="352" t="s">
        <v>121</v>
      </c>
      <c r="DJ116" s="352" t="s">
        <v>121</v>
      </c>
      <c r="DK116" s="352" t="s">
        <v>121</v>
      </c>
      <c r="DL116" s="352" t="s">
        <v>121</v>
      </c>
      <c r="DM116" s="352" t="s">
        <v>121</v>
      </c>
      <c r="DN116" s="352" t="s">
        <v>121</v>
      </c>
      <c r="DO116" s="352" t="s">
        <v>121</v>
      </c>
      <c r="DP116" s="352" t="s">
        <v>121</v>
      </c>
      <c r="DQ116" s="352" t="s">
        <v>121</v>
      </c>
      <c r="DR116" s="352" t="s">
        <v>121</v>
      </c>
      <c r="DS116" s="352" t="s">
        <v>121</v>
      </c>
      <c r="DT116" s="352" t="s">
        <v>121</v>
      </c>
      <c r="DU116" s="352" t="s">
        <v>121</v>
      </c>
      <c r="DV116" s="352" t="s">
        <v>121</v>
      </c>
      <c r="DW116" s="352" t="s">
        <v>121</v>
      </c>
      <c r="DX116" s="352" t="s">
        <v>121</v>
      </c>
      <c r="DY116" s="352" t="s">
        <v>121</v>
      </c>
      <c r="DZ116" s="352" t="s">
        <v>121</v>
      </c>
      <c r="EA116" s="352" t="s">
        <v>121</v>
      </c>
      <c r="EB116" s="352" t="s">
        <v>121</v>
      </c>
      <c r="EC116" s="352" t="s">
        <v>121</v>
      </c>
      <c r="ED116" s="352" t="s">
        <v>121</v>
      </c>
      <c r="EE116" s="352" t="s">
        <v>121</v>
      </c>
      <c r="EF116" s="352" t="s">
        <v>121</v>
      </c>
      <c r="EG116" s="352" t="s">
        <v>121</v>
      </c>
      <c r="EH116" s="352" t="s">
        <v>121</v>
      </c>
      <c r="EI116" s="352" t="s">
        <v>121</v>
      </c>
      <c r="EJ116" s="352" t="s">
        <v>121</v>
      </c>
      <c r="EK116" s="352" t="s">
        <v>121</v>
      </c>
      <c r="EL116" s="352" t="s">
        <v>121</v>
      </c>
      <c r="EM116" s="352" t="s">
        <v>121</v>
      </c>
      <c r="EN116" s="352" t="s">
        <v>121</v>
      </c>
      <c r="EO116" s="352" t="s">
        <v>121</v>
      </c>
      <c r="EP116" s="352" t="s">
        <v>121</v>
      </c>
      <c r="EQ116" s="352" t="s">
        <v>121</v>
      </c>
      <c r="ER116" s="352" t="s">
        <v>121</v>
      </c>
      <c r="ES116" s="352" t="s">
        <v>121</v>
      </c>
      <c r="ET116" s="352" t="s">
        <v>121</v>
      </c>
      <c r="EU116" s="352" t="s">
        <v>121</v>
      </c>
      <c r="EV116" s="352" t="s">
        <v>121</v>
      </c>
      <c r="EW116" s="352" t="s">
        <v>121</v>
      </c>
      <c r="EX116" s="352" t="s">
        <v>121</v>
      </c>
    </row>
    <row r="117" spans="1:154" s="352" customFormat="1" ht="15" customHeight="1" x14ac:dyDescent="0.25">
      <c r="A117" s="273">
        <v>117</v>
      </c>
      <c r="B117" s="384" t="s">
        <v>115</v>
      </c>
      <c r="C117" s="345" t="s">
        <v>121</v>
      </c>
      <c r="D117" s="275" t="s">
        <v>121</v>
      </c>
      <c r="E117" s="270" t="s">
        <v>121</v>
      </c>
      <c r="F117" s="255" t="s">
        <v>121</v>
      </c>
      <c r="G117" s="255" t="s">
        <v>121</v>
      </c>
      <c r="H117" s="255" t="s">
        <v>121</v>
      </c>
      <c r="I117" s="255" t="s">
        <v>121</v>
      </c>
      <c r="J117" s="255" t="s">
        <v>121</v>
      </c>
      <c r="K117" s="255" t="s">
        <v>121</v>
      </c>
      <c r="L117" s="255" t="s">
        <v>121</v>
      </c>
      <c r="M117" s="255" t="s">
        <v>121</v>
      </c>
      <c r="N117" s="255" t="s">
        <v>121</v>
      </c>
      <c r="O117" s="255" t="s">
        <v>121</v>
      </c>
      <c r="P117" s="255" t="s">
        <v>121</v>
      </c>
      <c r="Q117" s="405"/>
      <c r="R117" s="405"/>
      <c r="S117" s="405"/>
      <c r="T117" s="405"/>
      <c r="U117" s="255" t="s">
        <v>121</v>
      </c>
      <c r="V117" s="255" t="s">
        <v>121</v>
      </c>
      <c r="W117" s="255" t="s">
        <v>121</v>
      </c>
      <c r="X117" s="255" t="s">
        <v>121</v>
      </c>
      <c r="Y117" s="255" t="s">
        <v>121</v>
      </c>
      <c r="Z117" s="255" t="s">
        <v>121</v>
      </c>
      <c r="AA117" s="255" t="s">
        <v>121</v>
      </c>
      <c r="AB117" s="255" t="s">
        <v>121</v>
      </c>
      <c r="AC117" s="255" t="s">
        <v>121</v>
      </c>
      <c r="AD117" s="255">
        <v>-20.665999999999997</v>
      </c>
      <c r="AE117" s="255">
        <v>81.626999999999995</v>
      </c>
      <c r="AF117" s="255">
        <v>9.6170000000000009</v>
      </c>
      <c r="AG117" s="255" t="s">
        <v>121</v>
      </c>
      <c r="AH117" s="255" t="s">
        <v>121</v>
      </c>
      <c r="AI117" s="255" t="s">
        <v>121</v>
      </c>
      <c r="AJ117" s="255" t="s">
        <v>121</v>
      </c>
      <c r="AK117" s="255" t="s">
        <v>121</v>
      </c>
      <c r="AL117" s="255" t="s">
        <v>121</v>
      </c>
      <c r="AM117" s="255" t="s">
        <v>121</v>
      </c>
      <c r="AN117" s="255" t="s">
        <v>121</v>
      </c>
      <c r="AO117" s="255" t="s">
        <v>121</v>
      </c>
      <c r="AP117" s="255" t="s">
        <v>121</v>
      </c>
      <c r="AQ117" s="255" t="s">
        <v>121</v>
      </c>
      <c r="AR117" s="255" t="s">
        <v>121</v>
      </c>
      <c r="AS117" s="255" t="s">
        <v>121</v>
      </c>
      <c r="AT117" s="255" t="s">
        <v>121</v>
      </c>
      <c r="AU117" s="255" t="s">
        <v>121</v>
      </c>
      <c r="AV117" s="255" t="s">
        <v>121</v>
      </c>
      <c r="AW117" s="255" t="s">
        <v>121</v>
      </c>
      <c r="AX117" s="255" t="s">
        <v>121</v>
      </c>
      <c r="AY117" s="255" t="s">
        <v>121</v>
      </c>
      <c r="AZ117" s="255" t="s">
        <v>121</v>
      </c>
      <c r="BA117" s="255" t="s">
        <v>121</v>
      </c>
      <c r="BB117" s="255" t="s">
        <v>121</v>
      </c>
      <c r="BC117" s="255" t="s">
        <v>121</v>
      </c>
      <c r="BD117" s="255" t="s">
        <v>121</v>
      </c>
      <c r="BE117" s="255" t="s">
        <v>121</v>
      </c>
      <c r="BF117" s="255" t="s">
        <v>121</v>
      </c>
      <c r="BG117" s="255" t="s">
        <v>121</v>
      </c>
      <c r="BH117" s="255" t="s">
        <v>121</v>
      </c>
      <c r="BI117" s="255" t="s">
        <v>121</v>
      </c>
      <c r="BJ117" s="255" t="s">
        <v>121</v>
      </c>
      <c r="BK117" s="255" t="s">
        <v>121</v>
      </c>
      <c r="BL117" s="255" t="s">
        <v>121</v>
      </c>
      <c r="BM117" s="352" t="s">
        <v>121</v>
      </c>
      <c r="BN117" s="352" t="s">
        <v>121</v>
      </c>
      <c r="BO117" s="352" t="s">
        <v>121</v>
      </c>
      <c r="BP117" s="352" t="s">
        <v>121</v>
      </c>
      <c r="BQ117" s="352" t="s">
        <v>121</v>
      </c>
      <c r="BR117" s="352" t="s">
        <v>121</v>
      </c>
      <c r="BS117" s="352" t="s">
        <v>121</v>
      </c>
      <c r="BT117" s="352" t="s">
        <v>121</v>
      </c>
      <c r="BU117" s="352" t="s">
        <v>121</v>
      </c>
      <c r="BV117" s="352" t="s">
        <v>121</v>
      </c>
      <c r="BW117" s="352" t="s">
        <v>121</v>
      </c>
      <c r="BX117" s="352" t="s">
        <v>121</v>
      </c>
      <c r="BY117" s="352" t="s">
        <v>121</v>
      </c>
      <c r="BZ117" s="352" t="s">
        <v>121</v>
      </c>
      <c r="CA117" s="352" t="s">
        <v>121</v>
      </c>
      <c r="CB117" s="352" t="s">
        <v>121</v>
      </c>
      <c r="CC117" s="352" t="s">
        <v>121</v>
      </c>
      <c r="CD117" s="352" t="s">
        <v>121</v>
      </c>
      <c r="CE117" s="352" t="s">
        <v>121</v>
      </c>
      <c r="CF117" s="352" t="s">
        <v>121</v>
      </c>
      <c r="CG117" s="352" t="s">
        <v>121</v>
      </c>
      <c r="CH117" s="352" t="s">
        <v>121</v>
      </c>
      <c r="CI117" s="352" t="s">
        <v>121</v>
      </c>
      <c r="CJ117" s="352" t="s">
        <v>121</v>
      </c>
      <c r="CK117" s="352" t="s">
        <v>121</v>
      </c>
      <c r="CL117" s="352" t="s">
        <v>121</v>
      </c>
      <c r="CM117" s="352" t="s">
        <v>121</v>
      </c>
      <c r="CN117" s="352" t="s">
        <v>121</v>
      </c>
      <c r="CO117" s="352" t="s">
        <v>121</v>
      </c>
      <c r="CP117" s="352" t="s">
        <v>121</v>
      </c>
      <c r="CQ117" s="352" t="s">
        <v>121</v>
      </c>
      <c r="CR117" s="352" t="s">
        <v>121</v>
      </c>
      <c r="CS117" s="352" t="s">
        <v>121</v>
      </c>
      <c r="CT117" s="352" t="s">
        <v>121</v>
      </c>
      <c r="CU117" s="352" t="s">
        <v>121</v>
      </c>
      <c r="CV117" s="352" t="s">
        <v>121</v>
      </c>
      <c r="CW117" s="352" t="s">
        <v>121</v>
      </c>
      <c r="CX117" s="352" t="s">
        <v>121</v>
      </c>
      <c r="CY117" s="352" t="s">
        <v>121</v>
      </c>
      <c r="CZ117" s="352" t="s">
        <v>121</v>
      </c>
      <c r="DA117" s="352" t="s">
        <v>121</v>
      </c>
      <c r="DB117" s="352" t="s">
        <v>121</v>
      </c>
      <c r="DC117" s="352" t="s">
        <v>121</v>
      </c>
      <c r="DD117" s="352" t="s">
        <v>121</v>
      </c>
      <c r="DE117" s="352" t="s">
        <v>121</v>
      </c>
      <c r="DF117" s="352" t="s">
        <v>121</v>
      </c>
      <c r="DG117" s="352" t="s">
        <v>121</v>
      </c>
      <c r="DH117" s="352" t="s">
        <v>121</v>
      </c>
      <c r="DI117" s="352" t="s">
        <v>121</v>
      </c>
      <c r="DJ117" s="352" t="s">
        <v>121</v>
      </c>
      <c r="DK117" s="352" t="s">
        <v>121</v>
      </c>
      <c r="DL117" s="352" t="s">
        <v>121</v>
      </c>
      <c r="DM117" s="352" t="s">
        <v>121</v>
      </c>
      <c r="DN117" s="352" t="s">
        <v>121</v>
      </c>
      <c r="DO117" s="352" t="s">
        <v>121</v>
      </c>
      <c r="DP117" s="352" t="s">
        <v>121</v>
      </c>
      <c r="DQ117" s="352" t="s">
        <v>121</v>
      </c>
      <c r="DR117" s="352" t="s">
        <v>121</v>
      </c>
      <c r="DS117" s="352" t="s">
        <v>121</v>
      </c>
      <c r="DT117" s="352" t="s">
        <v>121</v>
      </c>
      <c r="DU117" s="352" t="s">
        <v>121</v>
      </c>
      <c r="DV117" s="352" t="s">
        <v>121</v>
      </c>
      <c r="DW117" s="352" t="s">
        <v>121</v>
      </c>
      <c r="DX117" s="352" t="s">
        <v>121</v>
      </c>
      <c r="DY117" s="352" t="s">
        <v>121</v>
      </c>
      <c r="DZ117" s="352" t="s">
        <v>121</v>
      </c>
      <c r="EA117" s="352" t="s">
        <v>121</v>
      </c>
      <c r="EB117" s="352" t="s">
        <v>121</v>
      </c>
      <c r="EC117" s="352" t="s">
        <v>121</v>
      </c>
      <c r="ED117" s="352" t="s">
        <v>121</v>
      </c>
      <c r="EE117" s="352" t="s">
        <v>121</v>
      </c>
      <c r="EF117" s="352" t="s">
        <v>121</v>
      </c>
      <c r="EG117" s="352" t="s">
        <v>121</v>
      </c>
      <c r="EH117" s="352" t="s">
        <v>121</v>
      </c>
      <c r="EI117" s="352" t="s">
        <v>121</v>
      </c>
      <c r="EJ117" s="352" t="s">
        <v>121</v>
      </c>
      <c r="EK117" s="352" t="s">
        <v>121</v>
      </c>
      <c r="EL117" s="352" t="s">
        <v>121</v>
      </c>
      <c r="EM117" s="352" t="s">
        <v>121</v>
      </c>
      <c r="EN117" s="352" t="s">
        <v>121</v>
      </c>
      <c r="EO117" s="352" t="s">
        <v>121</v>
      </c>
      <c r="EP117" s="352" t="s">
        <v>121</v>
      </c>
      <c r="EQ117" s="352" t="s">
        <v>121</v>
      </c>
      <c r="ER117" s="352" t="s">
        <v>121</v>
      </c>
      <c r="ES117" s="352" t="s">
        <v>121</v>
      </c>
      <c r="ET117" s="352" t="s">
        <v>121</v>
      </c>
      <c r="EU117" s="352" t="s">
        <v>121</v>
      </c>
      <c r="EV117" s="352" t="s">
        <v>121</v>
      </c>
      <c r="EW117" s="352" t="s">
        <v>121</v>
      </c>
      <c r="EX117" s="352" t="s">
        <v>121</v>
      </c>
    </row>
    <row r="118" spans="1:154" s="352" customFormat="1" ht="15" customHeight="1" x14ac:dyDescent="0.25">
      <c r="A118" s="273">
        <v>118</v>
      </c>
      <c r="B118" s="384" t="s">
        <v>116</v>
      </c>
      <c r="C118" s="345" t="s">
        <v>121</v>
      </c>
      <c r="D118" s="275" t="s">
        <v>121</v>
      </c>
      <c r="E118" s="270" t="s">
        <v>121</v>
      </c>
      <c r="F118" s="255" t="s">
        <v>121</v>
      </c>
      <c r="G118" s="255" t="s">
        <v>121</v>
      </c>
      <c r="H118" s="255" t="s">
        <v>121</v>
      </c>
      <c r="I118" s="255" t="s">
        <v>121</v>
      </c>
      <c r="J118" s="255" t="s">
        <v>121</v>
      </c>
      <c r="K118" s="255" t="s">
        <v>121</v>
      </c>
      <c r="L118" s="255" t="s">
        <v>121</v>
      </c>
      <c r="M118" s="255">
        <v>504</v>
      </c>
      <c r="N118" s="255" t="s">
        <v>121</v>
      </c>
      <c r="O118" s="255" t="s">
        <v>121</v>
      </c>
      <c r="P118" s="255" t="s">
        <v>121</v>
      </c>
      <c r="Q118" s="405"/>
      <c r="R118" s="405"/>
      <c r="S118" s="405"/>
      <c r="T118" s="405"/>
      <c r="U118" s="255" t="s">
        <v>121</v>
      </c>
      <c r="V118" s="255" t="s">
        <v>121</v>
      </c>
      <c r="W118" s="255" t="s">
        <v>121</v>
      </c>
      <c r="X118" s="255" t="s">
        <v>121</v>
      </c>
      <c r="Y118" s="255">
        <v>25</v>
      </c>
      <c r="Z118" s="255" t="s">
        <v>121</v>
      </c>
      <c r="AA118" s="255" t="s">
        <v>121</v>
      </c>
      <c r="AB118" s="255" t="s">
        <v>121</v>
      </c>
      <c r="AC118" s="255" t="s">
        <v>121</v>
      </c>
      <c r="AD118" s="255" t="s">
        <v>121</v>
      </c>
      <c r="AE118" s="255" t="s">
        <v>121</v>
      </c>
      <c r="AF118" s="255" t="s">
        <v>121</v>
      </c>
      <c r="AG118" s="255" t="s">
        <v>121</v>
      </c>
      <c r="AH118" s="255" t="s">
        <v>121</v>
      </c>
      <c r="AI118" s="255" t="s">
        <v>121</v>
      </c>
      <c r="AJ118" s="255" t="s">
        <v>121</v>
      </c>
      <c r="AK118" s="255">
        <v>-205.83099999999999</v>
      </c>
      <c r="AL118" s="255" t="s">
        <v>121</v>
      </c>
      <c r="AM118" s="255" t="s">
        <v>121</v>
      </c>
      <c r="AN118" s="255" t="s">
        <v>121</v>
      </c>
      <c r="AO118" s="255" t="s">
        <v>121</v>
      </c>
      <c r="AP118" s="255" t="s">
        <v>121</v>
      </c>
      <c r="AQ118" s="255" t="s">
        <v>121</v>
      </c>
      <c r="AR118" s="255" t="s">
        <v>121</v>
      </c>
      <c r="AS118" s="255" t="s">
        <v>121</v>
      </c>
      <c r="AT118" s="255" t="s">
        <v>121</v>
      </c>
      <c r="AU118" s="255" t="s">
        <v>121</v>
      </c>
      <c r="AV118" s="255" t="s">
        <v>121</v>
      </c>
      <c r="AW118" s="255">
        <v>757.79899999999998</v>
      </c>
      <c r="AX118" s="255" t="s">
        <v>121</v>
      </c>
      <c r="AY118" s="255" t="s">
        <v>121</v>
      </c>
      <c r="AZ118" s="255" t="s">
        <v>121</v>
      </c>
      <c r="BA118" s="255" t="s">
        <v>121</v>
      </c>
      <c r="BB118" s="255" t="s">
        <v>121</v>
      </c>
      <c r="BC118" s="255" t="s">
        <v>121</v>
      </c>
      <c r="BD118" s="255" t="s">
        <v>121</v>
      </c>
      <c r="BE118" s="255">
        <v>254.74</v>
      </c>
      <c r="BF118" s="255" t="s">
        <v>121</v>
      </c>
      <c r="BG118" s="255" t="s">
        <v>121</v>
      </c>
      <c r="BH118" s="255" t="s">
        <v>121</v>
      </c>
      <c r="BI118" s="255">
        <v>1734.105</v>
      </c>
      <c r="BJ118" s="255" t="s">
        <v>121</v>
      </c>
      <c r="BK118" s="255" t="s">
        <v>121</v>
      </c>
      <c r="BL118" s="255" t="s">
        <v>121</v>
      </c>
      <c r="BM118" s="352" t="s">
        <v>121</v>
      </c>
      <c r="BN118" s="352" t="s">
        <v>121</v>
      </c>
      <c r="BO118" s="352" t="s">
        <v>121</v>
      </c>
      <c r="BP118" s="352" t="s">
        <v>121</v>
      </c>
      <c r="BQ118" s="352" t="s">
        <v>121</v>
      </c>
      <c r="BR118" s="352" t="s">
        <v>121</v>
      </c>
      <c r="BS118" s="352" t="s">
        <v>121</v>
      </c>
      <c r="BT118" s="352" t="s">
        <v>121</v>
      </c>
      <c r="BU118" s="352" t="s">
        <v>121</v>
      </c>
      <c r="BV118" s="352" t="s">
        <v>121</v>
      </c>
      <c r="BW118" s="352" t="s">
        <v>121</v>
      </c>
      <c r="BX118" s="352" t="s">
        <v>121</v>
      </c>
      <c r="BY118" s="352" t="s">
        <v>121</v>
      </c>
      <c r="BZ118" s="352" t="s">
        <v>121</v>
      </c>
      <c r="CA118" s="352" t="s">
        <v>121</v>
      </c>
      <c r="CB118" s="352" t="s">
        <v>121</v>
      </c>
      <c r="CC118" s="352" t="s">
        <v>121</v>
      </c>
      <c r="CD118" s="352" t="s">
        <v>121</v>
      </c>
      <c r="CE118" s="352" t="s">
        <v>121</v>
      </c>
      <c r="CF118" s="352" t="s">
        <v>121</v>
      </c>
      <c r="CG118" s="352" t="s">
        <v>121</v>
      </c>
      <c r="CH118" s="352" t="s">
        <v>121</v>
      </c>
      <c r="CI118" s="352" t="s">
        <v>121</v>
      </c>
      <c r="CJ118" s="352" t="s">
        <v>121</v>
      </c>
      <c r="CK118" s="352" t="s">
        <v>121</v>
      </c>
      <c r="CL118" s="352" t="s">
        <v>121</v>
      </c>
      <c r="CM118" s="352" t="s">
        <v>121</v>
      </c>
      <c r="CN118" s="352" t="s">
        <v>121</v>
      </c>
      <c r="CO118" s="352" t="s">
        <v>121</v>
      </c>
      <c r="CP118" s="352" t="s">
        <v>121</v>
      </c>
      <c r="CQ118" s="352" t="s">
        <v>121</v>
      </c>
      <c r="CR118" s="352" t="s">
        <v>121</v>
      </c>
      <c r="CS118" s="352" t="s">
        <v>121</v>
      </c>
      <c r="CT118" s="352" t="s">
        <v>121</v>
      </c>
      <c r="CU118" s="352" t="s">
        <v>121</v>
      </c>
      <c r="CV118" s="352" t="s">
        <v>121</v>
      </c>
      <c r="CW118" s="352" t="s">
        <v>121</v>
      </c>
      <c r="CX118" s="352" t="s">
        <v>121</v>
      </c>
      <c r="CY118" s="352" t="s">
        <v>121</v>
      </c>
      <c r="CZ118" s="352" t="s">
        <v>121</v>
      </c>
      <c r="DA118" s="352" t="s">
        <v>121</v>
      </c>
      <c r="DB118" s="352" t="s">
        <v>121</v>
      </c>
      <c r="DC118" s="352" t="s">
        <v>121</v>
      </c>
      <c r="DD118" s="352" t="s">
        <v>121</v>
      </c>
      <c r="DE118" s="352" t="s">
        <v>121</v>
      </c>
      <c r="DF118" s="352" t="s">
        <v>121</v>
      </c>
      <c r="DG118" s="352" t="s">
        <v>121</v>
      </c>
      <c r="DH118" s="352" t="s">
        <v>121</v>
      </c>
      <c r="DI118" s="352" t="s">
        <v>121</v>
      </c>
      <c r="DJ118" s="352" t="s">
        <v>121</v>
      </c>
      <c r="DK118" s="352" t="s">
        <v>121</v>
      </c>
      <c r="DL118" s="352" t="s">
        <v>121</v>
      </c>
      <c r="DM118" s="352" t="s">
        <v>121</v>
      </c>
      <c r="DN118" s="352" t="s">
        <v>121</v>
      </c>
      <c r="DO118" s="352" t="s">
        <v>121</v>
      </c>
      <c r="DP118" s="352" t="s">
        <v>121</v>
      </c>
      <c r="DQ118" s="352" t="s">
        <v>121</v>
      </c>
      <c r="DR118" s="352" t="s">
        <v>121</v>
      </c>
      <c r="DS118" s="352" t="s">
        <v>121</v>
      </c>
      <c r="DT118" s="352" t="s">
        <v>121</v>
      </c>
      <c r="DU118" s="352" t="s">
        <v>121</v>
      </c>
      <c r="DV118" s="352" t="s">
        <v>121</v>
      </c>
      <c r="DW118" s="352" t="s">
        <v>121</v>
      </c>
      <c r="DX118" s="352" t="s">
        <v>121</v>
      </c>
      <c r="DY118" s="352" t="s">
        <v>121</v>
      </c>
      <c r="DZ118" s="352" t="s">
        <v>121</v>
      </c>
      <c r="EA118" s="352" t="s">
        <v>121</v>
      </c>
      <c r="EB118" s="352" t="s">
        <v>121</v>
      </c>
      <c r="EC118" s="352" t="s">
        <v>121</v>
      </c>
      <c r="ED118" s="352" t="s">
        <v>121</v>
      </c>
      <c r="EE118" s="352" t="s">
        <v>121</v>
      </c>
      <c r="EF118" s="352" t="s">
        <v>121</v>
      </c>
      <c r="EG118" s="352" t="s">
        <v>121</v>
      </c>
      <c r="EH118" s="352" t="s">
        <v>121</v>
      </c>
      <c r="EI118" s="352" t="s">
        <v>121</v>
      </c>
      <c r="EJ118" s="352" t="s">
        <v>121</v>
      </c>
      <c r="EK118" s="352" t="s">
        <v>121</v>
      </c>
      <c r="EL118" s="352" t="s">
        <v>121</v>
      </c>
      <c r="EM118" s="352" t="s">
        <v>121</v>
      </c>
      <c r="EN118" s="352" t="s">
        <v>121</v>
      </c>
      <c r="EO118" s="352" t="s">
        <v>121</v>
      </c>
      <c r="EP118" s="352" t="s">
        <v>121</v>
      </c>
      <c r="EQ118" s="352" t="s">
        <v>121</v>
      </c>
      <c r="ER118" s="352" t="s">
        <v>121</v>
      </c>
      <c r="ES118" s="352" t="s">
        <v>121</v>
      </c>
      <c r="ET118" s="352" t="s">
        <v>121</v>
      </c>
      <c r="EU118" s="352" t="s">
        <v>121</v>
      </c>
      <c r="EV118" s="352" t="s">
        <v>121</v>
      </c>
      <c r="EW118" s="352" t="s">
        <v>121</v>
      </c>
      <c r="EX118" s="352" t="s">
        <v>121</v>
      </c>
    </row>
    <row r="119" spans="1:154" s="352" customFormat="1" ht="15" customHeight="1" x14ac:dyDescent="0.25">
      <c r="A119" s="273">
        <v>119</v>
      </c>
      <c r="B119" s="384" t="s">
        <v>117</v>
      </c>
      <c r="C119" s="345" t="s">
        <v>121</v>
      </c>
      <c r="D119" s="275" t="s">
        <v>121</v>
      </c>
      <c r="E119" s="270" t="s">
        <v>121</v>
      </c>
      <c r="F119" s="255" t="s">
        <v>121</v>
      </c>
      <c r="G119" s="255" t="s">
        <v>121</v>
      </c>
      <c r="H119" s="255" t="s">
        <v>121</v>
      </c>
      <c r="I119" s="255">
        <v>-190</v>
      </c>
      <c r="J119" s="255" t="s">
        <v>121</v>
      </c>
      <c r="K119" s="255" t="s">
        <v>121</v>
      </c>
      <c r="L119" s="255" t="s">
        <v>121</v>
      </c>
      <c r="M119" s="255">
        <v>-101</v>
      </c>
      <c r="N119" s="255" t="s">
        <v>121</v>
      </c>
      <c r="O119" s="255" t="s">
        <v>121</v>
      </c>
      <c r="P119" s="255" t="s">
        <v>121</v>
      </c>
      <c r="Q119" s="405"/>
      <c r="R119" s="405"/>
      <c r="S119" s="405"/>
      <c r="T119" s="405"/>
      <c r="U119" s="255" t="s">
        <v>121</v>
      </c>
      <c r="V119" s="255" t="s">
        <v>121</v>
      </c>
      <c r="W119" s="255" t="s">
        <v>121</v>
      </c>
      <c r="X119" s="255" t="s">
        <v>121</v>
      </c>
      <c r="Y119" s="255">
        <v>-5</v>
      </c>
      <c r="Z119" s="255" t="s">
        <v>121</v>
      </c>
      <c r="AA119" s="255" t="s">
        <v>121</v>
      </c>
      <c r="AB119" s="255" t="s">
        <v>121</v>
      </c>
      <c r="AC119" s="255" t="s">
        <v>121</v>
      </c>
      <c r="AD119" s="255" t="s">
        <v>121</v>
      </c>
      <c r="AE119" s="255" t="s">
        <v>121</v>
      </c>
      <c r="AF119" s="255" t="s">
        <v>121</v>
      </c>
      <c r="AG119" s="255" t="s">
        <v>121</v>
      </c>
      <c r="AH119" s="255" t="s">
        <v>121</v>
      </c>
      <c r="AI119" s="255" t="s">
        <v>121</v>
      </c>
      <c r="AJ119" s="255" t="s">
        <v>121</v>
      </c>
      <c r="AK119" s="255">
        <v>41.165999999999997</v>
      </c>
      <c r="AL119" s="255" t="s">
        <v>121</v>
      </c>
      <c r="AM119" s="255" t="s">
        <v>121</v>
      </c>
      <c r="AN119" s="255" t="s">
        <v>121</v>
      </c>
      <c r="AO119" s="255" t="s">
        <v>121</v>
      </c>
      <c r="AP119" s="255" t="s">
        <v>121</v>
      </c>
      <c r="AQ119" s="255" t="s">
        <v>121</v>
      </c>
      <c r="AR119" s="255" t="s">
        <v>121</v>
      </c>
      <c r="AS119" s="255" t="s">
        <v>121</v>
      </c>
      <c r="AT119" s="255" t="s">
        <v>121</v>
      </c>
      <c r="AU119" s="255" t="s">
        <v>121</v>
      </c>
      <c r="AV119" s="255" t="s">
        <v>121</v>
      </c>
      <c r="AW119" s="255">
        <v>-151.56</v>
      </c>
      <c r="AX119" s="255" t="s">
        <v>121</v>
      </c>
      <c r="AY119" s="255" t="s">
        <v>121</v>
      </c>
      <c r="AZ119" s="255" t="s">
        <v>121</v>
      </c>
      <c r="BA119" s="255" t="s">
        <v>121</v>
      </c>
      <c r="BB119" s="255" t="s">
        <v>121</v>
      </c>
      <c r="BC119" s="255" t="s">
        <v>121</v>
      </c>
      <c r="BD119" s="255" t="s">
        <v>121</v>
      </c>
      <c r="BE119" s="255" t="s">
        <v>121</v>
      </c>
      <c r="BF119" s="255" t="s">
        <v>121</v>
      </c>
      <c r="BG119" s="255" t="s">
        <v>121</v>
      </c>
      <c r="BH119" s="255" t="s">
        <v>121</v>
      </c>
      <c r="BI119" s="255" t="s">
        <v>121</v>
      </c>
      <c r="BJ119" s="255" t="s">
        <v>121</v>
      </c>
      <c r="BK119" s="255" t="s">
        <v>121</v>
      </c>
      <c r="BL119" s="255" t="s">
        <v>121</v>
      </c>
      <c r="BM119" s="352" t="s">
        <v>121</v>
      </c>
      <c r="BN119" s="352" t="s">
        <v>121</v>
      </c>
      <c r="BO119" s="352" t="s">
        <v>121</v>
      </c>
      <c r="BP119" s="352" t="s">
        <v>121</v>
      </c>
      <c r="BQ119" s="352" t="s">
        <v>121</v>
      </c>
      <c r="BR119" s="352" t="s">
        <v>121</v>
      </c>
      <c r="BS119" s="352" t="s">
        <v>121</v>
      </c>
      <c r="BT119" s="352" t="s">
        <v>121</v>
      </c>
      <c r="BU119" s="352" t="s">
        <v>121</v>
      </c>
      <c r="BV119" s="352" t="s">
        <v>121</v>
      </c>
      <c r="BW119" s="352" t="s">
        <v>121</v>
      </c>
      <c r="BX119" s="352" t="s">
        <v>121</v>
      </c>
      <c r="BY119" s="352" t="s">
        <v>121</v>
      </c>
      <c r="BZ119" s="352" t="s">
        <v>121</v>
      </c>
      <c r="CA119" s="352" t="s">
        <v>121</v>
      </c>
      <c r="CB119" s="352" t="s">
        <v>121</v>
      </c>
      <c r="CC119" s="352" t="s">
        <v>121</v>
      </c>
      <c r="CD119" s="352" t="s">
        <v>121</v>
      </c>
      <c r="CE119" s="352" t="s">
        <v>121</v>
      </c>
      <c r="CF119" s="352" t="s">
        <v>121</v>
      </c>
      <c r="CG119" s="352" t="s">
        <v>121</v>
      </c>
      <c r="CH119" s="352" t="s">
        <v>121</v>
      </c>
      <c r="CI119" s="352" t="s">
        <v>121</v>
      </c>
      <c r="CJ119" s="352" t="s">
        <v>121</v>
      </c>
      <c r="CK119" s="352" t="s">
        <v>121</v>
      </c>
      <c r="CL119" s="352" t="s">
        <v>121</v>
      </c>
      <c r="CM119" s="352" t="s">
        <v>121</v>
      </c>
      <c r="CN119" s="352" t="s">
        <v>121</v>
      </c>
      <c r="CO119" s="352" t="s">
        <v>121</v>
      </c>
      <c r="CP119" s="352" t="s">
        <v>121</v>
      </c>
      <c r="CQ119" s="352" t="s">
        <v>121</v>
      </c>
      <c r="CR119" s="352" t="s">
        <v>121</v>
      </c>
      <c r="CS119" s="352" t="s">
        <v>121</v>
      </c>
      <c r="CT119" s="352" t="s">
        <v>121</v>
      </c>
      <c r="CU119" s="352" t="s">
        <v>121</v>
      </c>
      <c r="CV119" s="352" t="s">
        <v>121</v>
      </c>
      <c r="CW119" s="352" t="s">
        <v>121</v>
      </c>
      <c r="CX119" s="352" t="s">
        <v>121</v>
      </c>
      <c r="CY119" s="352" t="s">
        <v>121</v>
      </c>
      <c r="CZ119" s="352" t="s">
        <v>121</v>
      </c>
      <c r="DA119" s="352" t="s">
        <v>121</v>
      </c>
      <c r="DB119" s="352" t="s">
        <v>121</v>
      </c>
      <c r="DC119" s="352" t="s">
        <v>121</v>
      </c>
      <c r="DD119" s="352" t="s">
        <v>121</v>
      </c>
      <c r="DE119" s="352" t="s">
        <v>121</v>
      </c>
      <c r="DF119" s="352" t="s">
        <v>121</v>
      </c>
      <c r="DG119" s="352" t="s">
        <v>121</v>
      </c>
      <c r="DH119" s="352" t="s">
        <v>121</v>
      </c>
      <c r="DI119" s="352" t="s">
        <v>121</v>
      </c>
      <c r="DJ119" s="352" t="s">
        <v>121</v>
      </c>
      <c r="DK119" s="352" t="s">
        <v>121</v>
      </c>
      <c r="DL119" s="352" t="s">
        <v>121</v>
      </c>
      <c r="DM119" s="352" t="s">
        <v>121</v>
      </c>
      <c r="DN119" s="352" t="s">
        <v>121</v>
      </c>
      <c r="DO119" s="352" t="s">
        <v>121</v>
      </c>
      <c r="DP119" s="352" t="s">
        <v>121</v>
      </c>
      <c r="DQ119" s="352" t="s">
        <v>121</v>
      </c>
      <c r="DR119" s="352" t="s">
        <v>121</v>
      </c>
      <c r="DS119" s="352" t="s">
        <v>121</v>
      </c>
      <c r="DT119" s="352" t="s">
        <v>121</v>
      </c>
      <c r="DU119" s="352" t="s">
        <v>121</v>
      </c>
      <c r="DV119" s="352" t="s">
        <v>121</v>
      </c>
      <c r="DW119" s="352" t="s">
        <v>121</v>
      </c>
      <c r="DX119" s="352" t="s">
        <v>121</v>
      </c>
      <c r="DY119" s="352" t="s">
        <v>121</v>
      </c>
      <c r="DZ119" s="352" t="s">
        <v>121</v>
      </c>
      <c r="EA119" s="352" t="s">
        <v>121</v>
      </c>
      <c r="EB119" s="352" t="s">
        <v>121</v>
      </c>
      <c r="EC119" s="352" t="s">
        <v>121</v>
      </c>
      <c r="ED119" s="352" t="s">
        <v>121</v>
      </c>
      <c r="EE119" s="352" t="s">
        <v>121</v>
      </c>
      <c r="EF119" s="352" t="s">
        <v>121</v>
      </c>
      <c r="EG119" s="352" t="s">
        <v>121</v>
      </c>
      <c r="EH119" s="352" t="s">
        <v>121</v>
      </c>
      <c r="EI119" s="352" t="s">
        <v>121</v>
      </c>
      <c r="EJ119" s="352" t="s">
        <v>121</v>
      </c>
      <c r="EK119" s="352" t="s">
        <v>121</v>
      </c>
      <c r="EL119" s="352" t="s">
        <v>121</v>
      </c>
      <c r="EM119" s="352" t="s">
        <v>121</v>
      </c>
      <c r="EN119" s="352" t="s">
        <v>121</v>
      </c>
      <c r="EO119" s="352" t="s">
        <v>121</v>
      </c>
      <c r="EP119" s="352" t="s">
        <v>121</v>
      </c>
      <c r="EQ119" s="352" t="s">
        <v>121</v>
      </c>
      <c r="ER119" s="352" t="s">
        <v>121</v>
      </c>
      <c r="ES119" s="352" t="s">
        <v>121</v>
      </c>
      <c r="ET119" s="352" t="s">
        <v>121</v>
      </c>
      <c r="EU119" s="352" t="s">
        <v>121</v>
      </c>
      <c r="EV119" s="352" t="s">
        <v>121</v>
      </c>
      <c r="EW119" s="352" t="s">
        <v>121</v>
      </c>
      <c r="EX119" s="352" t="s">
        <v>121</v>
      </c>
    </row>
    <row r="120" spans="1:154" s="19" customFormat="1" ht="26.25" customHeight="1" x14ac:dyDescent="0.25">
      <c r="A120" s="72">
        <v>120</v>
      </c>
      <c r="B120" s="54" t="s">
        <v>430</v>
      </c>
      <c r="C120" s="91" t="s">
        <v>121</v>
      </c>
      <c r="D120" s="86" t="s">
        <v>121</v>
      </c>
      <c r="E120" s="94" t="s">
        <v>121</v>
      </c>
      <c r="F120" s="65" t="s">
        <v>121</v>
      </c>
      <c r="G120" s="65" t="s">
        <v>121</v>
      </c>
      <c r="H120" s="256" t="s">
        <v>121</v>
      </c>
      <c r="I120" s="65" t="s">
        <v>121</v>
      </c>
      <c r="J120" s="65" t="s">
        <v>121</v>
      </c>
      <c r="K120" s="65" t="s">
        <v>121</v>
      </c>
      <c r="L120" s="256" t="s">
        <v>121</v>
      </c>
      <c r="M120" s="65" t="s">
        <v>121</v>
      </c>
      <c r="N120" s="65" t="s">
        <v>121</v>
      </c>
      <c r="O120" s="65" t="s">
        <v>121</v>
      </c>
      <c r="P120" s="65" t="s">
        <v>121</v>
      </c>
      <c r="Q120" s="405"/>
      <c r="R120" s="405"/>
      <c r="S120" s="405"/>
      <c r="T120" s="405"/>
      <c r="U120" s="65" t="s">
        <v>121</v>
      </c>
      <c r="V120" s="65" t="s">
        <v>121</v>
      </c>
      <c r="W120" s="65" t="s">
        <v>121</v>
      </c>
      <c r="X120" s="65" t="s">
        <v>121</v>
      </c>
      <c r="Y120" s="65" t="s">
        <v>121</v>
      </c>
      <c r="Z120" s="65" t="s">
        <v>121</v>
      </c>
      <c r="AA120" s="65" t="s">
        <v>121</v>
      </c>
      <c r="AB120" s="65" t="s">
        <v>121</v>
      </c>
      <c r="AC120" s="65" t="s">
        <v>121</v>
      </c>
      <c r="AD120" s="65" t="s">
        <v>121</v>
      </c>
      <c r="AE120" s="65" t="s">
        <v>121</v>
      </c>
      <c r="AF120" s="147" t="s">
        <v>121</v>
      </c>
      <c r="AG120" s="22" t="s">
        <v>121</v>
      </c>
      <c r="AH120" s="22" t="s">
        <v>121</v>
      </c>
      <c r="AI120" s="65" t="s">
        <v>121</v>
      </c>
      <c r="AJ120" s="65" t="s">
        <v>121</v>
      </c>
      <c r="AK120" s="65" t="s">
        <v>121</v>
      </c>
      <c r="AL120" s="65" t="s">
        <v>121</v>
      </c>
      <c r="AM120" s="65" t="s">
        <v>121</v>
      </c>
      <c r="AN120" s="65" t="s">
        <v>121</v>
      </c>
      <c r="AO120" s="65" t="s">
        <v>121</v>
      </c>
      <c r="AP120" s="65" t="s">
        <v>121</v>
      </c>
      <c r="AQ120" s="65" t="s">
        <v>121</v>
      </c>
      <c r="AR120" s="65" t="s">
        <v>121</v>
      </c>
      <c r="AS120" s="65" t="s">
        <v>121</v>
      </c>
      <c r="AT120" s="65" t="s">
        <v>121</v>
      </c>
      <c r="AU120" s="65" t="s">
        <v>121</v>
      </c>
      <c r="AV120" s="65" t="s">
        <v>121</v>
      </c>
      <c r="AW120" s="65" t="s">
        <v>121</v>
      </c>
      <c r="AX120" s="20" t="s">
        <v>121</v>
      </c>
      <c r="AY120" s="20" t="s">
        <v>121</v>
      </c>
      <c r="AZ120" s="65" t="s">
        <v>121</v>
      </c>
      <c r="BA120" s="20" t="s">
        <v>121</v>
      </c>
      <c r="BB120" s="20" t="s">
        <v>121</v>
      </c>
      <c r="BC120" s="20" t="s">
        <v>121</v>
      </c>
      <c r="BD120" s="20" t="s">
        <v>121</v>
      </c>
      <c r="BE120" s="20" t="s">
        <v>121</v>
      </c>
      <c r="BF120" s="20" t="s">
        <v>121</v>
      </c>
      <c r="BG120" s="20" t="s">
        <v>121</v>
      </c>
      <c r="BH120" s="20" t="s">
        <v>121</v>
      </c>
      <c r="BI120" s="20" t="s">
        <v>121</v>
      </c>
      <c r="BJ120" s="20" t="s">
        <v>121</v>
      </c>
      <c r="BK120" s="20" t="s">
        <v>121</v>
      </c>
      <c r="BL120" s="20" t="s">
        <v>121</v>
      </c>
      <c r="BM120" s="19" t="s">
        <v>121</v>
      </c>
      <c r="BN120" s="19" t="s">
        <v>121</v>
      </c>
      <c r="BO120" s="19" t="s">
        <v>121</v>
      </c>
      <c r="BP120" s="19" t="s">
        <v>121</v>
      </c>
      <c r="BQ120" s="19" t="s">
        <v>121</v>
      </c>
      <c r="BR120" s="19" t="s">
        <v>121</v>
      </c>
      <c r="BS120" s="19" t="s">
        <v>121</v>
      </c>
      <c r="BT120" s="19" t="s">
        <v>121</v>
      </c>
      <c r="BU120" s="19" t="s">
        <v>121</v>
      </c>
      <c r="BV120" s="19" t="s">
        <v>121</v>
      </c>
      <c r="BW120" s="19" t="s">
        <v>121</v>
      </c>
      <c r="BX120" s="19" t="s">
        <v>121</v>
      </c>
      <c r="BY120" s="19" t="s">
        <v>121</v>
      </c>
      <c r="BZ120" s="19" t="s">
        <v>121</v>
      </c>
      <c r="CA120" s="19" t="s">
        <v>121</v>
      </c>
      <c r="CB120" s="19" t="s">
        <v>121</v>
      </c>
      <c r="CC120" s="19" t="s">
        <v>121</v>
      </c>
      <c r="CD120" s="19" t="s">
        <v>121</v>
      </c>
      <c r="CE120" s="19" t="s">
        <v>121</v>
      </c>
      <c r="CF120" s="19" t="s">
        <v>121</v>
      </c>
      <c r="CG120" s="19" t="s">
        <v>121</v>
      </c>
      <c r="CH120" s="19" t="s">
        <v>121</v>
      </c>
      <c r="CI120" s="19" t="s">
        <v>121</v>
      </c>
      <c r="CJ120" s="19" t="s">
        <v>121</v>
      </c>
      <c r="CK120" s="19" t="s">
        <v>121</v>
      </c>
      <c r="CL120" s="19" t="s">
        <v>121</v>
      </c>
      <c r="CM120" s="19" t="s">
        <v>121</v>
      </c>
      <c r="CN120" s="19" t="s">
        <v>121</v>
      </c>
      <c r="CO120" s="19" t="s">
        <v>121</v>
      </c>
      <c r="CP120" s="19" t="s">
        <v>121</v>
      </c>
      <c r="CQ120" s="19" t="s">
        <v>121</v>
      </c>
      <c r="CR120" s="19" t="s">
        <v>121</v>
      </c>
      <c r="CS120" s="19" t="s">
        <v>121</v>
      </c>
      <c r="CT120" s="19" t="s">
        <v>121</v>
      </c>
      <c r="CU120" s="19" t="s">
        <v>121</v>
      </c>
      <c r="CV120" s="19" t="s">
        <v>121</v>
      </c>
      <c r="CW120" s="19" t="s">
        <v>121</v>
      </c>
      <c r="CX120" s="19" t="s">
        <v>121</v>
      </c>
      <c r="CY120" s="19" t="s">
        <v>121</v>
      </c>
      <c r="CZ120" s="19" t="s">
        <v>121</v>
      </c>
      <c r="DA120" s="19" t="s">
        <v>121</v>
      </c>
      <c r="DB120" s="19" t="s">
        <v>121</v>
      </c>
      <c r="DC120" s="19" t="s">
        <v>121</v>
      </c>
      <c r="DD120" s="19" t="s">
        <v>121</v>
      </c>
      <c r="DE120" s="19" t="s">
        <v>121</v>
      </c>
      <c r="DF120" s="19" t="s">
        <v>121</v>
      </c>
      <c r="DG120" s="19" t="s">
        <v>121</v>
      </c>
      <c r="DH120" s="19" t="s">
        <v>121</v>
      </c>
      <c r="DI120" s="19" t="s">
        <v>121</v>
      </c>
      <c r="DJ120" s="19" t="s">
        <v>121</v>
      </c>
      <c r="DK120" s="19" t="s">
        <v>121</v>
      </c>
      <c r="DL120" s="19" t="s">
        <v>121</v>
      </c>
      <c r="DM120" s="19" t="s">
        <v>121</v>
      </c>
      <c r="DN120" s="19" t="s">
        <v>121</v>
      </c>
      <c r="DO120" s="19" t="s">
        <v>121</v>
      </c>
      <c r="DP120" s="19" t="s">
        <v>121</v>
      </c>
      <c r="DQ120" s="19" t="s">
        <v>121</v>
      </c>
      <c r="DR120" s="19" t="s">
        <v>121</v>
      </c>
      <c r="DS120" s="19" t="s">
        <v>121</v>
      </c>
      <c r="DT120" s="19" t="s">
        <v>121</v>
      </c>
      <c r="DU120" s="19" t="s">
        <v>121</v>
      </c>
      <c r="DV120" s="19" t="s">
        <v>121</v>
      </c>
      <c r="DW120" s="19" t="s">
        <v>121</v>
      </c>
      <c r="DX120" s="19" t="s">
        <v>121</v>
      </c>
      <c r="DY120" s="19" t="s">
        <v>121</v>
      </c>
      <c r="DZ120" s="19" t="s">
        <v>121</v>
      </c>
      <c r="EA120" s="19" t="s">
        <v>121</v>
      </c>
      <c r="EB120" s="19" t="s">
        <v>121</v>
      </c>
      <c r="EC120" s="19" t="s">
        <v>121</v>
      </c>
      <c r="ED120" s="19" t="s">
        <v>121</v>
      </c>
      <c r="EE120" s="19" t="s">
        <v>121</v>
      </c>
      <c r="EF120" s="19" t="s">
        <v>121</v>
      </c>
      <c r="EG120" s="19" t="s">
        <v>121</v>
      </c>
      <c r="EH120" s="19" t="s">
        <v>121</v>
      </c>
      <c r="EI120" s="19" t="s">
        <v>121</v>
      </c>
      <c r="EJ120" s="19" t="s">
        <v>121</v>
      </c>
      <c r="EK120" s="19" t="s">
        <v>121</v>
      </c>
      <c r="EL120" s="19" t="s">
        <v>121</v>
      </c>
      <c r="EM120" s="19" t="s">
        <v>121</v>
      </c>
      <c r="EN120" s="19" t="s">
        <v>121</v>
      </c>
      <c r="EO120" s="19" t="s">
        <v>121</v>
      </c>
      <c r="EP120" s="19" t="s">
        <v>121</v>
      </c>
      <c r="EQ120" s="19" t="s">
        <v>121</v>
      </c>
      <c r="ER120" s="19" t="s">
        <v>121</v>
      </c>
      <c r="ES120" s="19" t="s">
        <v>121</v>
      </c>
      <c r="ET120" s="19" t="s">
        <v>121</v>
      </c>
      <c r="EU120" s="19" t="s">
        <v>121</v>
      </c>
      <c r="EV120" s="19" t="s">
        <v>121</v>
      </c>
      <c r="EW120" s="19" t="s">
        <v>121</v>
      </c>
      <c r="EX120" s="19" t="s">
        <v>121</v>
      </c>
    </row>
    <row r="121" spans="1:154" s="19" customFormat="1" ht="15" customHeight="1" x14ac:dyDescent="0.25">
      <c r="A121" s="72">
        <v>121</v>
      </c>
      <c r="B121" s="30" t="s">
        <v>428</v>
      </c>
      <c r="C121" s="91" t="s">
        <v>121</v>
      </c>
      <c r="D121" s="86" t="s">
        <v>121</v>
      </c>
      <c r="E121" s="94" t="s">
        <v>121</v>
      </c>
      <c r="F121" s="22">
        <v>8747</v>
      </c>
      <c r="G121" s="22">
        <v>9139</v>
      </c>
      <c r="H121" s="22">
        <v>15529</v>
      </c>
      <c r="I121" s="22">
        <v>13019</v>
      </c>
      <c r="J121" s="22">
        <v>12953</v>
      </c>
      <c r="K121" s="22">
        <v>11285</v>
      </c>
      <c r="L121" s="22">
        <v>13017</v>
      </c>
      <c r="M121" s="22">
        <v>11444</v>
      </c>
      <c r="N121" s="22">
        <v>8071</v>
      </c>
      <c r="O121" s="22">
        <v>13683</v>
      </c>
      <c r="P121" s="22">
        <v>14590</v>
      </c>
      <c r="Q121" s="405"/>
      <c r="R121" s="405"/>
      <c r="S121" s="405"/>
      <c r="T121" s="405"/>
      <c r="U121" s="22">
        <v>6853</v>
      </c>
      <c r="V121" s="22">
        <v>4143</v>
      </c>
      <c r="W121" s="22">
        <v>4962</v>
      </c>
      <c r="X121" s="22">
        <v>2418</v>
      </c>
      <c r="Y121" s="22">
        <v>4441.6350000000039</v>
      </c>
      <c r="Z121" s="22">
        <v>2854.039999999995</v>
      </c>
      <c r="AA121" s="22">
        <v>2041.6040000000012</v>
      </c>
      <c r="AB121" s="22">
        <v>1573.721</v>
      </c>
      <c r="AC121" s="22">
        <v>2423.780999999999</v>
      </c>
      <c r="AD121" s="22">
        <v>2104.721</v>
      </c>
      <c r="AE121" s="22">
        <v>2505.9169999999999</v>
      </c>
      <c r="AF121" s="147">
        <v>1246.1300000000001</v>
      </c>
      <c r="AG121" s="22">
        <v>2267.59</v>
      </c>
      <c r="AH121" s="22">
        <v>1517.9800000000005</v>
      </c>
      <c r="AI121" s="22">
        <v>1806.3089999999997</v>
      </c>
      <c r="AJ121" s="22">
        <v>2300.9389999999999</v>
      </c>
      <c r="AK121" s="22">
        <v>1765.0870000000004</v>
      </c>
      <c r="AL121" s="22">
        <v>1813.6909999999998</v>
      </c>
      <c r="AM121" s="22">
        <v>1787.0079999999984</v>
      </c>
      <c r="AN121" s="22">
        <v>1564.7420000000011</v>
      </c>
      <c r="AO121" s="22">
        <v>811.17199999999912</v>
      </c>
      <c r="AP121" s="22">
        <v>1402.8470000000013</v>
      </c>
      <c r="AQ121" s="22">
        <v>1214.7419999999979</v>
      </c>
      <c r="AR121" s="22">
        <v>1736.5820000000008</v>
      </c>
      <c r="AS121" s="22">
        <v>1279.0180000000028</v>
      </c>
      <c r="AT121" s="22">
        <v>1612.6009999999949</v>
      </c>
      <c r="AU121" s="22">
        <v>1719.2040000000011</v>
      </c>
      <c r="AV121" s="22">
        <v>1891.5789999999995</v>
      </c>
      <c r="AW121" s="22">
        <v>1137.1660000000036</v>
      </c>
      <c r="AX121" s="22">
        <v>1506.0450000000012</v>
      </c>
      <c r="AY121" s="22">
        <v>971.0169999999996</v>
      </c>
      <c r="AZ121" s="22">
        <v>1936.3470000000004</v>
      </c>
      <c r="BA121" s="22">
        <v>25.889000000002056</v>
      </c>
      <c r="BB121" s="22">
        <v>1315.0189999999998</v>
      </c>
      <c r="BC121" s="22">
        <v>1391.709000000001</v>
      </c>
      <c r="BD121" s="22">
        <v>1085.8349999999996</v>
      </c>
      <c r="BE121" s="22">
        <v>376.63000000000142</v>
      </c>
      <c r="BF121" s="22">
        <v>919.73400000000061</v>
      </c>
      <c r="BG121" s="22">
        <v>505.69899999999984</v>
      </c>
      <c r="BH121" s="22">
        <v>454.56099999999969</v>
      </c>
      <c r="BI121" s="22">
        <v>4161.0219999999999</v>
      </c>
      <c r="BJ121" s="22">
        <v>1376.1819999999998</v>
      </c>
      <c r="BK121" s="22">
        <v>1721.6070000000002</v>
      </c>
      <c r="BL121" s="22">
        <v>2251.1540000000005</v>
      </c>
      <c r="BM121" s="19">
        <v>1975.0430000000006</v>
      </c>
      <c r="BN121" s="19">
        <v>1316.7050000000006</v>
      </c>
      <c r="BO121" s="19">
        <v>913.17700000000059</v>
      </c>
      <c r="BP121" s="19">
        <v>469.56200000000024</v>
      </c>
      <c r="BQ121" s="19" t="s">
        <v>121</v>
      </c>
      <c r="BR121" s="19" t="s">
        <v>121</v>
      </c>
      <c r="BS121" s="19" t="s">
        <v>121</v>
      </c>
      <c r="BT121" s="19" t="s">
        <v>121</v>
      </c>
      <c r="BU121" s="19" t="s">
        <v>121</v>
      </c>
      <c r="BV121" s="19" t="s">
        <v>121</v>
      </c>
      <c r="BW121" s="19" t="s">
        <v>121</v>
      </c>
      <c r="BX121" s="19" t="s">
        <v>121</v>
      </c>
      <c r="BY121" s="19" t="s">
        <v>121</v>
      </c>
      <c r="BZ121" s="19" t="s">
        <v>121</v>
      </c>
      <c r="CA121" s="19" t="s">
        <v>121</v>
      </c>
      <c r="CB121" s="19" t="s">
        <v>121</v>
      </c>
      <c r="CC121" s="19" t="s">
        <v>121</v>
      </c>
      <c r="CD121" s="19" t="s">
        <v>121</v>
      </c>
      <c r="CE121" s="19" t="s">
        <v>121</v>
      </c>
      <c r="CF121" s="19" t="s">
        <v>121</v>
      </c>
      <c r="CG121" s="19" t="s">
        <v>121</v>
      </c>
      <c r="CH121" s="19" t="s">
        <v>121</v>
      </c>
      <c r="CI121" s="19" t="s">
        <v>121</v>
      </c>
      <c r="CJ121" s="19" t="s">
        <v>121</v>
      </c>
      <c r="CK121" s="19" t="s">
        <v>121</v>
      </c>
      <c r="CL121" s="19" t="s">
        <v>121</v>
      </c>
      <c r="CM121" s="19" t="s">
        <v>121</v>
      </c>
      <c r="CN121" s="19" t="s">
        <v>121</v>
      </c>
      <c r="CO121" s="19" t="s">
        <v>121</v>
      </c>
      <c r="CP121" s="19" t="s">
        <v>121</v>
      </c>
      <c r="CQ121" s="19" t="s">
        <v>121</v>
      </c>
      <c r="CR121" s="19" t="s">
        <v>121</v>
      </c>
      <c r="CS121" s="19" t="s">
        <v>121</v>
      </c>
      <c r="CT121" s="19" t="s">
        <v>121</v>
      </c>
      <c r="CU121" s="19" t="s">
        <v>121</v>
      </c>
      <c r="CV121" s="19" t="s">
        <v>121</v>
      </c>
      <c r="CW121" s="19" t="s">
        <v>121</v>
      </c>
      <c r="CX121" s="19" t="s">
        <v>121</v>
      </c>
      <c r="CY121" s="19" t="s">
        <v>121</v>
      </c>
      <c r="CZ121" s="19" t="s">
        <v>121</v>
      </c>
      <c r="DA121" s="19" t="s">
        <v>121</v>
      </c>
      <c r="DB121" s="19" t="s">
        <v>121</v>
      </c>
      <c r="DC121" s="19" t="s">
        <v>121</v>
      </c>
      <c r="DD121" s="19" t="s">
        <v>121</v>
      </c>
      <c r="DE121" s="19" t="s">
        <v>121</v>
      </c>
      <c r="DF121" s="19" t="s">
        <v>121</v>
      </c>
      <c r="DG121" s="19" t="s">
        <v>121</v>
      </c>
      <c r="DH121" s="19" t="s">
        <v>121</v>
      </c>
      <c r="DI121" s="19" t="s">
        <v>121</v>
      </c>
      <c r="DJ121" s="19" t="s">
        <v>121</v>
      </c>
      <c r="DK121" s="19" t="s">
        <v>121</v>
      </c>
      <c r="DL121" s="19" t="s">
        <v>121</v>
      </c>
      <c r="DM121" s="19" t="s">
        <v>121</v>
      </c>
      <c r="DN121" s="19" t="s">
        <v>121</v>
      </c>
      <c r="DO121" s="19" t="s">
        <v>121</v>
      </c>
      <c r="DP121" s="19" t="s">
        <v>121</v>
      </c>
      <c r="DQ121" s="19" t="s">
        <v>121</v>
      </c>
      <c r="DR121" s="19" t="s">
        <v>121</v>
      </c>
      <c r="DS121" s="19" t="s">
        <v>121</v>
      </c>
      <c r="DT121" s="19" t="s">
        <v>121</v>
      </c>
      <c r="DU121" s="19" t="s">
        <v>121</v>
      </c>
      <c r="DV121" s="19" t="s">
        <v>121</v>
      </c>
      <c r="DW121" s="19" t="s">
        <v>121</v>
      </c>
      <c r="DX121" s="19" t="s">
        <v>121</v>
      </c>
      <c r="DY121" s="19" t="s">
        <v>121</v>
      </c>
      <c r="DZ121" s="19" t="s">
        <v>121</v>
      </c>
      <c r="EA121" s="19" t="s">
        <v>121</v>
      </c>
      <c r="EB121" s="19" t="s">
        <v>121</v>
      </c>
      <c r="EC121" s="19" t="s">
        <v>121</v>
      </c>
      <c r="ED121" s="19" t="s">
        <v>121</v>
      </c>
      <c r="EE121" s="19" t="s">
        <v>121</v>
      </c>
      <c r="EF121" s="19" t="s">
        <v>121</v>
      </c>
      <c r="EG121" s="19" t="s">
        <v>121</v>
      </c>
      <c r="EH121" s="19" t="s">
        <v>121</v>
      </c>
      <c r="EI121" s="19" t="s">
        <v>121</v>
      </c>
      <c r="EJ121" s="19" t="s">
        <v>121</v>
      </c>
      <c r="EK121" s="19" t="s">
        <v>121</v>
      </c>
      <c r="EL121" s="19" t="s">
        <v>121</v>
      </c>
      <c r="EM121" s="19" t="s">
        <v>121</v>
      </c>
      <c r="EN121" s="19" t="s">
        <v>121</v>
      </c>
      <c r="EO121" s="19" t="s">
        <v>121</v>
      </c>
      <c r="EP121" s="19" t="s">
        <v>121</v>
      </c>
      <c r="EQ121" s="19" t="s">
        <v>121</v>
      </c>
      <c r="ER121" s="19" t="s">
        <v>121</v>
      </c>
      <c r="ES121" s="19" t="s">
        <v>121</v>
      </c>
      <c r="ET121" s="19" t="s">
        <v>121</v>
      </c>
      <c r="EU121" s="19" t="s">
        <v>121</v>
      </c>
      <c r="EV121" s="19" t="s">
        <v>121</v>
      </c>
      <c r="EW121" s="19" t="s">
        <v>121</v>
      </c>
      <c r="EX121" s="19" t="s">
        <v>121</v>
      </c>
    </row>
    <row r="122" spans="1:154" s="19" customFormat="1" ht="15" customHeight="1" x14ac:dyDescent="0.25">
      <c r="A122" s="72">
        <v>122</v>
      </c>
      <c r="B122" s="30" t="s">
        <v>308</v>
      </c>
      <c r="C122" s="91" t="s">
        <v>121</v>
      </c>
      <c r="D122" s="86" t="s">
        <v>121</v>
      </c>
      <c r="E122" s="94" t="s">
        <v>121</v>
      </c>
      <c r="F122" s="22" t="s">
        <v>121</v>
      </c>
      <c r="G122" s="22" t="s">
        <v>121</v>
      </c>
      <c r="H122" s="22" t="s">
        <v>121</v>
      </c>
      <c r="I122" s="22" t="s">
        <v>121</v>
      </c>
      <c r="J122" s="22" t="s">
        <v>121</v>
      </c>
      <c r="K122" s="22" t="s">
        <v>121</v>
      </c>
      <c r="L122" s="22" t="s">
        <v>121</v>
      </c>
      <c r="M122" s="22" t="s">
        <v>121</v>
      </c>
      <c r="N122" s="22" t="s">
        <v>121</v>
      </c>
      <c r="O122" s="22" t="s">
        <v>121</v>
      </c>
      <c r="P122" s="22" t="s">
        <v>121</v>
      </c>
      <c r="Q122" s="405"/>
      <c r="R122" s="405"/>
      <c r="S122" s="405"/>
      <c r="T122" s="405"/>
      <c r="U122" s="22" t="s">
        <v>121</v>
      </c>
      <c r="V122" s="22" t="s">
        <v>121</v>
      </c>
      <c r="W122" s="22" t="s">
        <v>121</v>
      </c>
      <c r="X122" s="22" t="s">
        <v>121</v>
      </c>
      <c r="Y122" s="22" t="s">
        <v>121</v>
      </c>
      <c r="Z122" s="22" t="s">
        <v>121</v>
      </c>
      <c r="AA122" s="22" t="s">
        <v>121</v>
      </c>
      <c r="AB122" s="22" t="s">
        <v>121</v>
      </c>
      <c r="AC122" s="22">
        <v>-2.4249999999999998</v>
      </c>
      <c r="AD122" s="22">
        <v>2.706</v>
      </c>
      <c r="AE122" s="22">
        <v>-0.89800000000000002</v>
      </c>
      <c r="AF122" s="147">
        <v>0.61699999999999999</v>
      </c>
      <c r="AG122" s="22">
        <v>21.128</v>
      </c>
      <c r="AH122" s="22">
        <v>43.645000000000003</v>
      </c>
      <c r="AI122" s="65">
        <v>32.117999999999995</v>
      </c>
      <c r="AJ122" s="65">
        <v>12.996</v>
      </c>
      <c r="AK122" s="65">
        <v>7.2609999999999957</v>
      </c>
      <c r="AL122" s="65">
        <v>25.795000000000005</v>
      </c>
      <c r="AM122" s="65">
        <v>28.922999999999998</v>
      </c>
      <c r="AN122" s="65" t="s">
        <v>121</v>
      </c>
      <c r="AO122" s="65" t="s">
        <v>121</v>
      </c>
      <c r="AP122" s="65" t="s">
        <v>121</v>
      </c>
      <c r="AQ122" s="65" t="s">
        <v>121</v>
      </c>
      <c r="AR122" s="65" t="s">
        <v>121</v>
      </c>
      <c r="AS122" s="65" t="s">
        <v>121</v>
      </c>
      <c r="AT122" s="65" t="s">
        <v>121</v>
      </c>
      <c r="AU122" s="65" t="s">
        <v>121</v>
      </c>
      <c r="AV122" s="65" t="s">
        <v>121</v>
      </c>
      <c r="AW122" s="65" t="s">
        <v>121</v>
      </c>
      <c r="AX122" s="20" t="s">
        <v>121</v>
      </c>
      <c r="AY122" s="20" t="s">
        <v>121</v>
      </c>
      <c r="AZ122" s="65" t="s">
        <v>121</v>
      </c>
      <c r="BA122" s="20" t="s">
        <v>121</v>
      </c>
      <c r="BB122" s="20" t="s">
        <v>121</v>
      </c>
      <c r="BC122" s="20" t="s">
        <v>121</v>
      </c>
      <c r="BD122" s="20" t="s">
        <v>121</v>
      </c>
      <c r="BE122" s="20" t="s">
        <v>121</v>
      </c>
      <c r="BF122" s="20" t="s">
        <v>121</v>
      </c>
      <c r="BG122" s="20" t="s">
        <v>121</v>
      </c>
      <c r="BH122" s="20" t="s">
        <v>121</v>
      </c>
      <c r="BI122" s="20" t="s">
        <v>121</v>
      </c>
      <c r="BJ122" s="20" t="s">
        <v>121</v>
      </c>
      <c r="BK122" s="20" t="s">
        <v>121</v>
      </c>
      <c r="BL122" s="20" t="s">
        <v>121</v>
      </c>
      <c r="BM122" s="19" t="s">
        <v>121</v>
      </c>
      <c r="BN122" s="19" t="s">
        <v>121</v>
      </c>
      <c r="BO122" s="19" t="s">
        <v>121</v>
      </c>
      <c r="BP122" s="19" t="s">
        <v>121</v>
      </c>
      <c r="BQ122" s="19" t="s">
        <v>121</v>
      </c>
      <c r="BR122" s="19" t="s">
        <v>121</v>
      </c>
      <c r="BS122" s="19" t="s">
        <v>121</v>
      </c>
      <c r="BT122" s="19" t="s">
        <v>121</v>
      </c>
      <c r="BU122" s="19" t="s">
        <v>121</v>
      </c>
      <c r="BV122" s="19" t="s">
        <v>121</v>
      </c>
      <c r="BW122" s="19" t="s">
        <v>121</v>
      </c>
      <c r="BX122" s="19" t="s">
        <v>121</v>
      </c>
      <c r="BY122" s="19" t="s">
        <v>121</v>
      </c>
      <c r="BZ122" s="19" t="s">
        <v>121</v>
      </c>
      <c r="CA122" s="19" t="s">
        <v>121</v>
      </c>
      <c r="CB122" s="19" t="s">
        <v>121</v>
      </c>
      <c r="CC122" s="19" t="s">
        <v>121</v>
      </c>
      <c r="CD122" s="19" t="s">
        <v>121</v>
      </c>
      <c r="CE122" s="19" t="s">
        <v>121</v>
      </c>
      <c r="CF122" s="19" t="s">
        <v>121</v>
      </c>
      <c r="CG122" s="19" t="s">
        <v>121</v>
      </c>
      <c r="CH122" s="19" t="s">
        <v>121</v>
      </c>
      <c r="CI122" s="19" t="s">
        <v>121</v>
      </c>
      <c r="CJ122" s="19" t="s">
        <v>121</v>
      </c>
      <c r="CK122" s="19" t="s">
        <v>121</v>
      </c>
      <c r="CL122" s="19" t="s">
        <v>121</v>
      </c>
      <c r="CM122" s="19" t="s">
        <v>121</v>
      </c>
      <c r="CN122" s="19" t="s">
        <v>121</v>
      </c>
      <c r="CO122" s="19" t="s">
        <v>121</v>
      </c>
      <c r="CP122" s="19" t="s">
        <v>121</v>
      </c>
      <c r="CQ122" s="19" t="s">
        <v>121</v>
      </c>
      <c r="CR122" s="19" t="s">
        <v>121</v>
      </c>
      <c r="CS122" s="19" t="s">
        <v>121</v>
      </c>
      <c r="CT122" s="19" t="s">
        <v>121</v>
      </c>
      <c r="CU122" s="19" t="s">
        <v>121</v>
      </c>
      <c r="CV122" s="19" t="s">
        <v>121</v>
      </c>
      <c r="CW122" s="19" t="s">
        <v>121</v>
      </c>
      <c r="CX122" s="19" t="s">
        <v>121</v>
      </c>
      <c r="CY122" s="19" t="s">
        <v>121</v>
      </c>
      <c r="CZ122" s="19" t="s">
        <v>121</v>
      </c>
      <c r="DA122" s="19" t="s">
        <v>121</v>
      </c>
      <c r="DB122" s="19" t="s">
        <v>121</v>
      </c>
      <c r="DC122" s="19" t="s">
        <v>121</v>
      </c>
      <c r="DD122" s="19" t="s">
        <v>121</v>
      </c>
      <c r="DE122" s="19" t="s">
        <v>121</v>
      </c>
      <c r="DF122" s="19" t="s">
        <v>121</v>
      </c>
      <c r="DG122" s="19" t="s">
        <v>121</v>
      </c>
      <c r="DH122" s="19" t="s">
        <v>121</v>
      </c>
      <c r="DI122" s="19" t="s">
        <v>121</v>
      </c>
      <c r="DJ122" s="19" t="s">
        <v>121</v>
      </c>
      <c r="DK122" s="19" t="s">
        <v>121</v>
      </c>
      <c r="DL122" s="19" t="s">
        <v>121</v>
      </c>
      <c r="DM122" s="19" t="s">
        <v>121</v>
      </c>
      <c r="DN122" s="19" t="s">
        <v>121</v>
      </c>
      <c r="DO122" s="19" t="s">
        <v>121</v>
      </c>
      <c r="DP122" s="19" t="s">
        <v>121</v>
      </c>
      <c r="DQ122" s="19" t="s">
        <v>121</v>
      </c>
      <c r="DR122" s="19" t="s">
        <v>121</v>
      </c>
      <c r="DS122" s="19" t="s">
        <v>121</v>
      </c>
      <c r="DT122" s="19" t="s">
        <v>121</v>
      </c>
      <c r="DU122" s="19" t="s">
        <v>121</v>
      </c>
      <c r="DV122" s="19" t="s">
        <v>121</v>
      </c>
      <c r="DW122" s="19" t="s">
        <v>121</v>
      </c>
      <c r="DX122" s="19" t="s">
        <v>121</v>
      </c>
      <c r="DY122" s="19" t="s">
        <v>121</v>
      </c>
      <c r="DZ122" s="19" t="s">
        <v>121</v>
      </c>
      <c r="EA122" s="19" t="s">
        <v>121</v>
      </c>
      <c r="EB122" s="19" t="s">
        <v>121</v>
      </c>
      <c r="EC122" s="19" t="s">
        <v>121</v>
      </c>
      <c r="ED122" s="19" t="s">
        <v>121</v>
      </c>
      <c r="EE122" s="19" t="s">
        <v>121</v>
      </c>
      <c r="EF122" s="19" t="s">
        <v>121</v>
      </c>
      <c r="EG122" s="19" t="s">
        <v>121</v>
      </c>
      <c r="EH122" s="19" t="s">
        <v>121</v>
      </c>
      <c r="EI122" s="19" t="s">
        <v>121</v>
      </c>
      <c r="EJ122" s="19" t="s">
        <v>121</v>
      </c>
      <c r="EK122" s="19" t="s">
        <v>121</v>
      </c>
      <c r="EL122" s="19" t="s">
        <v>121</v>
      </c>
      <c r="EM122" s="19" t="s">
        <v>121</v>
      </c>
      <c r="EN122" s="19" t="s">
        <v>121</v>
      </c>
      <c r="EO122" s="19" t="s">
        <v>121</v>
      </c>
      <c r="EP122" s="19" t="s">
        <v>121</v>
      </c>
      <c r="EQ122" s="19" t="s">
        <v>121</v>
      </c>
      <c r="ER122" s="19" t="s">
        <v>121</v>
      </c>
      <c r="ES122" s="19" t="s">
        <v>121</v>
      </c>
      <c r="ET122" s="19" t="s">
        <v>121</v>
      </c>
      <c r="EU122" s="19" t="s">
        <v>121</v>
      </c>
      <c r="EV122" s="19" t="s">
        <v>121</v>
      </c>
      <c r="EW122" s="19" t="s">
        <v>121</v>
      </c>
      <c r="EX122" s="19" t="s">
        <v>121</v>
      </c>
    </row>
    <row r="123" spans="1:154" s="19" customFormat="1" ht="27" customHeight="1" x14ac:dyDescent="0.25">
      <c r="A123" s="72">
        <v>123</v>
      </c>
      <c r="B123" s="54" t="s">
        <v>437</v>
      </c>
      <c r="C123" s="91" t="s">
        <v>121</v>
      </c>
      <c r="D123" s="86" t="s">
        <v>121</v>
      </c>
      <c r="E123" s="94" t="s">
        <v>121</v>
      </c>
      <c r="F123" s="65">
        <v>8747</v>
      </c>
      <c r="G123" s="65">
        <v>9139</v>
      </c>
      <c r="H123" s="65">
        <v>15529</v>
      </c>
      <c r="I123" s="65">
        <v>13019</v>
      </c>
      <c r="J123" s="65">
        <v>12953</v>
      </c>
      <c r="K123" s="65">
        <v>11285</v>
      </c>
      <c r="L123" s="65">
        <v>13017</v>
      </c>
      <c r="M123" s="65">
        <v>11444</v>
      </c>
      <c r="N123" s="65">
        <v>8071</v>
      </c>
      <c r="O123" s="65">
        <v>13683</v>
      </c>
      <c r="P123" s="65">
        <v>14590</v>
      </c>
      <c r="Q123" s="405"/>
      <c r="R123" s="405"/>
      <c r="S123" s="405"/>
      <c r="T123" s="405"/>
      <c r="U123" s="65">
        <v>6853</v>
      </c>
      <c r="V123" s="65">
        <v>4143</v>
      </c>
      <c r="W123" s="65">
        <v>4962</v>
      </c>
      <c r="X123" s="65">
        <v>2418</v>
      </c>
      <c r="Y123" s="65">
        <v>4441.6350000000039</v>
      </c>
      <c r="Z123" s="65">
        <v>2854.0399999999963</v>
      </c>
      <c r="AA123" s="65">
        <v>2041.6040000000016</v>
      </c>
      <c r="AB123" s="65">
        <v>1573.7209999999995</v>
      </c>
      <c r="AC123" s="65">
        <v>2421.3570000000022</v>
      </c>
      <c r="AD123" s="65">
        <v>2107.4260000000022</v>
      </c>
      <c r="AE123" s="65">
        <v>2505.0189999999989</v>
      </c>
      <c r="AF123" s="167">
        <v>1246.7470000000005</v>
      </c>
      <c r="AG123" s="65">
        <v>2288.7180000000067</v>
      </c>
      <c r="AH123" s="65">
        <v>1561.624999999995</v>
      </c>
      <c r="AI123" s="65">
        <v>1838.4269999999992</v>
      </c>
      <c r="AJ123" s="65">
        <v>2666.3699999999985</v>
      </c>
      <c r="AK123" s="65">
        <v>2137.2569999999951</v>
      </c>
      <c r="AL123" s="65">
        <v>1555.5719999999994</v>
      </c>
      <c r="AM123" s="65">
        <v>2115.7709999999984</v>
      </c>
      <c r="AN123" s="65">
        <v>1564.7420000000011</v>
      </c>
      <c r="AO123" s="65">
        <v>811.17199999999912</v>
      </c>
      <c r="AP123" s="65">
        <v>1402.8470000000013</v>
      </c>
      <c r="AQ123" s="65">
        <v>1214.7419999999979</v>
      </c>
      <c r="AR123" s="65">
        <v>1736.5820000000008</v>
      </c>
      <c r="AS123" s="65">
        <v>1279.0180000000028</v>
      </c>
      <c r="AT123" s="65">
        <v>1612.6009999999949</v>
      </c>
      <c r="AU123" s="65">
        <v>1719.2040000000011</v>
      </c>
      <c r="AV123" s="65">
        <v>1891.5789999999995</v>
      </c>
      <c r="AW123" s="65">
        <v>1137.1660000000036</v>
      </c>
      <c r="AX123" s="65">
        <v>1506.0450000000012</v>
      </c>
      <c r="AY123" s="65">
        <v>971.0169999999996</v>
      </c>
      <c r="AZ123" s="65">
        <v>1936.3470000000004</v>
      </c>
      <c r="BA123" s="65">
        <v>25.889000000002056</v>
      </c>
      <c r="BB123" s="65">
        <v>1315.0189999999998</v>
      </c>
      <c r="BC123" s="65">
        <v>1391.709000000001</v>
      </c>
      <c r="BD123" s="65">
        <v>1085.8349999999996</v>
      </c>
      <c r="BE123" s="65">
        <v>376.63000000000142</v>
      </c>
      <c r="BF123" s="65">
        <v>919.73400000000061</v>
      </c>
      <c r="BG123" s="65">
        <v>505.69899999999984</v>
      </c>
      <c r="BH123" s="65">
        <v>454.56099999999969</v>
      </c>
      <c r="BI123" s="65">
        <v>4161.0219999999999</v>
      </c>
      <c r="BJ123" s="65">
        <v>1376.1819999999998</v>
      </c>
      <c r="BK123" s="65">
        <v>1721.6070000000002</v>
      </c>
      <c r="BL123" s="65">
        <v>2251.1540000000005</v>
      </c>
      <c r="BM123" s="19">
        <v>1975.0430000000006</v>
      </c>
      <c r="BN123" s="19">
        <v>1316.7050000000006</v>
      </c>
      <c r="BO123" s="19">
        <v>913.17700000000059</v>
      </c>
      <c r="BP123" s="19">
        <v>469.56200000000024</v>
      </c>
      <c r="BQ123" s="19" t="s">
        <v>121</v>
      </c>
      <c r="BR123" s="19" t="s">
        <v>121</v>
      </c>
      <c r="BS123" s="19" t="s">
        <v>121</v>
      </c>
      <c r="BT123" s="19" t="s">
        <v>121</v>
      </c>
      <c r="BU123" s="19" t="s">
        <v>121</v>
      </c>
      <c r="BV123" s="19" t="s">
        <v>121</v>
      </c>
      <c r="BW123" s="19" t="s">
        <v>121</v>
      </c>
      <c r="BX123" s="19" t="s">
        <v>121</v>
      </c>
      <c r="BY123" s="19" t="s">
        <v>121</v>
      </c>
      <c r="BZ123" s="19" t="s">
        <v>121</v>
      </c>
      <c r="CA123" s="19" t="s">
        <v>121</v>
      </c>
      <c r="CB123" s="19" t="s">
        <v>121</v>
      </c>
      <c r="CC123" s="19" t="s">
        <v>121</v>
      </c>
      <c r="CD123" s="19" t="s">
        <v>121</v>
      </c>
      <c r="CE123" s="19" t="s">
        <v>121</v>
      </c>
      <c r="CF123" s="19" t="s">
        <v>121</v>
      </c>
      <c r="CG123" s="19" t="s">
        <v>121</v>
      </c>
      <c r="CH123" s="19" t="s">
        <v>121</v>
      </c>
      <c r="CI123" s="19" t="s">
        <v>121</v>
      </c>
      <c r="CJ123" s="19" t="s">
        <v>121</v>
      </c>
      <c r="CK123" s="19" t="s">
        <v>121</v>
      </c>
      <c r="CL123" s="19" t="s">
        <v>121</v>
      </c>
      <c r="CM123" s="19" t="s">
        <v>121</v>
      </c>
      <c r="CN123" s="19" t="s">
        <v>121</v>
      </c>
      <c r="CO123" s="19" t="s">
        <v>121</v>
      </c>
      <c r="CP123" s="19" t="s">
        <v>121</v>
      </c>
      <c r="CQ123" s="19" t="s">
        <v>121</v>
      </c>
      <c r="CR123" s="19" t="s">
        <v>121</v>
      </c>
      <c r="CS123" s="19" t="s">
        <v>121</v>
      </c>
      <c r="CT123" s="19" t="s">
        <v>121</v>
      </c>
      <c r="CU123" s="19" t="s">
        <v>121</v>
      </c>
      <c r="CV123" s="19" t="s">
        <v>121</v>
      </c>
      <c r="CW123" s="19" t="s">
        <v>121</v>
      </c>
      <c r="CX123" s="19" t="s">
        <v>121</v>
      </c>
      <c r="CY123" s="19" t="s">
        <v>121</v>
      </c>
      <c r="CZ123" s="19" t="s">
        <v>121</v>
      </c>
      <c r="DA123" s="19" t="s">
        <v>121</v>
      </c>
      <c r="DB123" s="19" t="s">
        <v>121</v>
      </c>
      <c r="DC123" s="19" t="s">
        <v>121</v>
      </c>
      <c r="DD123" s="19" t="s">
        <v>121</v>
      </c>
      <c r="DE123" s="19" t="s">
        <v>121</v>
      </c>
      <c r="DF123" s="19" t="s">
        <v>121</v>
      </c>
      <c r="DG123" s="19" t="s">
        <v>121</v>
      </c>
      <c r="DH123" s="19" t="s">
        <v>121</v>
      </c>
      <c r="DI123" s="19" t="s">
        <v>121</v>
      </c>
      <c r="DJ123" s="19" t="s">
        <v>121</v>
      </c>
      <c r="DK123" s="19" t="s">
        <v>121</v>
      </c>
      <c r="DL123" s="19" t="s">
        <v>121</v>
      </c>
      <c r="DM123" s="19" t="s">
        <v>121</v>
      </c>
      <c r="DN123" s="19" t="s">
        <v>121</v>
      </c>
      <c r="DO123" s="19" t="s">
        <v>121</v>
      </c>
      <c r="DP123" s="19" t="s">
        <v>121</v>
      </c>
      <c r="DQ123" s="19" t="s">
        <v>121</v>
      </c>
      <c r="DR123" s="19" t="s">
        <v>121</v>
      </c>
      <c r="DS123" s="19" t="s">
        <v>121</v>
      </c>
      <c r="DT123" s="19" t="s">
        <v>121</v>
      </c>
      <c r="DU123" s="19" t="s">
        <v>121</v>
      </c>
      <c r="DV123" s="19" t="s">
        <v>121</v>
      </c>
      <c r="DW123" s="19" t="s">
        <v>121</v>
      </c>
      <c r="DX123" s="19" t="s">
        <v>121</v>
      </c>
      <c r="DY123" s="19" t="s">
        <v>121</v>
      </c>
      <c r="DZ123" s="19" t="s">
        <v>121</v>
      </c>
      <c r="EA123" s="19" t="s">
        <v>121</v>
      </c>
      <c r="EB123" s="19" t="s">
        <v>121</v>
      </c>
      <c r="EC123" s="19" t="s">
        <v>121</v>
      </c>
      <c r="ED123" s="19" t="s">
        <v>121</v>
      </c>
      <c r="EE123" s="19" t="s">
        <v>121</v>
      </c>
      <c r="EF123" s="19" t="s">
        <v>121</v>
      </c>
      <c r="EG123" s="19" t="s">
        <v>121</v>
      </c>
      <c r="EH123" s="19" t="s">
        <v>121</v>
      </c>
      <c r="EI123" s="19" t="s">
        <v>121</v>
      </c>
      <c r="EJ123" s="19" t="s">
        <v>121</v>
      </c>
      <c r="EK123" s="19" t="s">
        <v>121</v>
      </c>
      <c r="EL123" s="19" t="s">
        <v>121</v>
      </c>
      <c r="EM123" s="19" t="s">
        <v>121</v>
      </c>
      <c r="EN123" s="19" t="s">
        <v>121</v>
      </c>
      <c r="EO123" s="19" t="s">
        <v>121</v>
      </c>
      <c r="EP123" s="19" t="s">
        <v>121</v>
      </c>
      <c r="EQ123" s="19" t="s">
        <v>121</v>
      </c>
      <c r="ER123" s="19" t="s">
        <v>121</v>
      </c>
      <c r="ES123" s="19" t="s">
        <v>121</v>
      </c>
      <c r="ET123" s="19" t="s">
        <v>121</v>
      </c>
      <c r="EU123" s="19" t="s">
        <v>121</v>
      </c>
      <c r="EV123" s="19" t="s">
        <v>121</v>
      </c>
      <c r="EW123" s="19" t="s">
        <v>121</v>
      </c>
      <c r="EX123" s="19" t="s">
        <v>121</v>
      </c>
    </row>
    <row r="124" spans="1:154" x14ac:dyDescent="0.25">
      <c r="A124" s="72">
        <v>124</v>
      </c>
    </row>
    <row r="125" spans="1:154" x14ac:dyDescent="0.25">
      <c r="A125" s="72">
        <v>125</v>
      </c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</row>
    <row r="126" spans="1:154" x14ac:dyDescent="0.25">
      <c r="A126" s="72">
        <v>126</v>
      </c>
    </row>
    <row r="127" spans="1:154" x14ac:dyDescent="0.25">
      <c r="A127" s="72">
        <v>127</v>
      </c>
      <c r="B127" s="426" t="s">
        <v>128</v>
      </c>
      <c r="C127" s="436" t="s">
        <v>121</v>
      </c>
      <c r="D127" s="215" t="s">
        <v>121</v>
      </c>
      <c r="E127" s="434" t="s">
        <v>265</v>
      </c>
      <c r="F127" s="416" t="s">
        <v>129</v>
      </c>
      <c r="G127" s="416" t="s">
        <v>130</v>
      </c>
      <c r="H127" s="416" t="s">
        <v>131</v>
      </c>
      <c r="I127" s="416" t="s">
        <v>132</v>
      </c>
      <c r="J127" s="416" t="s">
        <v>133</v>
      </c>
      <c r="K127" s="416" t="s">
        <v>134</v>
      </c>
      <c r="L127" s="416" t="s">
        <v>135</v>
      </c>
      <c r="M127" s="416" t="s">
        <v>136</v>
      </c>
      <c r="N127" s="416" t="s">
        <v>137</v>
      </c>
      <c r="O127" s="416" t="s">
        <v>138</v>
      </c>
      <c r="P127" s="416" t="s">
        <v>139</v>
      </c>
      <c r="Q127" s="416" t="s">
        <v>140</v>
      </c>
      <c r="R127" s="416" t="s">
        <v>141</v>
      </c>
      <c r="S127" s="416" t="s">
        <v>142</v>
      </c>
      <c r="T127" s="416" t="s">
        <v>143</v>
      </c>
      <c r="U127" s="416" t="s">
        <v>144</v>
      </c>
      <c r="V127" s="416" t="s">
        <v>145</v>
      </c>
      <c r="W127" s="416" t="s">
        <v>146</v>
      </c>
      <c r="X127" s="416" t="s">
        <v>147</v>
      </c>
      <c r="Y127" s="416" t="s">
        <v>148</v>
      </c>
      <c r="Z127" s="416" t="s">
        <v>149</v>
      </c>
      <c r="AA127" s="416" t="s">
        <v>150</v>
      </c>
      <c r="AB127" s="416" t="s">
        <v>151</v>
      </c>
      <c r="AC127" s="416" t="s">
        <v>152</v>
      </c>
      <c r="AD127" s="416" t="s">
        <v>153</v>
      </c>
      <c r="AE127" s="416" t="s">
        <v>154</v>
      </c>
      <c r="AF127" s="416" t="s">
        <v>155</v>
      </c>
      <c r="AG127" s="416" t="s">
        <v>156</v>
      </c>
      <c r="AH127" s="416" t="s">
        <v>157</v>
      </c>
      <c r="AI127" s="416" t="s">
        <v>158</v>
      </c>
      <c r="AJ127" s="416" t="s">
        <v>159</v>
      </c>
      <c r="AK127" s="416" t="s">
        <v>160</v>
      </c>
      <c r="AL127" s="416" t="s">
        <v>161</v>
      </c>
      <c r="AM127" s="416" t="s">
        <v>162</v>
      </c>
      <c r="AN127" s="416" t="s">
        <v>163</v>
      </c>
      <c r="AO127" s="416" t="s">
        <v>164</v>
      </c>
      <c r="AP127" s="416" t="s">
        <v>165</v>
      </c>
      <c r="AQ127" s="416" t="s">
        <v>166</v>
      </c>
      <c r="AR127" s="416" t="s">
        <v>167</v>
      </c>
      <c r="AS127" s="416" t="s">
        <v>168</v>
      </c>
      <c r="AT127" s="416" t="s">
        <v>169</v>
      </c>
      <c r="AU127" s="416" t="s">
        <v>170</v>
      </c>
      <c r="AV127" s="416" t="s">
        <v>171</v>
      </c>
      <c r="AW127" s="416" t="s">
        <v>172</v>
      </c>
      <c r="AX127" s="416" t="s">
        <v>173</v>
      </c>
      <c r="AY127" s="416" t="s">
        <v>174</v>
      </c>
      <c r="AZ127" s="416" t="s">
        <v>175</v>
      </c>
      <c r="BA127" s="416" t="s">
        <v>176</v>
      </c>
      <c r="BB127" s="416" t="s">
        <v>177</v>
      </c>
      <c r="BC127" s="416" t="s">
        <v>178</v>
      </c>
      <c r="BD127" s="416" t="s">
        <v>179</v>
      </c>
      <c r="BE127" s="416" t="s">
        <v>180</v>
      </c>
      <c r="BF127" s="416" t="s">
        <v>181</v>
      </c>
      <c r="BG127" s="416" t="s">
        <v>182</v>
      </c>
      <c r="BH127" s="416" t="s">
        <v>183</v>
      </c>
      <c r="BI127" s="416" t="s">
        <v>184</v>
      </c>
      <c r="BJ127" s="416" t="s">
        <v>185</v>
      </c>
      <c r="BK127" s="416" t="s">
        <v>186</v>
      </c>
      <c r="BL127" s="416" t="s">
        <v>187</v>
      </c>
      <c r="BM127" s="1" t="s">
        <v>188</v>
      </c>
      <c r="BN127" s="1" t="s">
        <v>189</v>
      </c>
      <c r="BO127" s="1" t="s">
        <v>190</v>
      </c>
      <c r="BP127" s="1" t="s">
        <v>191</v>
      </c>
      <c r="BQ127" s="1" t="s">
        <v>121</v>
      </c>
      <c r="BR127" s="1" t="s">
        <v>121</v>
      </c>
      <c r="BS127" s="1" t="s">
        <v>121</v>
      </c>
      <c r="BT127" s="1" t="s">
        <v>121</v>
      </c>
      <c r="BU127" s="1" t="s">
        <v>121</v>
      </c>
      <c r="BV127" s="1" t="s">
        <v>121</v>
      </c>
      <c r="BW127" s="1" t="s">
        <v>121</v>
      </c>
      <c r="BX127" s="1" t="s">
        <v>121</v>
      </c>
      <c r="BY127" s="1" t="s">
        <v>121</v>
      </c>
      <c r="BZ127" s="1" t="s">
        <v>121</v>
      </c>
      <c r="CA127" s="1" t="s">
        <v>121</v>
      </c>
      <c r="CB127" s="1" t="s">
        <v>121</v>
      </c>
      <c r="CC127" s="1" t="s">
        <v>121</v>
      </c>
      <c r="CD127" s="1" t="s">
        <v>121</v>
      </c>
      <c r="CE127" s="1" t="s">
        <v>121</v>
      </c>
      <c r="CF127" s="1" t="s">
        <v>121</v>
      </c>
      <c r="CG127" s="1" t="s">
        <v>121</v>
      </c>
      <c r="CH127" s="1" t="s">
        <v>121</v>
      </c>
      <c r="CI127" s="1" t="s">
        <v>121</v>
      </c>
      <c r="CJ127" s="1" t="s">
        <v>121</v>
      </c>
      <c r="CK127" s="1" t="s">
        <v>121</v>
      </c>
      <c r="CL127" s="1" t="s">
        <v>121</v>
      </c>
      <c r="CM127" s="1" t="s">
        <v>121</v>
      </c>
      <c r="CN127" s="1" t="s">
        <v>121</v>
      </c>
      <c r="CO127" s="1" t="s">
        <v>121</v>
      </c>
      <c r="CP127" s="1" t="s">
        <v>121</v>
      </c>
      <c r="CQ127" s="1" t="s">
        <v>121</v>
      </c>
      <c r="CR127" s="1" t="s">
        <v>121</v>
      </c>
      <c r="CS127" s="1" t="s">
        <v>121</v>
      </c>
      <c r="CT127" s="1" t="s">
        <v>121</v>
      </c>
      <c r="CU127" s="1" t="s">
        <v>121</v>
      </c>
      <c r="CV127" s="1" t="s">
        <v>121</v>
      </c>
      <c r="CW127" s="1" t="s">
        <v>121</v>
      </c>
      <c r="CX127" s="1" t="s">
        <v>121</v>
      </c>
      <c r="CY127" s="1" t="s">
        <v>121</v>
      </c>
      <c r="CZ127" s="1" t="s">
        <v>121</v>
      </c>
      <c r="DA127" s="1" t="s">
        <v>121</v>
      </c>
      <c r="DB127" s="1" t="s">
        <v>121</v>
      </c>
      <c r="DC127" s="1" t="s">
        <v>121</v>
      </c>
      <c r="DD127" s="1" t="s">
        <v>121</v>
      </c>
      <c r="DE127" s="1" t="s">
        <v>121</v>
      </c>
      <c r="DF127" s="1" t="s">
        <v>121</v>
      </c>
      <c r="DG127" s="1" t="s">
        <v>121</v>
      </c>
      <c r="DH127" s="1" t="s">
        <v>121</v>
      </c>
      <c r="DI127" s="1" t="s">
        <v>121</v>
      </c>
      <c r="DJ127" s="1" t="s">
        <v>121</v>
      </c>
      <c r="DK127" s="1" t="s">
        <v>121</v>
      </c>
      <c r="DL127" s="1" t="s">
        <v>121</v>
      </c>
      <c r="DM127" s="1" t="s">
        <v>121</v>
      </c>
      <c r="DN127" s="1" t="s">
        <v>121</v>
      </c>
      <c r="DO127" s="1" t="s">
        <v>121</v>
      </c>
      <c r="DP127" s="1" t="s">
        <v>121</v>
      </c>
      <c r="DQ127" s="1" t="s">
        <v>121</v>
      </c>
      <c r="DR127" s="1" t="s">
        <v>121</v>
      </c>
      <c r="DS127" s="1" t="s">
        <v>121</v>
      </c>
      <c r="DT127" s="1" t="s">
        <v>121</v>
      </c>
      <c r="DU127" s="1" t="s">
        <v>121</v>
      </c>
      <c r="DV127" s="1" t="s">
        <v>121</v>
      </c>
      <c r="DW127" s="1" t="s">
        <v>121</v>
      </c>
      <c r="DX127" s="1" t="s">
        <v>121</v>
      </c>
      <c r="DY127" s="1" t="s">
        <v>121</v>
      </c>
      <c r="DZ127" s="1" t="s">
        <v>121</v>
      </c>
      <c r="EA127" s="1" t="s">
        <v>121</v>
      </c>
      <c r="EB127" s="1" t="s">
        <v>121</v>
      </c>
      <c r="EC127" s="1" t="s">
        <v>121</v>
      </c>
      <c r="ED127" s="1" t="s">
        <v>121</v>
      </c>
      <c r="EE127" s="1" t="s">
        <v>121</v>
      </c>
      <c r="EF127" s="1" t="s">
        <v>121</v>
      </c>
      <c r="EG127" s="1" t="s">
        <v>121</v>
      </c>
      <c r="EH127" s="1" t="s">
        <v>121</v>
      </c>
      <c r="EI127" s="1" t="s">
        <v>121</v>
      </c>
      <c r="EJ127" s="1" t="s">
        <v>121</v>
      </c>
      <c r="EK127" s="1" t="s">
        <v>121</v>
      </c>
      <c r="EL127" s="1" t="s">
        <v>121</v>
      </c>
      <c r="EM127" s="1" t="s">
        <v>121</v>
      </c>
      <c r="EN127" s="1" t="s">
        <v>121</v>
      </c>
      <c r="EO127" s="1" t="s">
        <v>121</v>
      </c>
      <c r="EP127" s="1" t="s">
        <v>121</v>
      </c>
      <c r="EQ127" s="1" t="s">
        <v>121</v>
      </c>
      <c r="ER127" s="1" t="s">
        <v>121</v>
      </c>
      <c r="ES127" s="1" t="s">
        <v>121</v>
      </c>
      <c r="ET127" s="1" t="s">
        <v>121</v>
      </c>
      <c r="EU127" s="1" t="s">
        <v>121</v>
      </c>
      <c r="EV127" s="1" t="s">
        <v>121</v>
      </c>
      <c r="EW127" s="1" t="s">
        <v>121</v>
      </c>
      <c r="EX127" s="1" t="s">
        <v>121</v>
      </c>
    </row>
    <row r="128" spans="1:154" x14ac:dyDescent="0.25">
      <c r="A128" s="72">
        <v>128</v>
      </c>
      <c r="B128" s="427"/>
      <c r="C128" s="437"/>
      <c r="D128" s="258"/>
      <c r="E128" s="444"/>
      <c r="F128" s="417"/>
      <c r="G128" s="417"/>
      <c r="H128" s="418"/>
      <c r="I128" s="417"/>
      <c r="J128" s="417"/>
      <c r="K128" s="417"/>
      <c r="L128" s="418"/>
      <c r="M128" s="417"/>
      <c r="N128" s="417"/>
      <c r="O128" s="417"/>
      <c r="P128" s="418"/>
      <c r="Q128" s="418"/>
      <c r="R128" s="417"/>
      <c r="S128" s="417"/>
      <c r="T128" s="418"/>
      <c r="U128" s="418"/>
      <c r="V128" s="418"/>
      <c r="W128" s="417"/>
      <c r="X128" s="417"/>
      <c r="Y128" s="418"/>
      <c r="Z128" s="418"/>
      <c r="AA128" s="417"/>
      <c r="AB128" s="417"/>
      <c r="AC128" s="417"/>
      <c r="AD128" s="417"/>
      <c r="AE128" s="417"/>
      <c r="AF128" s="418"/>
      <c r="AG128" s="417"/>
      <c r="AH128" s="417"/>
      <c r="AI128" s="417"/>
      <c r="AJ128" s="418"/>
      <c r="AK128" s="417"/>
      <c r="AL128" s="417"/>
      <c r="AM128" s="417"/>
      <c r="AN128" s="418"/>
      <c r="AO128" s="418"/>
      <c r="AP128" s="418"/>
      <c r="AQ128" s="417"/>
      <c r="AR128" s="417"/>
      <c r="AS128" s="417"/>
      <c r="AT128" s="417"/>
      <c r="AU128" s="417"/>
      <c r="AV128" s="417"/>
      <c r="AW128" s="417"/>
      <c r="AX128" s="417"/>
      <c r="AY128" s="417"/>
      <c r="AZ128" s="417"/>
      <c r="BA128" s="417"/>
      <c r="BB128" s="417"/>
      <c r="BC128" s="417"/>
      <c r="BD128" s="417"/>
      <c r="BE128" s="417"/>
      <c r="BF128" s="417"/>
      <c r="BG128" s="417"/>
      <c r="BH128" s="417"/>
      <c r="BI128" s="417"/>
      <c r="BJ128" s="417"/>
      <c r="BK128" s="417"/>
      <c r="BL128" s="417"/>
    </row>
    <row r="129" spans="1:154" ht="8.1" customHeight="1" x14ac:dyDescent="0.25">
      <c r="A129" s="72">
        <v>129</v>
      </c>
      <c r="B129" s="8" t="s">
        <v>4</v>
      </c>
      <c r="C129" s="87" t="s">
        <v>121</v>
      </c>
      <c r="D129" s="56" t="s">
        <v>121</v>
      </c>
      <c r="E129" s="88" t="s">
        <v>121</v>
      </c>
      <c r="F129" s="56" t="s">
        <v>121</v>
      </c>
      <c r="G129" s="56" t="s">
        <v>121</v>
      </c>
      <c r="H129" s="56" t="s">
        <v>121</v>
      </c>
      <c r="I129" s="56" t="s">
        <v>121</v>
      </c>
      <c r="J129" s="56" t="s">
        <v>121</v>
      </c>
      <c r="K129" s="56" t="s">
        <v>121</v>
      </c>
      <c r="L129" s="56" t="s">
        <v>121</v>
      </c>
      <c r="M129" s="56" t="s">
        <v>121</v>
      </c>
      <c r="N129" s="56" t="s">
        <v>121</v>
      </c>
      <c r="O129" s="56" t="s">
        <v>121</v>
      </c>
      <c r="P129" s="56" t="s">
        <v>121</v>
      </c>
      <c r="Q129" s="56" t="s">
        <v>121</v>
      </c>
      <c r="R129" s="56" t="s">
        <v>121</v>
      </c>
      <c r="S129" s="56" t="s">
        <v>121</v>
      </c>
      <c r="T129" s="56" t="s">
        <v>121</v>
      </c>
      <c r="U129" s="56" t="s">
        <v>121</v>
      </c>
      <c r="V129" s="56" t="s">
        <v>121</v>
      </c>
      <c r="W129" s="56" t="s">
        <v>121</v>
      </c>
      <c r="X129" s="56" t="s">
        <v>121</v>
      </c>
      <c r="Y129" s="56" t="s">
        <v>121</v>
      </c>
      <c r="Z129" s="56" t="s">
        <v>121</v>
      </c>
      <c r="AA129" s="56" t="s">
        <v>121</v>
      </c>
      <c r="AB129" s="56" t="s">
        <v>121</v>
      </c>
      <c r="AC129" s="56" t="s">
        <v>121</v>
      </c>
      <c r="AD129" s="56" t="s">
        <v>121</v>
      </c>
      <c r="AE129" s="56" t="s">
        <v>121</v>
      </c>
      <c r="AF129" s="56" t="s">
        <v>121</v>
      </c>
      <c r="AG129" s="56" t="s">
        <v>121</v>
      </c>
      <c r="AH129" s="56" t="s">
        <v>121</v>
      </c>
      <c r="AI129" s="56" t="s">
        <v>121</v>
      </c>
      <c r="AJ129" s="56" t="s">
        <v>121</v>
      </c>
      <c r="AK129" s="56" t="s">
        <v>121</v>
      </c>
      <c r="AL129" s="56" t="s">
        <v>121</v>
      </c>
      <c r="AM129" s="56" t="s">
        <v>121</v>
      </c>
      <c r="AN129" s="56" t="s">
        <v>121</v>
      </c>
      <c r="AO129" s="56" t="s">
        <v>121</v>
      </c>
      <c r="AP129" s="56" t="s">
        <v>121</v>
      </c>
      <c r="AQ129" s="56" t="s">
        <v>121</v>
      </c>
      <c r="AR129" s="56" t="s">
        <v>121</v>
      </c>
      <c r="AS129" s="56" t="s">
        <v>121</v>
      </c>
      <c r="AT129" s="56" t="s">
        <v>121</v>
      </c>
      <c r="AU129" s="56" t="s">
        <v>121</v>
      </c>
      <c r="AV129" s="56" t="s">
        <v>121</v>
      </c>
      <c r="AW129" s="56" t="s">
        <v>121</v>
      </c>
      <c r="AX129" s="56" t="s">
        <v>121</v>
      </c>
      <c r="AY129" s="56" t="s">
        <v>121</v>
      </c>
      <c r="AZ129" s="8" t="s">
        <v>121</v>
      </c>
      <c r="BA129" s="1" t="s">
        <v>121</v>
      </c>
      <c r="BB129" s="1" t="s">
        <v>121</v>
      </c>
      <c r="BC129" s="1" t="s">
        <v>121</v>
      </c>
      <c r="BD129" s="1" t="s">
        <v>121</v>
      </c>
      <c r="BE129" s="1" t="s">
        <v>121</v>
      </c>
      <c r="BF129" s="1" t="s">
        <v>121</v>
      </c>
      <c r="BG129" s="1" t="s">
        <v>121</v>
      </c>
      <c r="BH129" s="1" t="s">
        <v>121</v>
      </c>
      <c r="BI129" s="1" t="s">
        <v>121</v>
      </c>
      <c r="BJ129" s="1" t="s">
        <v>121</v>
      </c>
      <c r="BK129" s="1" t="s">
        <v>121</v>
      </c>
      <c r="BL129" s="1" t="s">
        <v>121</v>
      </c>
      <c r="BM129" s="1" t="s">
        <v>121</v>
      </c>
      <c r="BN129" s="1" t="s">
        <v>121</v>
      </c>
      <c r="BO129" s="1" t="s">
        <v>121</v>
      </c>
      <c r="BP129" s="1" t="s">
        <v>121</v>
      </c>
      <c r="BQ129" s="1" t="s">
        <v>121</v>
      </c>
      <c r="BR129" s="1" t="s">
        <v>121</v>
      </c>
      <c r="BS129" s="1" t="s">
        <v>121</v>
      </c>
      <c r="BT129" s="1" t="s">
        <v>121</v>
      </c>
      <c r="BU129" s="1" t="s">
        <v>121</v>
      </c>
      <c r="BV129" s="1" t="s">
        <v>121</v>
      </c>
      <c r="BW129" s="1" t="s">
        <v>121</v>
      </c>
      <c r="BX129" s="1" t="s">
        <v>121</v>
      </c>
      <c r="BY129" s="1" t="s">
        <v>121</v>
      </c>
      <c r="BZ129" s="1" t="s">
        <v>121</v>
      </c>
      <c r="CA129" s="1" t="s">
        <v>121</v>
      </c>
      <c r="CB129" s="1" t="s">
        <v>121</v>
      </c>
      <c r="CC129" s="1" t="s">
        <v>121</v>
      </c>
      <c r="CD129" s="1" t="s">
        <v>121</v>
      </c>
      <c r="CE129" s="1" t="s">
        <v>121</v>
      </c>
      <c r="CF129" s="1" t="s">
        <v>121</v>
      </c>
      <c r="CG129" s="1" t="s">
        <v>121</v>
      </c>
      <c r="CH129" s="1" t="s">
        <v>121</v>
      </c>
      <c r="CI129" s="1" t="s">
        <v>121</v>
      </c>
      <c r="CJ129" s="1" t="s">
        <v>121</v>
      </c>
      <c r="CK129" s="1" t="s">
        <v>121</v>
      </c>
      <c r="CL129" s="1" t="s">
        <v>121</v>
      </c>
      <c r="CM129" s="1" t="s">
        <v>121</v>
      </c>
      <c r="CN129" s="1" t="s">
        <v>121</v>
      </c>
      <c r="CO129" s="1" t="s">
        <v>121</v>
      </c>
      <c r="CP129" s="1" t="s">
        <v>121</v>
      </c>
      <c r="CQ129" s="1" t="s">
        <v>121</v>
      </c>
      <c r="CR129" s="1" t="s">
        <v>121</v>
      </c>
      <c r="CS129" s="1" t="s">
        <v>121</v>
      </c>
      <c r="CT129" s="1" t="s">
        <v>121</v>
      </c>
      <c r="CU129" s="1" t="s">
        <v>121</v>
      </c>
      <c r="CV129" s="1" t="s">
        <v>121</v>
      </c>
      <c r="CW129" s="1" t="s">
        <v>121</v>
      </c>
      <c r="CX129" s="1" t="s">
        <v>121</v>
      </c>
      <c r="CY129" s="1" t="s">
        <v>121</v>
      </c>
      <c r="CZ129" s="1" t="s">
        <v>121</v>
      </c>
      <c r="DA129" s="1" t="s">
        <v>121</v>
      </c>
      <c r="DB129" s="1" t="s">
        <v>121</v>
      </c>
      <c r="DC129" s="1" t="s">
        <v>121</v>
      </c>
      <c r="DD129" s="1" t="s">
        <v>121</v>
      </c>
      <c r="DE129" s="1" t="s">
        <v>121</v>
      </c>
      <c r="DF129" s="1" t="s">
        <v>121</v>
      </c>
      <c r="DG129" s="1" t="s">
        <v>121</v>
      </c>
      <c r="DH129" s="1" t="s">
        <v>121</v>
      </c>
      <c r="DI129" s="1" t="s">
        <v>121</v>
      </c>
      <c r="DJ129" s="1" t="s">
        <v>121</v>
      </c>
      <c r="DK129" s="1" t="s">
        <v>121</v>
      </c>
      <c r="DL129" s="1" t="s">
        <v>121</v>
      </c>
      <c r="DM129" s="1" t="s">
        <v>121</v>
      </c>
      <c r="DN129" s="1" t="s">
        <v>121</v>
      </c>
      <c r="DO129" s="1" t="s">
        <v>121</v>
      </c>
      <c r="DP129" s="1" t="s">
        <v>121</v>
      </c>
      <c r="DQ129" s="1" t="s">
        <v>121</v>
      </c>
      <c r="DR129" s="1" t="s">
        <v>121</v>
      </c>
      <c r="DS129" s="1" t="s">
        <v>121</v>
      </c>
      <c r="DT129" s="1" t="s">
        <v>121</v>
      </c>
      <c r="DU129" s="1" t="s">
        <v>121</v>
      </c>
      <c r="DV129" s="1" t="s">
        <v>121</v>
      </c>
      <c r="DW129" s="1" t="s">
        <v>121</v>
      </c>
      <c r="DX129" s="1" t="s">
        <v>121</v>
      </c>
      <c r="DY129" s="1" t="s">
        <v>121</v>
      </c>
      <c r="DZ129" s="1" t="s">
        <v>121</v>
      </c>
      <c r="EA129" s="1" t="s">
        <v>121</v>
      </c>
      <c r="EB129" s="1" t="s">
        <v>121</v>
      </c>
      <c r="EC129" s="1" t="s">
        <v>121</v>
      </c>
      <c r="ED129" s="1" t="s">
        <v>121</v>
      </c>
      <c r="EE129" s="1" t="s">
        <v>121</v>
      </c>
      <c r="EF129" s="1" t="s">
        <v>121</v>
      </c>
      <c r="EG129" s="1" t="s">
        <v>121</v>
      </c>
      <c r="EH129" s="1" t="s">
        <v>121</v>
      </c>
      <c r="EI129" s="1" t="s">
        <v>121</v>
      </c>
      <c r="EJ129" s="1" t="s">
        <v>121</v>
      </c>
      <c r="EK129" s="1" t="s">
        <v>121</v>
      </c>
      <c r="EL129" s="1" t="s">
        <v>121</v>
      </c>
      <c r="EM129" s="1" t="s">
        <v>121</v>
      </c>
      <c r="EN129" s="1" t="s">
        <v>121</v>
      </c>
      <c r="EO129" s="1" t="s">
        <v>121</v>
      </c>
      <c r="EP129" s="1" t="s">
        <v>121</v>
      </c>
      <c r="EQ129" s="1" t="s">
        <v>121</v>
      </c>
      <c r="ER129" s="1" t="s">
        <v>121</v>
      </c>
      <c r="ES129" s="1" t="s">
        <v>121</v>
      </c>
      <c r="ET129" s="1" t="s">
        <v>121</v>
      </c>
      <c r="EU129" s="1" t="s">
        <v>121</v>
      </c>
      <c r="EV129" s="1" t="s">
        <v>121</v>
      </c>
      <c r="EW129" s="1" t="s">
        <v>121</v>
      </c>
      <c r="EX129" s="1" t="s">
        <v>121</v>
      </c>
    </row>
    <row r="130" spans="1:154" ht="8.1" customHeight="1" x14ac:dyDescent="0.25">
      <c r="A130" s="72">
        <v>130</v>
      </c>
      <c r="B130" s="8" t="s">
        <v>438</v>
      </c>
      <c r="C130" s="91" t="s">
        <v>121</v>
      </c>
      <c r="D130" s="86" t="s">
        <v>121</v>
      </c>
      <c r="E130" s="92" t="s">
        <v>121</v>
      </c>
      <c r="F130" s="86" t="s">
        <v>121</v>
      </c>
      <c r="G130" s="86" t="s">
        <v>121</v>
      </c>
      <c r="H130" s="86" t="s">
        <v>121</v>
      </c>
      <c r="I130" s="86" t="s">
        <v>121</v>
      </c>
      <c r="J130" s="86" t="s">
        <v>121</v>
      </c>
      <c r="K130" s="86" t="s">
        <v>121</v>
      </c>
      <c r="L130" s="86" t="s">
        <v>121</v>
      </c>
      <c r="M130" s="86" t="s">
        <v>121</v>
      </c>
      <c r="N130" s="86" t="s">
        <v>121</v>
      </c>
      <c r="O130" s="86" t="s">
        <v>121</v>
      </c>
      <c r="P130" s="86" t="s">
        <v>121</v>
      </c>
      <c r="Q130" s="86" t="s">
        <v>121</v>
      </c>
      <c r="R130" s="86" t="s">
        <v>121</v>
      </c>
      <c r="S130" s="86" t="s">
        <v>121</v>
      </c>
      <c r="T130" s="86" t="s">
        <v>121</v>
      </c>
      <c r="U130" s="86" t="s">
        <v>121</v>
      </c>
      <c r="V130" s="86" t="s">
        <v>121</v>
      </c>
      <c r="W130" s="86" t="s">
        <v>121</v>
      </c>
      <c r="X130" s="86" t="s">
        <v>121</v>
      </c>
      <c r="Y130" s="86" t="s">
        <v>121</v>
      </c>
      <c r="Z130" s="86" t="s">
        <v>121</v>
      </c>
      <c r="AA130" s="86" t="s">
        <v>121</v>
      </c>
      <c r="AB130" s="86" t="s">
        <v>121</v>
      </c>
      <c r="AC130" s="86" t="s">
        <v>121</v>
      </c>
      <c r="AD130" s="86" t="s">
        <v>121</v>
      </c>
      <c r="AE130" s="86" t="s">
        <v>121</v>
      </c>
      <c r="AF130" s="86" t="s">
        <v>121</v>
      </c>
      <c r="AG130" s="86" t="s">
        <v>121</v>
      </c>
      <c r="AH130" s="86" t="s">
        <v>121</v>
      </c>
      <c r="AI130" s="86" t="s">
        <v>121</v>
      </c>
      <c r="AJ130" s="86" t="s">
        <v>121</v>
      </c>
      <c r="AK130" s="86" t="s">
        <v>121</v>
      </c>
      <c r="AL130" s="86" t="s">
        <v>121</v>
      </c>
      <c r="AM130" s="86" t="s">
        <v>121</v>
      </c>
      <c r="AN130" s="86" t="s">
        <v>121</v>
      </c>
      <c r="AO130" s="86" t="s">
        <v>121</v>
      </c>
      <c r="AP130" s="86" t="s">
        <v>121</v>
      </c>
      <c r="AQ130" s="86" t="s">
        <v>121</v>
      </c>
      <c r="AR130" s="86" t="s">
        <v>121</v>
      </c>
      <c r="AS130" s="86" t="s">
        <v>121</v>
      </c>
      <c r="AT130" s="86" t="s">
        <v>121</v>
      </c>
      <c r="AU130" s="86" t="s">
        <v>121</v>
      </c>
      <c r="AV130" s="86" t="s">
        <v>121</v>
      </c>
      <c r="AW130" s="86" t="s">
        <v>121</v>
      </c>
      <c r="AX130" s="86" t="s">
        <v>121</v>
      </c>
      <c r="AY130" s="86" t="s">
        <v>121</v>
      </c>
      <c r="AZ130" s="8" t="s">
        <v>121</v>
      </c>
      <c r="BA130" s="1" t="s">
        <v>121</v>
      </c>
      <c r="BB130" s="1" t="s">
        <v>121</v>
      </c>
      <c r="BC130" s="1" t="s">
        <v>121</v>
      </c>
      <c r="BD130" s="1" t="s">
        <v>121</v>
      </c>
      <c r="BE130" s="1" t="s">
        <v>121</v>
      </c>
      <c r="BF130" s="1" t="s">
        <v>121</v>
      </c>
      <c r="BG130" s="1" t="s">
        <v>121</v>
      </c>
      <c r="BH130" s="1" t="s">
        <v>121</v>
      </c>
      <c r="BI130" s="1" t="s">
        <v>121</v>
      </c>
      <c r="BJ130" s="1" t="s">
        <v>121</v>
      </c>
      <c r="BK130" s="1" t="s">
        <v>121</v>
      </c>
      <c r="BL130" s="1" t="s">
        <v>121</v>
      </c>
      <c r="BM130" s="1" t="s">
        <v>121</v>
      </c>
      <c r="BN130" s="1" t="s">
        <v>121</v>
      </c>
      <c r="BO130" s="1" t="s">
        <v>121</v>
      </c>
      <c r="BP130" s="1" t="s">
        <v>121</v>
      </c>
      <c r="BQ130" s="1" t="s">
        <v>121</v>
      </c>
      <c r="BR130" s="1" t="s">
        <v>121</v>
      </c>
      <c r="BS130" s="1" t="s">
        <v>121</v>
      </c>
      <c r="BT130" s="1" t="s">
        <v>121</v>
      </c>
      <c r="BU130" s="1" t="s">
        <v>121</v>
      </c>
      <c r="BV130" s="1" t="s">
        <v>121</v>
      </c>
      <c r="BW130" s="1" t="s">
        <v>121</v>
      </c>
      <c r="BX130" s="1" t="s">
        <v>121</v>
      </c>
      <c r="BY130" s="1" t="s">
        <v>121</v>
      </c>
      <c r="BZ130" s="1" t="s">
        <v>121</v>
      </c>
      <c r="CA130" s="1" t="s">
        <v>121</v>
      </c>
      <c r="CB130" s="1" t="s">
        <v>121</v>
      </c>
      <c r="CC130" s="1" t="s">
        <v>121</v>
      </c>
      <c r="CD130" s="1" t="s">
        <v>121</v>
      </c>
      <c r="CE130" s="1" t="s">
        <v>121</v>
      </c>
      <c r="CF130" s="1" t="s">
        <v>121</v>
      </c>
      <c r="CG130" s="1" t="s">
        <v>121</v>
      </c>
      <c r="CH130" s="1" t="s">
        <v>121</v>
      </c>
      <c r="CI130" s="1" t="s">
        <v>121</v>
      </c>
      <c r="CJ130" s="1" t="s">
        <v>121</v>
      </c>
      <c r="CK130" s="1" t="s">
        <v>121</v>
      </c>
      <c r="CL130" s="1" t="s">
        <v>121</v>
      </c>
      <c r="CM130" s="1" t="s">
        <v>121</v>
      </c>
      <c r="CN130" s="1" t="s">
        <v>121</v>
      </c>
      <c r="CO130" s="1" t="s">
        <v>121</v>
      </c>
      <c r="CP130" s="1" t="s">
        <v>121</v>
      </c>
      <c r="CQ130" s="1" t="s">
        <v>121</v>
      </c>
      <c r="CR130" s="1" t="s">
        <v>121</v>
      </c>
      <c r="CS130" s="1" t="s">
        <v>121</v>
      </c>
      <c r="CT130" s="1" t="s">
        <v>121</v>
      </c>
      <c r="CU130" s="1" t="s">
        <v>121</v>
      </c>
      <c r="CV130" s="1" t="s">
        <v>121</v>
      </c>
      <c r="CW130" s="1" t="s">
        <v>121</v>
      </c>
      <c r="CX130" s="1" t="s">
        <v>121</v>
      </c>
      <c r="CY130" s="1" t="s">
        <v>121</v>
      </c>
      <c r="CZ130" s="1" t="s">
        <v>121</v>
      </c>
      <c r="DA130" s="1" t="s">
        <v>121</v>
      </c>
      <c r="DB130" s="1" t="s">
        <v>121</v>
      </c>
      <c r="DC130" s="1" t="s">
        <v>121</v>
      </c>
      <c r="DD130" s="1" t="s">
        <v>121</v>
      </c>
      <c r="DE130" s="1" t="s">
        <v>121</v>
      </c>
      <c r="DF130" s="1" t="s">
        <v>121</v>
      </c>
      <c r="DG130" s="1" t="s">
        <v>121</v>
      </c>
      <c r="DH130" s="1" t="s">
        <v>121</v>
      </c>
      <c r="DI130" s="1" t="s">
        <v>121</v>
      </c>
      <c r="DJ130" s="1" t="s">
        <v>121</v>
      </c>
      <c r="DK130" s="1" t="s">
        <v>121</v>
      </c>
      <c r="DL130" s="1" t="s">
        <v>121</v>
      </c>
      <c r="DM130" s="1" t="s">
        <v>121</v>
      </c>
      <c r="DN130" s="1" t="s">
        <v>121</v>
      </c>
      <c r="DO130" s="1" t="s">
        <v>121</v>
      </c>
      <c r="DP130" s="1" t="s">
        <v>121</v>
      </c>
      <c r="DQ130" s="1" t="s">
        <v>121</v>
      </c>
      <c r="DR130" s="1" t="s">
        <v>121</v>
      </c>
      <c r="DS130" s="1" t="s">
        <v>121</v>
      </c>
      <c r="DT130" s="1" t="s">
        <v>121</v>
      </c>
      <c r="DU130" s="1" t="s">
        <v>121</v>
      </c>
      <c r="DV130" s="1" t="s">
        <v>121</v>
      </c>
      <c r="DW130" s="1" t="s">
        <v>121</v>
      </c>
      <c r="DX130" s="1" t="s">
        <v>121</v>
      </c>
      <c r="DY130" s="1" t="s">
        <v>121</v>
      </c>
      <c r="DZ130" s="1" t="s">
        <v>121</v>
      </c>
      <c r="EA130" s="1" t="s">
        <v>121</v>
      </c>
      <c r="EB130" s="1" t="s">
        <v>121</v>
      </c>
      <c r="EC130" s="1" t="s">
        <v>121</v>
      </c>
      <c r="ED130" s="1" t="s">
        <v>121</v>
      </c>
      <c r="EE130" s="1" t="s">
        <v>121</v>
      </c>
      <c r="EF130" s="1" t="s">
        <v>121</v>
      </c>
      <c r="EG130" s="1" t="s">
        <v>121</v>
      </c>
      <c r="EH130" s="1" t="s">
        <v>121</v>
      </c>
      <c r="EI130" s="1" t="s">
        <v>121</v>
      </c>
      <c r="EJ130" s="1" t="s">
        <v>121</v>
      </c>
      <c r="EK130" s="1" t="s">
        <v>121</v>
      </c>
      <c r="EL130" s="1" t="s">
        <v>121</v>
      </c>
      <c r="EM130" s="1" t="s">
        <v>121</v>
      </c>
      <c r="EN130" s="1" t="s">
        <v>121</v>
      </c>
      <c r="EO130" s="1" t="s">
        <v>121</v>
      </c>
      <c r="EP130" s="1" t="s">
        <v>121</v>
      </c>
      <c r="EQ130" s="1" t="s">
        <v>121</v>
      </c>
      <c r="ER130" s="1" t="s">
        <v>121</v>
      </c>
      <c r="ES130" s="1" t="s">
        <v>121</v>
      </c>
      <c r="ET130" s="1" t="s">
        <v>121</v>
      </c>
      <c r="EU130" s="1" t="s">
        <v>121</v>
      </c>
      <c r="EV130" s="1" t="s">
        <v>121</v>
      </c>
      <c r="EW130" s="1" t="s">
        <v>121</v>
      </c>
      <c r="EX130" s="1" t="s">
        <v>121</v>
      </c>
    </row>
    <row r="131" spans="1:154" s="25" customFormat="1" x14ac:dyDescent="0.25">
      <c r="A131" s="72">
        <v>131</v>
      </c>
      <c r="B131" s="68" t="s">
        <v>194</v>
      </c>
      <c r="C131" s="91"/>
      <c r="D131" s="86"/>
      <c r="E131" s="92">
        <f ca="1">OFFSET($E$7,$A131-$A$7,1,1,1)/OFFSET($E$7,$A131-$A$7,5,1,1)-1</f>
        <v>0.15352470220660019</v>
      </c>
      <c r="F131" s="22">
        <f t="shared" ref="F131:P131" si="0">F13</f>
        <v>59072</v>
      </c>
      <c r="G131" s="22">
        <f t="shared" si="0"/>
        <v>39430</v>
      </c>
      <c r="H131" s="22">
        <f t="shared" si="0"/>
        <v>19928</v>
      </c>
      <c r="I131" s="22">
        <f t="shared" si="0"/>
        <v>70557</v>
      </c>
      <c r="J131" s="22">
        <f t="shared" si="0"/>
        <v>51210</v>
      </c>
      <c r="K131" s="22">
        <f t="shared" si="0"/>
        <v>33866</v>
      </c>
      <c r="L131" s="22">
        <f t="shared" si="0"/>
        <v>17202</v>
      </c>
      <c r="M131" s="22">
        <f t="shared" si="0"/>
        <v>50832</v>
      </c>
      <c r="N131" s="22">
        <f t="shared" si="0"/>
        <v>34755</v>
      </c>
      <c r="O131" s="22">
        <f t="shared" si="0"/>
        <v>22095</v>
      </c>
      <c r="P131" s="22">
        <f t="shared" si="0"/>
        <v>11209</v>
      </c>
      <c r="Q131" s="405"/>
      <c r="R131" s="405"/>
      <c r="S131" s="405"/>
      <c r="T131" s="405"/>
      <c r="U131" s="22">
        <v>28107.683000000001</v>
      </c>
      <c r="V131" s="22">
        <v>20153.683000000001</v>
      </c>
      <c r="W131" s="22">
        <v>13096.683000000001</v>
      </c>
      <c r="X131" s="22">
        <v>6466</v>
      </c>
      <c r="Y131" s="22">
        <v>25524</v>
      </c>
      <c r="Z131" s="22">
        <v>18333.587</v>
      </c>
      <c r="AA131" s="22">
        <v>12293.163</v>
      </c>
      <c r="AB131" s="22">
        <v>6235.6049999999996</v>
      </c>
      <c r="AC131" s="22">
        <v>23281.469000000005</v>
      </c>
      <c r="AD131" s="22">
        <v>16914.134000000002</v>
      </c>
      <c r="AE131" s="22">
        <v>11057.760999999999</v>
      </c>
      <c r="AF131" s="22">
        <v>5736.3910000000005</v>
      </c>
      <c r="AG131" s="22">
        <v>21895.264999999999</v>
      </c>
      <c r="AH131" s="22">
        <v>15829.462999999996</v>
      </c>
      <c r="AI131" s="22">
        <v>10310.013999999999</v>
      </c>
      <c r="AJ131" s="22">
        <v>5053.8419999999996</v>
      </c>
      <c r="AK131" s="22">
        <v>19657.520999999997</v>
      </c>
      <c r="AL131" s="22">
        <v>13941.552000000001</v>
      </c>
      <c r="AM131" s="22">
        <v>8793.2519999999986</v>
      </c>
      <c r="AN131" s="22">
        <v>4453.5990000000011</v>
      </c>
      <c r="AO131" s="22">
        <v>21357.581999999999</v>
      </c>
      <c r="AP131" s="22">
        <v>15506.97</v>
      </c>
      <c r="AQ131" s="22">
        <v>10026.615999999998</v>
      </c>
      <c r="AR131" s="22">
        <v>4889.6530000000012</v>
      </c>
      <c r="AS131" s="22">
        <v>16869.748999999996</v>
      </c>
      <c r="AT131" s="22">
        <v>11878.002999999999</v>
      </c>
      <c r="AU131" s="22">
        <v>7952.9910000000018</v>
      </c>
      <c r="AV131" s="22">
        <v>3977.694</v>
      </c>
      <c r="AW131" s="11">
        <v>17999.700000000004</v>
      </c>
      <c r="AX131" s="22">
        <v>12602.809000000001</v>
      </c>
      <c r="AY131" s="22">
        <v>8259.6350000000002</v>
      </c>
      <c r="AZ131" s="22">
        <v>3967.893</v>
      </c>
      <c r="BA131" s="22">
        <v>12943.022000000003</v>
      </c>
      <c r="BB131" s="22">
        <v>9238.4009999999998</v>
      </c>
      <c r="BC131" s="22">
        <v>5945.3370000000004</v>
      </c>
      <c r="BD131" s="22">
        <v>2890.64</v>
      </c>
      <c r="BE131" s="22">
        <v>11624.099999999999</v>
      </c>
      <c r="BF131" s="22">
        <v>8610.232</v>
      </c>
      <c r="BG131" s="22">
        <v>5788.7879999999986</v>
      </c>
      <c r="BH131" s="22">
        <v>2839.6120000000001</v>
      </c>
      <c r="BI131" s="22">
        <v>13322.564</v>
      </c>
      <c r="BJ131" s="22">
        <v>10117.833999999997</v>
      </c>
      <c r="BK131" s="22">
        <v>6645.8789999999999</v>
      </c>
      <c r="BL131" s="22">
        <v>3267.7710000000002</v>
      </c>
      <c r="BM131" s="25">
        <v>11769.359999999999</v>
      </c>
      <c r="BN131" s="25">
        <v>8858.9659999999985</v>
      </c>
      <c r="BO131" s="25">
        <v>5820.3750000000009</v>
      </c>
      <c r="BP131" s="25">
        <v>3024.3710000000001</v>
      </c>
      <c r="BQ131" s="25" t="s">
        <v>121</v>
      </c>
      <c r="BR131" s="25" t="s">
        <v>121</v>
      </c>
      <c r="BS131" s="25" t="s">
        <v>121</v>
      </c>
      <c r="BT131" s="25" t="s">
        <v>121</v>
      </c>
      <c r="BU131" s="25" t="s">
        <v>121</v>
      </c>
      <c r="BV131" s="25" t="s">
        <v>121</v>
      </c>
      <c r="BW131" s="25" t="s">
        <v>121</v>
      </c>
      <c r="BX131" s="25" t="s">
        <v>121</v>
      </c>
      <c r="BY131" s="25" t="s">
        <v>121</v>
      </c>
      <c r="BZ131" s="25" t="s">
        <v>121</v>
      </c>
      <c r="CA131" s="25" t="s">
        <v>121</v>
      </c>
      <c r="CB131" s="25" t="s">
        <v>121</v>
      </c>
      <c r="CC131" s="25" t="s">
        <v>121</v>
      </c>
      <c r="CD131" s="25" t="s">
        <v>121</v>
      </c>
      <c r="CE131" s="25" t="s">
        <v>121</v>
      </c>
      <c r="CF131" s="25" t="s">
        <v>121</v>
      </c>
      <c r="CG131" s="25" t="s">
        <v>121</v>
      </c>
      <c r="CH131" s="25" t="s">
        <v>121</v>
      </c>
      <c r="CI131" s="25" t="s">
        <v>121</v>
      </c>
      <c r="CJ131" s="25" t="s">
        <v>121</v>
      </c>
      <c r="CK131" s="25" t="s">
        <v>121</v>
      </c>
      <c r="CL131" s="25" t="s">
        <v>121</v>
      </c>
      <c r="CM131" s="25" t="s">
        <v>121</v>
      </c>
      <c r="CN131" s="25" t="s">
        <v>121</v>
      </c>
      <c r="CO131" s="25" t="s">
        <v>121</v>
      </c>
      <c r="CP131" s="25" t="s">
        <v>121</v>
      </c>
      <c r="CQ131" s="25" t="s">
        <v>121</v>
      </c>
      <c r="CR131" s="25" t="s">
        <v>121</v>
      </c>
      <c r="CS131" s="25" t="s">
        <v>121</v>
      </c>
      <c r="CT131" s="25" t="s">
        <v>121</v>
      </c>
      <c r="CU131" s="25" t="s">
        <v>121</v>
      </c>
      <c r="CV131" s="25" t="s">
        <v>121</v>
      </c>
      <c r="CW131" s="25" t="s">
        <v>121</v>
      </c>
      <c r="CX131" s="25" t="s">
        <v>121</v>
      </c>
      <c r="CY131" s="25" t="s">
        <v>121</v>
      </c>
      <c r="CZ131" s="25" t="s">
        <v>121</v>
      </c>
      <c r="DA131" s="25" t="s">
        <v>121</v>
      </c>
      <c r="DB131" s="25" t="s">
        <v>121</v>
      </c>
      <c r="DC131" s="25" t="s">
        <v>121</v>
      </c>
      <c r="DD131" s="25" t="s">
        <v>121</v>
      </c>
      <c r="DE131" s="25" t="s">
        <v>121</v>
      </c>
      <c r="DF131" s="25" t="s">
        <v>121</v>
      </c>
      <c r="DG131" s="25" t="s">
        <v>121</v>
      </c>
      <c r="DH131" s="25" t="s">
        <v>121</v>
      </c>
      <c r="DI131" s="25" t="s">
        <v>121</v>
      </c>
      <c r="DJ131" s="25" t="s">
        <v>121</v>
      </c>
      <c r="DK131" s="25" t="s">
        <v>121</v>
      </c>
      <c r="DL131" s="25" t="s">
        <v>121</v>
      </c>
      <c r="DM131" s="25" t="s">
        <v>121</v>
      </c>
      <c r="DN131" s="25" t="s">
        <v>121</v>
      </c>
      <c r="DO131" s="25" t="s">
        <v>121</v>
      </c>
      <c r="DP131" s="25" t="s">
        <v>121</v>
      </c>
      <c r="DQ131" s="25" t="s">
        <v>121</v>
      </c>
      <c r="DR131" s="25" t="s">
        <v>121</v>
      </c>
      <c r="DS131" s="25" t="s">
        <v>121</v>
      </c>
      <c r="DT131" s="25" t="s">
        <v>121</v>
      </c>
      <c r="DU131" s="25" t="s">
        <v>121</v>
      </c>
      <c r="DV131" s="25" t="s">
        <v>121</v>
      </c>
      <c r="DW131" s="25" t="s">
        <v>121</v>
      </c>
      <c r="DX131" s="25" t="s">
        <v>121</v>
      </c>
      <c r="DY131" s="25" t="s">
        <v>121</v>
      </c>
      <c r="DZ131" s="25" t="s">
        <v>121</v>
      </c>
      <c r="EA131" s="25" t="s">
        <v>121</v>
      </c>
      <c r="EB131" s="25" t="s">
        <v>121</v>
      </c>
      <c r="EC131" s="25" t="s">
        <v>121</v>
      </c>
      <c r="ED131" s="25" t="s">
        <v>121</v>
      </c>
      <c r="EE131" s="25" t="s">
        <v>121</v>
      </c>
      <c r="EF131" s="25" t="s">
        <v>121</v>
      </c>
      <c r="EG131" s="25" t="s">
        <v>121</v>
      </c>
      <c r="EH131" s="25" t="s">
        <v>121</v>
      </c>
      <c r="EI131" s="25" t="s">
        <v>121</v>
      </c>
      <c r="EJ131" s="25" t="s">
        <v>121</v>
      </c>
      <c r="EK131" s="25" t="s">
        <v>121</v>
      </c>
      <c r="EL131" s="25" t="s">
        <v>121</v>
      </c>
      <c r="EM131" s="25" t="s">
        <v>121</v>
      </c>
      <c r="EN131" s="25" t="s">
        <v>121</v>
      </c>
      <c r="EO131" s="25" t="s">
        <v>121</v>
      </c>
      <c r="EP131" s="25" t="s">
        <v>121</v>
      </c>
      <c r="EQ131" s="25" t="s">
        <v>121</v>
      </c>
      <c r="ER131" s="25" t="s">
        <v>121</v>
      </c>
      <c r="ES131" s="25" t="s">
        <v>121</v>
      </c>
      <c r="ET131" s="25" t="s">
        <v>121</v>
      </c>
      <c r="EU131" s="25" t="s">
        <v>121</v>
      </c>
      <c r="EV131" s="25" t="s">
        <v>121</v>
      </c>
      <c r="EW131" s="25" t="s">
        <v>121</v>
      </c>
      <c r="EX131" s="25" t="s">
        <v>121</v>
      </c>
    </row>
    <row r="132" spans="1:154" s="25" customFormat="1" x14ac:dyDescent="0.25">
      <c r="A132" s="72">
        <v>132</v>
      </c>
      <c r="B132" s="68" t="s">
        <v>195</v>
      </c>
      <c r="C132" s="91"/>
      <c r="D132" s="86"/>
      <c r="E132" s="92">
        <f ca="1">OFFSET($E$7,$A132-$A$7,1,1,1)/OFFSET($E$7,$A132-$A$7,5,1,1)-1</f>
        <v>-5.7484748944157671E-3</v>
      </c>
      <c r="F132" s="11">
        <f t="shared" ref="F132:P132" si="1">F20+F21</f>
        <v>8475</v>
      </c>
      <c r="G132" s="11">
        <f t="shared" si="1"/>
        <v>5602</v>
      </c>
      <c r="H132" s="11">
        <f t="shared" si="1"/>
        <v>2761</v>
      </c>
      <c r="I132" s="11">
        <f t="shared" si="1"/>
        <v>11599</v>
      </c>
      <c r="J132" s="11">
        <f t="shared" si="1"/>
        <v>8524</v>
      </c>
      <c r="K132" s="11">
        <f t="shared" si="1"/>
        <v>5368</v>
      </c>
      <c r="L132" s="11">
        <f t="shared" si="1"/>
        <v>2659</v>
      </c>
      <c r="M132" s="11">
        <f t="shared" si="1"/>
        <v>12487</v>
      </c>
      <c r="N132" s="11">
        <f t="shared" si="1"/>
        <v>9430</v>
      </c>
      <c r="O132" s="11">
        <f t="shared" si="1"/>
        <v>6458</v>
      </c>
      <c r="P132" s="11">
        <f t="shared" si="1"/>
        <v>3566</v>
      </c>
      <c r="Q132" s="405"/>
      <c r="R132" s="405"/>
      <c r="S132" s="405"/>
      <c r="T132" s="405"/>
      <c r="U132" s="11">
        <v>9009</v>
      </c>
      <c r="V132" s="11">
        <v>6409</v>
      </c>
      <c r="W132" s="11">
        <v>4213</v>
      </c>
      <c r="X132" s="11">
        <v>1905</v>
      </c>
      <c r="Y132" s="11">
        <v>7540</v>
      </c>
      <c r="Z132" s="11">
        <v>5225.1329999999998</v>
      </c>
      <c r="AA132" s="11">
        <v>3325.1319999999996</v>
      </c>
      <c r="AB132" s="11">
        <v>1682.1690000000001</v>
      </c>
      <c r="AC132" s="11">
        <v>6818.9260000000013</v>
      </c>
      <c r="AD132" s="22">
        <v>4825.646999999999</v>
      </c>
      <c r="AE132" s="22">
        <v>3042.1179999999995</v>
      </c>
      <c r="AF132" s="22">
        <v>1278.4550000000004</v>
      </c>
      <c r="AG132" s="22">
        <v>5243.0819999999985</v>
      </c>
      <c r="AH132" s="22">
        <v>3746.9524999999999</v>
      </c>
      <c r="AI132" s="22">
        <v>2421.3310000000001</v>
      </c>
      <c r="AJ132" s="22">
        <v>1235.2635000000002</v>
      </c>
      <c r="AK132" s="22">
        <v>5211.0729999999994</v>
      </c>
      <c r="AL132" s="22">
        <v>3745.7579999999998</v>
      </c>
      <c r="AM132" s="22">
        <v>2433.7350000000001</v>
      </c>
      <c r="AN132" s="22">
        <v>1171.204</v>
      </c>
      <c r="AO132" s="22">
        <v>4699.5190000000002</v>
      </c>
      <c r="AP132" s="22">
        <v>3474.2979999999998</v>
      </c>
      <c r="AQ132" s="22">
        <v>2295.7780000000002</v>
      </c>
      <c r="AR132" s="22">
        <v>1127.9749999999999</v>
      </c>
      <c r="AS132" s="22">
        <v>4042.3099999999995</v>
      </c>
      <c r="AT132" s="22">
        <v>2897.942</v>
      </c>
      <c r="AU132" s="22">
        <v>1863.5250000000001</v>
      </c>
      <c r="AV132" s="22">
        <v>836.72</v>
      </c>
      <c r="AW132" s="11">
        <v>3720.6420000000003</v>
      </c>
      <c r="AX132" s="22">
        <v>2648.2570000000001</v>
      </c>
      <c r="AY132" s="22">
        <v>1685.9559999999999</v>
      </c>
      <c r="AZ132" s="22">
        <v>789.62900000000002</v>
      </c>
      <c r="BA132" s="22">
        <v>2677.8679999999999</v>
      </c>
      <c r="BB132" s="22">
        <v>1877.4119999999998</v>
      </c>
      <c r="BC132" s="22">
        <v>1225.8699999999999</v>
      </c>
      <c r="BD132" s="22">
        <v>594.43500000000006</v>
      </c>
      <c r="BE132" s="22">
        <v>2349.1290000000008</v>
      </c>
      <c r="BF132" s="22">
        <v>1644.598</v>
      </c>
      <c r="BG132" s="22">
        <v>1035.7539999999999</v>
      </c>
      <c r="BH132" s="22">
        <v>482.05899999999997</v>
      </c>
      <c r="BI132" s="22">
        <v>2051.634</v>
      </c>
      <c r="BJ132" s="22">
        <v>1463.894</v>
      </c>
      <c r="BK132" s="22">
        <v>938.8309999999999</v>
      </c>
      <c r="BL132" s="22">
        <v>439.13100000000003</v>
      </c>
      <c r="BM132" s="25">
        <v>1715.125</v>
      </c>
      <c r="BN132" s="25">
        <v>1180.4960000000001</v>
      </c>
      <c r="BO132" s="25">
        <v>763.49700000000007</v>
      </c>
      <c r="BP132" s="25">
        <v>337.197</v>
      </c>
      <c r="BQ132" s="25" t="s">
        <v>121</v>
      </c>
      <c r="BR132" s="25" t="s">
        <v>121</v>
      </c>
      <c r="BS132" s="25" t="s">
        <v>121</v>
      </c>
      <c r="BT132" s="25" t="s">
        <v>121</v>
      </c>
      <c r="BU132" s="25" t="s">
        <v>121</v>
      </c>
      <c r="BV132" s="25" t="s">
        <v>121</v>
      </c>
      <c r="BW132" s="25" t="s">
        <v>121</v>
      </c>
      <c r="BX132" s="25" t="s">
        <v>121</v>
      </c>
      <c r="BY132" s="25" t="s">
        <v>121</v>
      </c>
      <c r="BZ132" s="25" t="s">
        <v>121</v>
      </c>
      <c r="CA132" s="25" t="s">
        <v>121</v>
      </c>
      <c r="CB132" s="25" t="s">
        <v>121</v>
      </c>
      <c r="CC132" s="25" t="s">
        <v>121</v>
      </c>
      <c r="CD132" s="25" t="s">
        <v>121</v>
      </c>
      <c r="CE132" s="25" t="s">
        <v>121</v>
      </c>
      <c r="CF132" s="25" t="s">
        <v>121</v>
      </c>
      <c r="CG132" s="25" t="s">
        <v>121</v>
      </c>
      <c r="CH132" s="25" t="s">
        <v>121</v>
      </c>
      <c r="CI132" s="25" t="s">
        <v>121</v>
      </c>
      <c r="CJ132" s="25" t="s">
        <v>121</v>
      </c>
      <c r="CK132" s="25" t="s">
        <v>121</v>
      </c>
      <c r="CL132" s="25" t="s">
        <v>121</v>
      </c>
      <c r="CM132" s="25" t="s">
        <v>121</v>
      </c>
      <c r="CN132" s="25" t="s">
        <v>121</v>
      </c>
      <c r="CO132" s="25" t="s">
        <v>121</v>
      </c>
      <c r="CP132" s="25" t="s">
        <v>121</v>
      </c>
      <c r="CQ132" s="25" t="s">
        <v>121</v>
      </c>
      <c r="CR132" s="25" t="s">
        <v>121</v>
      </c>
      <c r="CS132" s="25" t="s">
        <v>121</v>
      </c>
      <c r="CT132" s="25" t="s">
        <v>121</v>
      </c>
      <c r="CU132" s="25" t="s">
        <v>121</v>
      </c>
      <c r="CV132" s="25" t="s">
        <v>121</v>
      </c>
      <c r="CW132" s="25" t="s">
        <v>121</v>
      </c>
      <c r="CX132" s="25" t="s">
        <v>121</v>
      </c>
      <c r="CY132" s="25" t="s">
        <v>121</v>
      </c>
      <c r="CZ132" s="25" t="s">
        <v>121</v>
      </c>
      <c r="DA132" s="25" t="s">
        <v>121</v>
      </c>
      <c r="DB132" s="25" t="s">
        <v>121</v>
      </c>
      <c r="DC132" s="25" t="s">
        <v>121</v>
      </c>
      <c r="DD132" s="25" t="s">
        <v>121</v>
      </c>
      <c r="DE132" s="25" t="s">
        <v>121</v>
      </c>
      <c r="DF132" s="25" t="s">
        <v>121</v>
      </c>
      <c r="DG132" s="25" t="s">
        <v>121</v>
      </c>
      <c r="DH132" s="25" t="s">
        <v>121</v>
      </c>
      <c r="DI132" s="25" t="s">
        <v>121</v>
      </c>
      <c r="DJ132" s="25" t="s">
        <v>121</v>
      </c>
      <c r="DK132" s="25" t="s">
        <v>121</v>
      </c>
      <c r="DL132" s="25" t="s">
        <v>121</v>
      </c>
      <c r="DM132" s="25" t="s">
        <v>121</v>
      </c>
      <c r="DN132" s="25" t="s">
        <v>121</v>
      </c>
      <c r="DO132" s="25" t="s">
        <v>121</v>
      </c>
      <c r="DP132" s="25" t="s">
        <v>121</v>
      </c>
      <c r="DQ132" s="25" t="s">
        <v>121</v>
      </c>
      <c r="DR132" s="25" t="s">
        <v>121</v>
      </c>
      <c r="DS132" s="25" t="s">
        <v>121</v>
      </c>
      <c r="DT132" s="25" t="s">
        <v>121</v>
      </c>
      <c r="DU132" s="25" t="s">
        <v>121</v>
      </c>
      <c r="DV132" s="25" t="s">
        <v>121</v>
      </c>
      <c r="DW132" s="25" t="s">
        <v>121</v>
      </c>
      <c r="DX132" s="25" t="s">
        <v>121</v>
      </c>
      <c r="DY132" s="25" t="s">
        <v>121</v>
      </c>
      <c r="DZ132" s="25" t="s">
        <v>121</v>
      </c>
      <c r="EA132" s="25" t="s">
        <v>121</v>
      </c>
      <c r="EB132" s="25" t="s">
        <v>121</v>
      </c>
      <c r="EC132" s="25" t="s">
        <v>121</v>
      </c>
      <c r="ED132" s="25" t="s">
        <v>121</v>
      </c>
      <c r="EE132" s="25" t="s">
        <v>121</v>
      </c>
      <c r="EF132" s="25" t="s">
        <v>121</v>
      </c>
      <c r="EG132" s="25" t="s">
        <v>121</v>
      </c>
      <c r="EH132" s="25" t="s">
        <v>121</v>
      </c>
      <c r="EI132" s="25" t="s">
        <v>121</v>
      </c>
      <c r="EJ132" s="25" t="s">
        <v>121</v>
      </c>
      <c r="EK132" s="25" t="s">
        <v>121</v>
      </c>
      <c r="EL132" s="25" t="s">
        <v>121</v>
      </c>
      <c r="EM132" s="25" t="s">
        <v>121</v>
      </c>
      <c r="EN132" s="25" t="s">
        <v>121</v>
      </c>
      <c r="EO132" s="25" t="s">
        <v>121</v>
      </c>
      <c r="EP132" s="25" t="s">
        <v>121</v>
      </c>
      <c r="EQ132" s="25" t="s">
        <v>121</v>
      </c>
      <c r="ER132" s="25" t="s">
        <v>121</v>
      </c>
      <c r="ES132" s="25" t="s">
        <v>121</v>
      </c>
      <c r="ET132" s="25" t="s">
        <v>121</v>
      </c>
      <c r="EU132" s="25" t="s">
        <v>121</v>
      </c>
      <c r="EV132" s="25" t="s">
        <v>121</v>
      </c>
      <c r="EW132" s="25" t="s">
        <v>121</v>
      </c>
      <c r="EX132" s="25" t="s">
        <v>121</v>
      </c>
    </row>
    <row r="133" spans="1:154" s="25" customFormat="1" x14ac:dyDescent="0.25">
      <c r="A133" s="72">
        <v>133</v>
      </c>
      <c r="B133" s="68" t="s">
        <v>439</v>
      </c>
      <c r="C133" s="91"/>
      <c r="D133" s="86"/>
      <c r="E133" s="92">
        <f ca="1">OFFSET($E$7,$A133-$A$7,1,1,1)/OFFSET($E$7,$A133-$A$7,5,1,1)-1</f>
        <v>-0.18968909878000784</v>
      </c>
      <c r="F133" s="22">
        <f>F17+F18+F19+F35+1838</f>
        <v>6177</v>
      </c>
      <c r="G133" s="22">
        <f t="shared" ref="G133:P133" si="2">G17+G18+G19+G35</f>
        <v>5129</v>
      </c>
      <c r="H133" s="22">
        <f t="shared" si="2"/>
        <v>2318</v>
      </c>
      <c r="I133" s="22">
        <f t="shared" si="2"/>
        <v>10896</v>
      </c>
      <c r="J133" s="22">
        <f t="shared" si="2"/>
        <v>7623</v>
      </c>
      <c r="K133" s="22">
        <f t="shared" si="2"/>
        <v>4795</v>
      </c>
      <c r="L133" s="22">
        <f t="shared" si="2"/>
        <v>2207</v>
      </c>
      <c r="M133" s="22">
        <f t="shared" si="2"/>
        <v>10270</v>
      </c>
      <c r="N133" s="22">
        <f t="shared" si="2"/>
        <v>9205</v>
      </c>
      <c r="O133" s="22">
        <f t="shared" si="2"/>
        <v>7675</v>
      </c>
      <c r="P133" s="22">
        <f t="shared" si="2"/>
        <v>5886</v>
      </c>
      <c r="Q133" s="405"/>
      <c r="R133" s="405"/>
      <c r="S133" s="405"/>
      <c r="T133" s="405"/>
      <c r="U133" s="22">
        <v>5334</v>
      </c>
      <c r="V133" s="22">
        <v>3324</v>
      </c>
      <c r="W133" s="22">
        <v>2121</v>
      </c>
      <c r="X133" s="22">
        <v>583</v>
      </c>
      <c r="Y133" s="22">
        <v>2517</v>
      </c>
      <c r="Z133" s="22">
        <v>967.89900000000011</v>
      </c>
      <c r="AA133" s="22">
        <v>402.59399999999994</v>
      </c>
      <c r="AB133" s="22">
        <v>-25.234999999999999</v>
      </c>
      <c r="AC133" s="22">
        <v>233.70600000000002</v>
      </c>
      <c r="AD133" s="22">
        <v>75.820999999999913</v>
      </c>
      <c r="AE133" s="22">
        <v>496.91999999999996</v>
      </c>
      <c r="AF133" s="22">
        <v>-92.945000000000007</v>
      </c>
      <c r="AG133" s="22">
        <v>3973.0249999999996</v>
      </c>
      <c r="AH133" s="22">
        <v>2356.8669999999997</v>
      </c>
      <c r="AI133" s="22">
        <v>1847.1049999999996</v>
      </c>
      <c r="AJ133" s="22">
        <v>444.65699999999998</v>
      </c>
      <c r="AK133" s="22">
        <v>6245.3089999999993</v>
      </c>
      <c r="AL133" s="22">
        <v>5497.6169999999984</v>
      </c>
      <c r="AM133" s="22">
        <v>4072.1080000000006</v>
      </c>
      <c r="AN133" s="22">
        <v>1590.3999999999999</v>
      </c>
      <c r="AO133" s="22">
        <v>4168.817</v>
      </c>
      <c r="AP133" s="22">
        <v>3476.5249999999996</v>
      </c>
      <c r="AQ133" s="22">
        <v>2508.4010000000003</v>
      </c>
      <c r="AR133" s="22">
        <v>1267.2159999999994</v>
      </c>
      <c r="AS133" s="22">
        <v>6179.3070000000007</v>
      </c>
      <c r="AT133" s="22">
        <v>4341.3639999999987</v>
      </c>
      <c r="AU133" s="22">
        <v>2309.8140000000003</v>
      </c>
      <c r="AV133" s="22">
        <v>501.88600000000002</v>
      </c>
      <c r="AW133" s="22">
        <v>-122.64699999999993</v>
      </c>
      <c r="AX133" s="22">
        <v>-126.18599999999992</v>
      </c>
      <c r="AY133" s="22">
        <v>41.97199999999998</v>
      </c>
      <c r="AZ133" s="22">
        <v>-279.80199999999991</v>
      </c>
      <c r="BA133" s="22">
        <v>4380.2359999999999</v>
      </c>
      <c r="BB133" s="22">
        <v>1864.8550000000002</v>
      </c>
      <c r="BC133" s="22">
        <v>721.73400000000026</v>
      </c>
      <c r="BD133" s="22">
        <v>497.56100000000004</v>
      </c>
      <c r="BE133" s="22">
        <v>867.72799999999984</v>
      </c>
      <c r="BF133" s="22">
        <v>580.45500000000004</v>
      </c>
      <c r="BG133" s="22">
        <v>115.95999999999998</v>
      </c>
      <c r="BH133" s="22">
        <v>280.89199999999994</v>
      </c>
      <c r="BI133" s="22">
        <v>795.8040000000002</v>
      </c>
      <c r="BJ133" s="22">
        <v>447.68000000000006</v>
      </c>
      <c r="BK133" s="22">
        <v>1420.069</v>
      </c>
      <c r="BL133" s="22">
        <v>514.58600000000001</v>
      </c>
      <c r="BM133" s="25">
        <v>903.14900000000011</v>
      </c>
      <c r="BN133" s="25">
        <v>853.65300000000013</v>
      </c>
      <c r="BO133" s="25">
        <v>735.83600000000001</v>
      </c>
      <c r="BP133" s="25">
        <v>885.99800000000005</v>
      </c>
      <c r="BQ133" s="25" t="s">
        <v>121</v>
      </c>
      <c r="BR133" s="25" t="s">
        <v>121</v>
      </c>
      <c r="BS133" s="25" t="s">
        <v>121</v>
      </c>
      <c r="BT133" s="25" t="s">
        <v>121</v>
      </c>
      <c r="BU133" s="25" t="s">
        <v>121</v>
      </c>
      <c r="BV133" s="25" t="s">
        <v>121</v>
      </c>
      <c r="BW133" s="25" t="s">
        <v>121</v>
      </c>
      <c r="BX133" s="25" t="s">
        <v>121</v>
      </c>
      <c r="BY133" s="25" t="s">
        <v>121</v>
      </c>
      <c r="BZ133" s="25" t="s">
        <v>121</v>
      </c>
      <c r="CA133" s="25" t="s">
        <v>121</v>
      </c>
      <c r="CB133" s="25" t="s">
        <v>121</v>
      </c>
      <c r="CC133" s="25" t="s">
        <v>121</v>
      </c>
      <c r="CD133" s="25" t="s">
        <v>121</v>
      </c>
      <c r="CE133" s="25" t="s">
        <v>121</v>
      </c>
      <c r="CF133" s="25" t="s">
        <v>121</v>
      </c>
      <c r="CG133" s="25" t="s">
        <v>121</v>
      </c>
      <c r="CH133" s="25" t="s">
        <v>121</v>
      </c>
      <c r="CI133" s="25" t="s">
        <v>121</v>
      </c>
      <c r="CJ133" s="25" t="s">
        <v>121</v>
      </c>
      <c r="CK133" s="25" t="s">
        <v>121</v>
      </c>
      <c r="CL133" s="25" t="s">
        <v>121</v>
      </c>
      <c r="CM133" s="25" t="s">
        <v>121</v>
      </c>
      <c r="CN133" s="25" t="s">
        <v>121</v>
      </c>
      <c r="CO133" s="25" t="s">
        <v>121</v>
      </c>
      <c r="CP133" s="25" t="s">
        <v>121</v>
      </c>
      <c r="CQ133" s="25" t="s">
        <v>121</v>
      </c>
      <c r="CR133" s="25" t="s">
        <v>121</v>
      </c>
      <c r="CS133" s="25" t="s">
        <v>121</v>
      </c>
      <c r="CT133" s="25" t="s">
        <v>121</v>
      </c>
      <c r="CU133" s="25" t="s">
        <v>121</v>
      </c>
      <c r="CV133" s="25" t="s">
        <v>121</v>
      </c>
      <c r="CW133" s="25" t="s">
        <v>121</v>
      </c>
      <c r="CX133" s="25" t="s">
        <v>121</v>
      </c>
      <c r="CY133" s="25" t="s">
        <v>121</v>
      </c>
      <c r="CZ133" s="25" t="s">
        <v>121</v>
      </c>
      <c r="DA133" s="25" t="s">
        <v>121</v>
      </c>
      <c r="DB133" s="25" t="s">
        <v>121</v>
      </c>
      <c r="DC133" s="25" t="s">
        <v>121</v>
      </c>
      <c r="DD133" s="25" t="s">
        <v>121</v>
      </c>
      <c r="DE133" s="25" t="s">
        <v>121</v>
      </c>
      <c r="DF133" s="25" t="s">
        <v>121</v>
      </c>
      <c r="DG133" s="25" t="s">
        <v>121</v>
      </c>
      <c r="DH133" s="25" t="s">
        <v>121</v>
      </c>
      <c r="DI133" s="25" t="s">
        <v>121</v>
      </c>
      <c r="DJ133" s="25" t="s">
        <v>121</v>
      </c>
      <c r="DK133" s="25" t="s">
        <v>121</v>
      </c>
      <c r="DL133" s="25" t="s">
        <v>121</v>
      </c>
      <c r="DM133" s="25" t="s">
        <v>121</v>
      </c>
      <c r="DN133" s="25" t="s">
        <v>121</v>
      </c>
      <c r="DO133" s="25" t="s">
        <v>121</v>
      </c>
      <c r="DP133" s="25" t="s">
        <v>121</v>
      </c>
      <c r="DQ133" s="25" t="s">
        <v>121</v>
      </c>
      <c r="DR133" s="25" t="s">
        <v>121</v>
      </c>
      <c r="DS133" s="25" t="s">
        <v>121</v>
      </c>
      <c r="DT133" s="25" t="s">
        <v>121</v>
      </c>
      <c r="DU133" s="25" t="s">
        <v>121</v>
      </c>
      <c r="DV133" s="25" t="s">
        <v>121</v>
      </c>
      <c r="DW133" s="25" t="s">
        <v>121</v>
      </c>
      <c r="DX133" s="25" t="s">
        <v>121</v>
      </c>
      <c r="DY133" s="25" t="s">
        <v>121</v>
      </c>
      <c r="DZ133" s="25" t="s">
        <v>121</v>
      </c>
      <c r="EA133" s="25" t="s">
        <v>121</v>
      </c>
      <c r="EB133" s="25" t="s">
        <v>121</v>
      </c>
      <c r="EC133" s="25" t="s">
        <v>121</v>
      </c>
      <c r="ED133" s="25" t="s">
        <v>121</v>
      </c>
      <c r="EE133" s="25" t="s">
        <v>121</v>
      </c>
      <c r="EF133" s="25" t="s">
        <v>121</v>
      </c>
      <c r="EG133" s="25" t="s">
        <v>121</v>
      </c>
      <c r="EH133" s="25" t="s">
        <v>121</v>
      </c>
      <c r="EI133" s="25" t="s">
        <v>121</v>
      </c>
      <c r="EJ133" s="25" t="s">
        <v>121</v>
      </c>
      <c r="EK133" s="25" t="s">
        <v>121</v>
      </c>
      <c r="EL133" s="25" t="s">
        <v>121</v>
      </c>
      <c r="EM133" s="25" t="s">
        <v>121</v>
      </c>
      <c r="EN133" s="25" t="s">
        <v>121</v>
      </c>
      <c r="EO133" s="25" t="s">
        <v>121</v>
      </c>
      <c r="EP133" s="25" t="s">
        <v>121</v>
      </c>
      <c r="EQ133" s="25" t="s">
        <v>121</v>
      </c>
      <c r="ER133" s="25" t="s">
        <v>121</v>
      </c>
      <c r="ES133" s="25" t="s">
        <v>121</v>
      </c>
      <c r="ET133" s="25" t="s">
        <v>121</v>
      </c>
      <c r="EU133" s="25" t="s">
        <v>121</v>
      </c>
      <c r="EV133" s="25" t="s">
        <v>121</v>
      </c>
      <c r="EW133" s="25" t="s">
        <v>121</v>
      </c>
      <c r="EX133" s="25" t="s">
        <v>121</v>
      </c>
    </row>
    <row r="134" spans="1:154" s="25" customFormat="1" ht="6.95" customHeight="1" x14ac:dyDescent="0.25">
      <c r="A134" s="72">
        <v>134</v>
      </c>
      <c r="B134" s="68" t="s">
        <v>121</v>
      </c>
      <c r="C134" s="91"/>
      <c r="D134" s="86"/>
      <c r="E134" s="9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405"/>
      <c r="R134" s="405"/>
      <c r="S134" s="405"/>
      <c r="T134" s="405"/>
      <c r="U134" s="22" t="s">
        <v>121</v>
      </c>
      <c r="V134" s="22" t="s">
        <v>121</v>
      </c>
      <c r="W134" s="22" t="s">
        <v>121</v>
      </c>
      <c r="X134" s="22" t="s">
        <v>121</v>
      </c>
      <c r="Y134" s="22" t="s">
        <v>121</v>
      </c>
      <c r="Z134" s="22" t="s">
        <v>121</v>
      </c>
      <c r="AA134" s="22" t="s">
        <v>121</v>
      </c>
      <c r="AB134" s="22" t="s">
        <v>121</v>
      </c>
      <c r="AC134" s="22" t="s">
        <v>121</v>
      </c>
      <c r="AD134" s="22" t="s">
        <v>121</v>
      </c>
      <c r="AE134" s="22" t="s">
        <v>121</v>
      </c>
      <c r="AF134" s="22" t="s">
        <v>121</v>
      </c>
      <c r="AG134" s="22" t="s">
        <v>121</v>
      </c>
      <c r="AH134" s="22" t="s">
        <v>121</v>
      </c>
      <c r="AI134" s="22" t="s">
        <v>121</v>
      </c>
      <c r="AJ134" s="22" t="s">
        <v>121</v>
      </c>
      <c r="AK134" s="22" t="s">
        <v>121</v>
      </c>
      <c r="AL134" s="22" t="s">
        <v>121</v>
      </c>
      <c r="AM134" s="22" t="s">
        <v>121</v>
      </c>
      <c r="AN134" s="22" t="s">
        <v>121</v>
      </c>
      <c r="AO134" s="22" t="s">
        <v>121</v>
      </c>
      <c r="AP134" s="22" t="s">
        <v>121</v>
      </c>
      <c r="AQ134" s="22" t="s">
        <v>121</v>
      </c>
      <c r="AR134" s="22" t="s">
        <v>121</v>
      </c>
      <c r="AS134" s="22" t="s">
        <v>121</v>
      </c>
      <c r="AT134" s="22" t="s">
        <v>121</v>
      </c>
      <c r="AU134" s="22" t="s">
        <v>121</v>
      </c>
      <c r="AV134" s="22" t="s">
        <v>121</v>
      </c>
      <c r="AW134" s="11" t="s">
        <v>121</v>
      </c>
      <c r="AX134" s="22" t="s">
        <v>121</v>
      </c>
      <c r="AY134" s="22" t="s">
        <v>121</v>
      </c>
      <c r="AZ134" s="22" t="s">
        <v>121</v>
      </c>
      <c r="BA134" s="22" t="s">
        <v>121</v>
      </c>
      <c r="BB134" s="22" t="s">
        <v>121</v>
      </c>
      <c r="BC134" s="22" t="s">
        <v>121</v>
      </c>
      <c r="BD134" s="22" t="s">
        <v>121</v>
      </c>
      <c r="BE134" s="22" t="s">
        <v>121</v>
      </c>
      <c r="BF134" s="22" t="s">
        <v>121</v>
      </c>
      <c r="BG134" s="22" t="s">
        <v>121</v>
      </c>
      <c r="BH134" s="22" t="s">
        <v>121</v>
      </c>
      <c r="BI134" s="22" t="s">
        <v>121</v>
      </c>
      <c r="BJ134" s="22" t="s">
        <v>121</v>
      </c>
      <c r="BK134" s="22" t="s">
        <v>121</v>
      </c>
      <c r="BL134" s="22" t="s">
        <v>121</v>
      </c>
      <c r="BM134" s="25" t="s">
        <v>121</v>
      </c>
      <c r="BN134" s="25" t="s">
        <v>121</v>
      </c>
      <c r="BO134" s="25" t="s">
        <v>121</v>
      </c>
      <c r="BP134" s="25" t="s">
        <v>121</v>
      </c>
      <c r="BQ134" s="25" t="s">
        <v>121</v>
      </c>
      <c r="BR134" s="25" t="s">
        <v>121</v>
      </c>
      <c r="BS134" s="25" t="s">
        <v>121</v>
      </c>
      <c r="BT134" s="25" t="s">
        <v>121</v>
      </c>
      <c r="BU134" s="25" t="s">
        <v>121</v>
      </c>
      <c r="BV134" s="25" t="s">
        <v>121</v>
      </c>
      <c r="BW134" s="25" t="s">
        <v>121</v>
      </c>
      <c r="BX134" s="25" t="s">
        <v>121</v>
      </c>
      <c r="BY134" s="25" t="s">
        <v>121</v>
      </c>
      <c r="BZ134" s="25" t="s">
        <v>121</v>
      </c>
      <c r="CA134" s="25" t="s">
        <v>121</v>
      </c>
      <c r="CB134" s="25" t="s">
        <v>121</v>
      </c>
      <c r="CC134" s="25" t="s">
        <v>121</v>
      </c>
      <c r="CD134" s="25" t="s">
        <v>121</v>
      </c>
      <c r="CE134" s="25" t="s">
        <v>121</v>
      </c>
      <c r="CF134" s="25" t="s">
        <v>121</v>
      </c>
      <c r="CG134" s="25" t="s">
        <v>121</v>
      </c>
      <c r="CH134" s="25" t="s">
        <v>121</v>
      </c>
      <c r="CI134" s="25" t="s">
        <v>121</v>
      </c>
      <c r="CJ134" s="25" t="s">
        <v>121</v>
      </c>
      <c r="CK134" s="25" t="s">
        <v>121</v>
      </c>
      <c r="CL134" s="25" t="s">
        <v>121</v>
      </c>
      <c r="CM134" s="25" t="s">
        <v>121</v>
      </c>
      <c r="CN134" s="25" t="s">
        <v>121</v>
      </c>
      <c r="CO134" s="25" t="s">
        <v>121</v>
      </c>
      <c r="CP134" s="25" t="s">
        <v>121</v>
      </c>
      <c r="CQ134" s="25" t="s">
        <v>121</v>
      </c>
      <c r="CR134" s="25" t="s">
        <v>121</v>
      </c>
      <c r="CS134" s="25" t="s">
        <v>121</v>
      </c>
      <c r="CT134" s="25" t="s">
        <v>121</v>
      </c>
      <c r="CU134" s="25" t="s">
        <v>121</v>
      </c>
      <c r="CV134" s="25" t="s">
        <v>121</v>
      </c>
      <c r="CW134" s="25" t="s">
        <v>121</v>
      </c>
      <c r="CX134" s="25" t="s">
        <v>121</v>
      </c>
      <c r="CY134" s="25" t="s">
        <v>121</v>
      </c>
      <c r="CZ134" s="25" t="s">
        <v>121</v>
      </c>
      <c r="DA134" s="25" t="s">
        <v>121</v>
      </c>
      <c r="DB134" s="25" t="s">
        <v>121</v>
      </c>
      <c r="DC134" s="25" t="s">
        <v>121</v>
      </c>
      <c r="DD134" s="25" t="s">
        <v>121</v>
      </c>
      <c r="DE134" s="25" t="s">
        <v>121</v>
      </c>
      <c r="DF134" s="25" t="s">
        <v>121</v>
      </c>
      <c r="DG134" s="25" t="s">
        <v>121</v>
      </c>
      <c r="DH134" s="25" t="s">
        <v>121</v>
      </c>
      <c r="DI134" s="25" t="s">
        <v>121</v>
      </c>
      <c r="DJ134" s="25" t="s">
        <v>121</v>
      </c>
      <c r="DK134" s="25" t="s">
        <v>121</v>
      </c>
      <c r="DL134" s="25" t="s">
        <v>121</v>
      </c>
      <c r="DM134" s="25" t="s">
        <v>121</v>
      </c>
      <c r="DN134" s="25" t="s">
        <v>121</v>
      </c>
      <c r="DO134" s="25" t="s">
        <v>121</v>
      </c>
      <c r="DP134" s="25" t="s">
        <v>121</v>
      </c>
      <c r="DQ134" s="25" t="s">
        <v>121</v>
      </c>
      <c r="DR134" s="25" t="s">
        <v>121</v>
      </c>
      <c r="DS134" s="25" t="s">
        <v>121</v>
      </c>
      <c r="DT134" s="25" t="s">
        <v>121</v>
      </c>
      <c r="DU134" s="25" t="s">
        <v>121</v>
      </c>
      <c r="DV134" s="25" t="s">
        <v>121</v>
      </c>
      <c r="DW134" s="25" t="s">
        <v>121</v>
      </c>
      <c r="DX134" s="25" t="s">
        <v>121</v>
      </c>
      <c r="DY134" s="25" t="s">
        <v>121</v>
      </c>
      <c r="DZ134" s="25" t="s">
        <v>121</v>
      </c>
      <c r="EA134" s="25" t="s">
        <v>121</v>
      </c>
      <c r="EB134" s="25" t="s">
        <v>121</v>
      </c>
      <c r="EC134" s="25" t="s">
        <v>121</v>
      </c>
      <c r="ED134" s="25" t="s">
        <v>121</v>
      </c>
      <c r="EE134" s="25" t="s">
        <v>121</v>
      </c>
      <c r="EF134" s="25" t="s">
        <v>121</v>
      </c>
      <c r="EG134" s="25" t="s">
        <v>121</v>
      </c>
      <c r="EH134" s="25" t="s">
        <v>121</v>
      </c>
      <c r="EI134" s="25" t="s">
        <v>121</v>
      </c>
      <c r="EJ134" s="25" t="s">
        <v>121</v>
      </c>
      <c r="EK134" s="25" t="s">
        <v>121</v>
      </c>
      <c r="EL134" s="25" t="s">
        <v>121</v>
      </c>
      <c r="EM134" s="25" t="s">
        <v>121</v>
      </c>
      <c r="EN134" s="25" t="s">
        <v>121</v>
      </c>
      <c r="EO134" s="25" t="s">
        <v>121</v>
      </c>
      <c r="EP134" s="25" t="s">
        <v>121</v>
      </c>
      <c r="EQ134" s="25" t="s">
        <v>121</v>
      </c>
      <c r="ER134" s="25" t="s">
        <v>121</v>
      </c>
      <c r="ES134" s="25" t="s">
        <v>121</v>
      </c>
      <c r="ET134" s="25" t="s">
        <v>121</v>
      </c>
      <c r="EU134" s="25" t="s">
        <v>121</v>
      </c>
      <c r="EV134" s="25" t="s">
        <v>121</v>
      </c>
      <c r="EW134" s="25" t="s">
        <v>121</v>
      </c>
      <c r="EX134" s="25" t="s">
        <v>121</v>
      </c>
    </row>
    <row r="135" spans="1:154" s="25" customFormat="1" x14ac:dyDescent="0.25">
      <c r="A135" s="72">
        <v>135</v>
      </c>
      <c r="B135" s="68" t="s">
        <v>440</v>
      </c>
      <c r="C135" s="91"/>
      <c r="D135" s="86"/>
      <c r="E135" s="92">
        <f ca="1">OFFSET($E$7,$A135-$A$7,1,1,1)/OFFSET($E$7,$A135-$A$7,5,1,1)-1</f>
        <v>9.7958465844972364E-2</v>
      </c>
      <c r="F135" s="22">
        <f>F13+F17+F18+F19+F20+F21+F39+F35+F29+1838</f>
        <v>74917</v>
      </c>
      <c r="G135" s="22">
        <f t="shared" ref="G135:P135" si="3">G13+G17+G18+G19+G20+G21+G39+G35+G29</f>
        <v>50762</v>
      </c>
      <c r="H135" s="22">
        <f t="shared" si="3"/>
        <v>25386</v>
      </c>
      <c r="I135" s="22">
        <f t="shared" si="3"/>
        <v>94359</v>
      </c>
      <c r="J135" s="22">
        <f t="shared" si="3"/>
        <v>68233</v>
      </c>
      <c r="K135" s="22">
        <f t="shared" si="3"/>
        <v>44578</v>
      </c>
      <c r="L135" s="22">
        <f t="shared" si="3"/>
        <v>22314</v>
      </c>
      <c r="M135" s="22">
        <f t="shared" si="3"/>
        <v>74586</v>
      </c>
      <c r="N135" s="22">
        <f t="shared" si="3"/>
        <v>54022</v>
      </c>
      <c r="O135" s="22">
        <f t="shared" si="3"/>
        <v>36618</v>
      </c>
      <c r="P135" s="22">
        <f t="shared" si="3"/>
        <v>20814</v>
      </c>
      <c r="Q135" s="405"/>
      <c r="R135" s="405"/>
      <c r="S135" s="405"/>
      <c r="T135" s="405"/>
      <c r="U135" s="22">
        <v>44546.682999999997</v>
      </c>
      <c r="V135" s="22">
        <v>30904.683000000001</v>
      </c>
      <c r="W135" s="22">
        <v>20105.683000000001</v>
      </c>
      <c r="X135" s="22">
        <v>9239</v>
      </c>
      <c r="Y135" s="22">
        <v>37070</v>
      </c>
      <c r="Z135" s="22">
        <v>25769.616999999998</v>
      </c>
      <c r="AA135" s="22">
        <v>16590.691999999999</v>
      </c>
      <c r="AB135" s="22">
        <v>8226.92</v>
      </c>
      <c r="AC135" s="22">
        <v>31856.852000000006</v>
      </c>
      <c r="AD135" s="22">
        <v>22922.161000000004</v>
      </c>
      <c r="AE135" s="22">
        <v>15395.686999999998</v>
      </c>
      <c r="AF135" s="22">
        <v>7402.7790000000005</v>
      </c>
      <c r="AG135" s="22">
        <v>32796.879999999997</v>
      </c>
      <c r="AH135" s="22">
        <v>23169.042999999994</v>
      </c>
      <c r="AI135" s="22">
        <v>15473.766</v>
      </c>
      <c r="AJ135" s="22">
        <v>7200.5569999999998</v>
      </c>
      <c r="AK135" s="22">
        <v>32093.572999999989</v>
      </c>
      <c r="AL135" s="22">
        <v>23989.803</v>
      </c>
      <c r="AM135" s="22">
        <v>15749.166999999999</v>
      </c>
      <c r="AN135" s="22">
        <v>7322.8210000000008</v>
      </c>
      <c r="AO135" s="22">
        <v>30300.364999999998</v>
      </c>
      <c r="AP135" s="22">
        <v>22675.613999999998</v>
      </c>
      <c r="AQ135" s="22">
        <v>14986.125999999998</v>
      </c>
      <c r="AR135" s="22">
        <v>7364.264000000001</v>
      </c>
      <c r="AS135" s="22">
        <v>27408.803999999996</v>
      </c>
      <c r="AT135" s="22">
        <v>19365.642999999996</v>
      </c>
      <c r="AU135" s="22">
        <v>12291.070000000003</v>
      </c>
      <c r="AV135" s="22">
        <v>5394.5159999999996</v>
      </c>
      <c r="AW135" s="22">
        <v>22038.270000000004</v>
      </c>
      <c r="AX135" s="22">
        <v>15427.098000000002</v>
      </c>
      <c r="AY135" s="22">
        <v>10142.876</v>
      </c>
      <c r="AZ135" s="22">
        <v>4572.9259999999995</v>
      </c>
      <c r="BA135" s="22">
        <v>20075.062000000002</v>
      </c>
      <c r="BB135" s="22">
        <v>12992.039999999999</v>
      </c>
      <c r="BC135" s="22">
        <v>8013.0659999999998</v>
      </c>
      <c r="BD135" s="22">
        <v>4037.5659999999998</v>
      </c>
      <c r="BE135" s="22">
        <v>14783.519999999999</v>
      </c>
      <c r="BF135" s="22">
        <v>10846.494999999999</v>
      </c>
      <c r="BG135" s="22">
        <v>6905.4789999999975</v>
      </c>
      <c r="BH135" s="22">
        <v>3548.4580000000005</v>
      </c>
      <c r="BI135" s="22">
        <v>16665.962</v>
      </c>
      <c r="BJ135" s="22">
        <v>12913.270999999997</v>
      </c>
      <c r="BK135" s="22">
        <v>9184.1010000000006</v>
      </c>
      <c r="BL135" s="22">
        <v>4267.4639999999999</v>
      </c>
      <c r="BM135" s="25">
        <v>14494.93</v>
      </c>
      <c r="BN135" s="25">
        <v>10992.956</v>
      </c>
      <c r="BO135" s="25">
        <v>7410.39</v>
      </c>
      <c r="BP135" s="25">
        <v>4259.732</v>
      </c>
      <c r="BQ135" s="25" t="s">
        <v>121</v>
      </c>
      <c r="BR135" s="25" t="s">
        <v>121</v>
      </c>
      <c r="BS135" s="25" t="s">
        <v>121</v>
      </c>
      <c r="BT135" s="25" t="s">
        <v>121</v>
      </c>
      <c r="BU135" s="25" t="s">
        <v>121</v>
      </c>
      <c r="BV135" s="25" t="s">
        <v>121</v>
      </c>
      <c r="BW135" s="25" t="s">
        <v>121</v>
      </c>
      <c r="BX135" s="25" t="s">
        <v>121</v>
      </c>
      <c r="BY135" s="25" t="s">
        <v>121</v>
      </c>
      <c r="BZ135" s="25" t="s">
        <v>121</v>
      </c>
      <c r="CA135" s="25" t="s">
        <v>121</v>
      </c>
      <c r="CB135" s="25" t="s">
        <v>121</v>
      </c>
      <c r="CC135" s="25" t="s">
        <v>121</v>
      </c>
      <c r="CD135" s="25" t="s">
        <v>121</v>
      </c>
      <c r="CE135" s="25" t="s">
        <v>121</v>
      </c>
      <c r="CF135" s="25" t="s">
        <v>121</v>
      </c>
      <c r="CG135" s="25" t="s">
        <v>121</v>
      </c>
      <c r="CH135" s="25" t="s">
        <v>121</v>
      </c>
      <c r="CI135" s="25" t="s">
        <v>121</v>
      </c>
      <c r="CJ135" s="25" t="s">
        <v>121</v>
      </c>
      <c r="CK135" s="25" t="s">
        <v>121</v>
      </c>
      <c r="CL135" s="25" t="s">
        <v>121</v>
      </c>
      <c r="CM135" s="25" t="s">
        <v>121</v>
      </c>
      <c r="CN135" s="25" t="s">
        <v>121</v>
      </c>
      <c r="CO135" s="25" t="s">
        <v>121</v>
      </c>
      <c r="CP135" s="25" t="s">
        <v>121</v>
      </c>
      <c r="CQ135" s="25" t="s">
        <v>121</v>
      </c>
      <c r="CR135" s="25" t="s">
        <v>121</v>
      </c>
      <c r="CS135" s="25" t="s">
        <v>121</v>
      </c>
      <c r="CT135" s="25" t="s">
        <v>121</v>
      </c>
      <c r="CU135" s="25" t="s">
        <v>121</v>
      </c>
      <c r="CV135" s="25" t="s">
        <v>121</v>
      </c>
      <c r="CW135" s="25" t="s">
        <v>121</v>
      </c>
      <c r="CX135" s="25" t="s">
        <v>121</v>
      </c>
      <c r="CY135" s="25" t="s">
        <v>121</v>
      </c>
      <c r="CZ135" s="25" t="s">
        <v>121</v>
      </c>
      <c r="DA135" s="25" t="s">
        <v>121</v>
      </c>
      <c r="DB135" s="25" t="s">
        <v>121</v>
      </c>
      <c r="DC135" s="25" t="s">
        <v>121</v>
      </c>
      <c r="DD135" s="25" t="s">
        <v>121</v>
      </c>
      <c r="DE135" s="25" t="s">
        <v>121</v>
      </c>
      <c r="DF135" s="25" t="s">
        <v>121</v>
      </c>
      <c r="DG135" s="25" t="s">
        <v>121</v>
      </c>
      <c r="DH135" s="25" t="s">
        <v>121</v>
      </c>
      <c r="DI135" s="25" t="s">
        <v>121</v>
      </c>
      <c r="DJ135" s="25" t="s">
        <v>121</v>
      </c>
      <c r="DK135" s="25" t="s">
        <v>121</v>
      </c>
      <c r="DL135" s="25" t="s">
        <v>121</v>
      </c>
      <c r="DM135" s="25" t="s">
        <v>121</v>
      </c>
      <c r="DN135" s="25" t="s">
        <v>121</v>
      </c>
      <c r="DO135" s="25" t="s">
        <v>121</v>
      </c>
      <c r="DP135" s="25" t="s">
        <v>121</v>
      </c>
      <c r="DQ135" s="25" t="s">
        <v>121</v>
      </c>
      <c r="DR135" s="25" t="s">
        <v>121</v>
      </c>
      <c r="DS135" s="25" t="s">
        <v>121</v>
      </c>
      <c r="DT135" s="25" t="s">
        <v>121</v>
      </c>
      <c r="DU135" s="25" t="s">
        <v>121</v>
      </c>
      <c r="DV135" s="25" t="s">
        <v>121</v>
      </c>
      <c r="DW135" s="25" t="s">
        <v>121</v>
      </c>
      <c r="DX135" s="25" t="s">
        <v>121</v>
      </c>
      <c r="DY135" s="25" t="s">
        <v>121</v>
      </c>
      <c r="DZ135" s="25" t="s">
        <v>121</v>
      </c>
      <c r="EA135" s="25" t="s">
        <v>121</v>
      </c>
      <c r="EB135" s="25" t="s">
        <v>121</v>
      </c>
      <c r="EC135" s="25" t="s">
        <v>121</v>
      </c>
      <c r="ED135" s="25" t="s">
        <v>121</v>
      </c>
      <c r="EE135" s="25" t="s">
        <v>121</v>
      </c>
      <c r="EF135" s="25" t="s">
        <v>121</v>
      </c>
      <c r="EG135" s="25" t="s">
        <v>121</v>
      </c>
      <c r="EH135" s="25" t="s">
        <v>121</v>
      </c>
      <c r="EI135" s="25" t="s">
        <v>121</v>
      </c>
      <c r="EJ135" s="25" t="s">
        <v>121</v>
      </c>
      <c r="EK135" s="25" t="s">
        <v>121</v>
      </c>
      <c r="EL135" s="25" t="s">
        <v>121</v>
      </c>
      <c r="EM135" s="25" t="s">
        <v>121</v>
      </c>
      <c r="EN135" s="25" t="s">
        <v>121</v>
      </c>
      <c r="EO135" s="25" t="s">
        <v>121</v>
      </c>
      <c r="EP135" s="25" t="s">
        <v>121</v>
      </c>
      <c r="EQ135" s="25" t="s">
        <v>121</v>
      </c>
      <c r="ER135" s="25" t="s">
        <v>121</v>
      </c>
      <c r="ES135" s="25" t="s">
        <v>121</v>
      </c>
      <c r="ET135" s="25" t="s">
        <v>121</v>
      </c>
      <c r="EU135" s="25" t="s">
        <v>121</v>
      </c>
      <c r="EV135" s="25" t="s">
        <v>121</v>
      </c>
      <c r="EW135" s="25" t="s">
        <v>121</v>
      </c>
      <c r="EX135" s="25" t="s">
        <v>121</v>
      </c>
    </row>
    <row r="136" spans="1:154" s="25" customFormat="1" x14ac:dyDescent="0.25">
      <c r="A136" s="72">
        <v>136</v>
      </c>
      <c r="B136" s="68" t="s">
        <v>441</v>
      </c>
      <c r="C136" s="91"/>
      <c r="D136" s="86"/>
      <c r="E136" s="92">
        <f ca="1">OFFSET($E$7,$A136-$A$7,1,1,1)/OFFSET($E$7,$A136-$A$7,5,1,1)-1</f>
        <v>8.3490723252971799E-2</v>
      </c>
      <c r="F136" s="22">
        <f t="shared" ref="F136" si="4">SUM(F42:F43)</f>
        <v>-19505</v>
      </c>
      <c r="G136" s="22">
        <f t="shared" ref="G136:P136" si="5">SUM(G42:G43)</f>
        <v>-12312</v>
      </c>
      <c r="H136" s="22">
        <f t="shared" si="5"/>
        <v>-5715</v>
      </c>
      <c r="I136" s="22">
        <f t="shared" si="5"/>
        <v>-25935</v>
      </c>
      <c r="J136" s="22">
        <f t="shared" si="5"/>
        <v>-18002</v>
      </c>
      <c r="K136" s="22">
        <f t="shared" si="5"/>
        <v>-11443</v>
      </c>
      <c r="L136" s="22">
        <f t="shared" si="5"/>
        <v>-5975</v>
      </c>
      <c r="M136" s="22">
        <f t="shared" si="5"/>
        <v>-23614</v>
      </c>
      <c r="N136" s="22">
        <f t="shared" si="5"/>
        <v>-18281</v>
      </c>
      <c r="O136" s="22">
        <f t="shared" si="5"/>
        <v>-11962</v>
      </c>
      <c r="P136" s="22">
        <f t="shared" si="5"/>
        <v>-6018</v>
      </c>
      <c r="Q136" s="405"/>
      <c r="R136" s="405"/>
      <c r="S136" s="405"/>
      <c r="T136" s="405"/>
      <c r="U136" s="22">
        <v>-16812</v>
      </c>
      <c r="V136" s="22">
        <v>-11556</v>
      </c>
      <c r="W136" s="22">
        <v>-7812</v>
      </c>
      <c r="X136" s="22">
        <v>-4210</v>
      </c>
      <c r="Y136" s="22">
        <v>-15207</v>
      </c>
      <c r="Z136" s="22">
        <v>-10891.248</v>
      </c>
      <c r="AA136" s="22">
        <v>-7545.9970000000003</v>
      </c>
      <c r="AB136" s="22">
        <v>-4133.4210000000003</v>
      </c>
      <c r="AC136" s="22">
        <v>-14085.782999999999</v>
      </c>
      <c r="AD136" s="22">
        <v>-10256.893</v>
      </c>
      <c r="AE136" s="22">
        <v>-6957.0450000000001</v>
      </c>
      <c r="AF136" s="22">
        <v>-3551.4989999999998</v>
      </c>
      <c r="AG136" s="22">
        <v>-13047.489</v>
      </c>
      <c r="AH136" s="22">
        <v>-9777.0689999999995</v>
      </c>
      <c r="AI136" s="22">
        <v>-6676.8310000000001</v>
      </c>
      <c r="AJ136" s="22">
        <v>-2953.2669999999998</v>
      </c>
      <c r="AK136" s="22">
        <v>-12364.661999999998</v>
      </c>
      <c r="AL136" s="22">
        <v>-9156.8559999999998</v>
      </c>
      <c r="AM136" s="22">
        <v>-5986.2039999999997</v>
      </c>
      <c r="AN136" s="22">
        <v>-2767.43</v>
      </c>
      <c r="AO136" s="22">
        <v>-11951.294999999998</v>
      </c>
      <c r="AP136" s="22">
        <v>-8553.9770000000008</v>
      </c>
      <c r="AQ136" s="22">
        <v>-5640.13</v>
      </c>
      <c r="AR136" s="22">
        <v>-2700.2290000000003</v>
      </c>
      <c r="AS136" s="22">
        <v>-10233.736000000001</v>
      </c>
      <c r="AT136" s="22">
        <v>-7026.4920000000002</v>
      </c>
      <c r="AU136" s="22">
        <v>-4672.0959999999995</v>
      </c>
      <c r="AV136" s="22">
        <v>-2123.9540000000002</v>
      </c>
      <c r="AW136" s="22">
        <v>-9147.9180000000015</v>
      </c>
      <c r="AX136" s="22">
        <v>-6425.2340000000004</v>
      </c>
      <c r="AY136" s="22">
        <v>-4228.6769999999997</v>
      </c>
      <c r="AZ136" s="22">
        <v>-1905.8420000000001</v>
      </c>
      <c r="BA136" s="22">
        <v>-7249.7340000000004</v>
      </c>
      <c r="BB136" s="22">
        <v>-5103.3799999999992</v>
      </c>
      <c r="BC136" s="22">
        <v>-3247.67</v>
      </c>
      <c r="BD136" s="22">
        <v>-1551.1420000000003</v>
      </c>
      <c r="BE136" s="22">
        <v>-6853.7150000000001</v>
      </c>
      <c r="BF136" s="22">
        <v>-4895.6470000000008</v>
      </c>
      <c r="BG136" s="22">
        <v>-3236.4229999999998</v>
      </c>
      <c r="BH136" s="22">
        <v>-1605.1480000000001</v>
      </c>
      <c r="BI136" s="22">
        <v>-5829.9570000000003</v>
      </c>
      <c r="BJ136" s="22">
        <v>-4062.7569999999996</v>
      </c>
      <c r="BK136" s="22">
        <v>-2541.953</v>
      </c>
      <c r="BL136" s="22">
        <v>-1118.546</v>
      </c>
      <c r="BM136" s="25">
        <v>-4195.0840000000007</v>
      </c>
      <c r="BN136" s="25">
        <v>-2958.3670000000002</v>
      </c>
      <c r="BO136" s="25">
        <v>-1686.6790000000001</v>
      </c>
      <c r="BP136" s="25">
        <v>-798.61599999999999</v>
      </c>
      <c r="BQ136" s="25" t="s">
        <v>121</v>
      </c>
      <c r="BR136" s="25" t="s">
        <v>121</v>
      </c>
      <c r="BS136" s="25" t="s">
        <v>121</v>
      </c>
      <c r="BT136" s="25" t="s">
        <v>121</v>
      </c>
      <c r="BU136" s="25" t="s">
        <v>121</v>
      </c>
      <c r="BV136" s="25" t="s">
        <v>121</v>
      </c>
      <c r="BW136" s="25" t="s">
        <v>121</v>
      </c>
      <c r="BX136" s="25" t="s">
        <v>121</v>
      </c>
      <c r="BY136" s="25" t="s">
        <v>121</v>
      </c>
      <c r="BZ136" s="25" t="s">
        <v>121</v>
      </c>
      <c r="CA136" s="25" t="s">
        <v>121</v>
      </c>
      <c r="CB136" s="25" t="s">
        <v>121</v>
      </c>
      <c r="CC136" s="25" t="s">
        <v>121</v>
      </c>
      <c r="CD136" s="25" t="s">
        <v>121</v>
      </c>
      <c r="CE136" s="25" t="s">
        <v>121</v>
      </c>
      <c r="CF136" s="25" t="s">
        <v>121</v>
      </c>
      <c r="CG136" s="25" t="s">
        <v>121</v>
      </c>
      <c r="CH136" s="25" t="s">
        <v>121</v>
      </c>
      <c r="CI136" s="25" t="s">
        <v>121</v>
      </c>
      <c r="CJ136" s="25" t="s">
        <v>121</v>
      </c>
      <c r="CK136" s="25" t="s">
        <v>121</v>
      </c>
      <c r="CL136" s="25" t="s">
        <v>121</v>
      </c>
      <c r="CM136" s="25" t="s">
        <v>121</v>
      </c>
      <c r="CN136" s="25" t="s">
        <v>121</v>
      </c>
      <c r="CO136" s="25" t="s">
        <v>121</v>
      </c>
      <c r="CP136" s="25" t="s">
        <v>121</v>
      </c>
      <c r="CQ136" s="25" t="s">
        <v>121</v>
      </c>
      <c r="CR136" s="25" t="s">
        <v>121</v>
      </c>
      <c r="CS136" s="25" t="s">
        <v>121</v>
      </c>
      <c r="CT136" s="25" t="s">
        <v>121</v>
      </c>
      <c r="CU136" s="25" t="s">
        <v>121</v>
      </c>
      <c r="CV136" s="25" t="s">
        <v>121</v>
      </c>
      <c r="CW136" s="25" t="s">
        <v>121</v>
      </c>
      <c r="CX136" s="25" t="s">
        <v>121</v>
      </c>
      <c r="CY136" s="25" t="s">
        <v>121</v>
      </c>
      <c r="CZ136" s="25" t="s">
        <v>121</v>
      </c>
      <c r="DA136" s="25" t="s">
        <v>121</v>
      </c>
      <c r="DB136" s="25" t="s">
        <v>121</v>
      </c>
      <c r="DC136" s="25" t="s">
        <v>121</v>
      </c>
      <c r="DD136" s="25" t="s">
        <v>121</v>
      </c>
      <c r="DE136" s="25" t="s">
        <v>121</v>
      </c>
      <c r="DF136" s="25" t="s">
        <v>121</v>
      </c>
      <c r="DG136" s="25" t="s">
        <v>121</v>
      </c>
      <c r="DH136" s="25" t="s">
        <v>121</v>
      </c>
      <c r="DI136" s="25" t="s">
        <v>121</v>
      </c>
      <c r="DJ136" s="25" t="s">
        <v>121</v>
      </c>
      <c r="DK136" s="25" t="s">
        <v>121</v>
      </c>
      <c r="DL136" s="25" t="s">
        <v>121</v>
      </c>
      <c r="DM136" s="25" t="s">
        <v>121</v>
      </c>
      <c r="DN136" s="25" t="s">
        <v>121</v>
      </c>
      <c r="DO136" s="25" t="s">
        <v>121</v>
      </c>
      <c r="DP136" s="25" t="s">
        <v>121</v>
      </c>
      <c r="DQ136" s="25" t="s">
        <v>121</v>
      </c>
      <c r="DR136" s="25" t="s">
        <v>121</v>
      </c>
      <c r="DS136" s="25" t="s">
        <v>121</v>
      </c>
      <c r="DT136" s="25" t="s">
        <v>121</v>
      </c>
      <c r="DU136" s="25" t="s">
        <v>121</v>
      </c>
      <c r="DV136" s="25" t="s">
        <v>121</v>
      </c>
      <c r="DW136" s="25" t="s">
        <v>121</v>
      </c>
      <c r="DX136" s="25" t="s">
        <v>121</v>
      </c>
      <c r="DY136" s="25" t="s">
        <v>121</v>
      </c>
      <c r="DZ136" s="25" t="s">
        <v>121</v>
      </c>
      <c r="EA136" s="25" t="s">
        <v>121</v>
      </c>
      <c r="EB136" s="25" t="s">
        <v>121</v>
      </c>
      <c r="EC136" s="25" t="s">
        <v>121</v>
      </c>
      <c r="ED136" s="25" t="s">
        <v>121</v>
      </c>
      <c r="EE136" s="25" t="s">
        <v>121</v>
      </c>
      <c r="EF136" s="25" t="s">
        <v>121</v>
      </c>
      <c r="EG136" s="25" t="s">
        <v>121</v>
      </c>
      <c r="EH136" s="25" t="s">
        <v>121</v>
      </c>
      <c r="EI136" s="25" t="s">
        <v>121</v>
      </c>
      <c r="EJ136" s="25" t="s">
        <v>121</v>
      </c>
      <c r="EK136" s="25" t="s">
        <v>121</v>
      </c>
      <c r="EL136" s="25" t="s">
        <v>121</v>
      </c>
      <c r="EM136" s="25" t="s">
        <v>121</v>
      </c>
      <c r="EN136" s="25" t="s">
        <v>121</v>
      </c>
      <c r="EO136" s="25" t="s">
        <v>121</v>
      </c>
      <c r="EP136" s="25" t="s">
        <v>121</v>
      </c>
      <c r="EQ136" s="25" t="s">
        <v>121</v>
      </c>
      <c r="ER136" s="25" t="s">
        <v>121</v>
      </c>
      <c r="ES136" s="25" t="s">
        <v>121</v>
      </c>
      <c r="ET136" s="25" t="s">
        <v>121</v>
      </c>
      <c r="EU136" s="25" t="s">
        <v>121</v>
      </c>
      <c r="EV136" s="25" t="s">
        <v>121</v>
      </c>
      <c r="EW136" s="25" t="s">
        <v>121</v>
      </c>
      <c r="EX136" s="25" t="s">
        <v>121</v>
      </c>
    </row>
    <row r="137" spans="1:154" s="25" customFormat="1" x14ac:dyDescent="0.25">
      <c r="A137" s="72">
        <v>137</v>
      </c>
      <c r="B137" s="68" t="s">
        <v>442</v>
      </c>
      <c r="C137" s="91"/>
      <c r="D137" s="86"/>
      <c r="E137" s="92">
        <f ca="1">OFFSET($E$7,$A137-$A$7,1,1,1)/OFFSET($E$7,$A137-$A$7,5,1,1)-1</f>
        <v>1.8543233082706765</v>
      </c>
      <c r="F137" s="22">
        <f>F15+F25+F24+F36-1838</f>
        <v>-12148</v>
      </c>
      <c r="G137" s="22">
        <f>G15+G25+G24+G36+G38</f>
        <v>-6833</v>
      </c>
      <c r="H137" s="22">
        <f>H15+H25+H24+H36</f>
        <v>43</v>
      </c>
      <c r="I137" s="22">
        <f>I15+I25+I24+I36</f>
        <v>-6092</v>
      </c>
      <c r="J137" s="22">
        <f>J15+J25+J24+J36</f>
        <v>-4256</v>
      </c>
      <c r="K137" s="22">
        <f>K15+K25+K24+K36+K38</f>
        <v>-3096</v>
      </c>
      <c r="L137" s="22">
        <f>L15+L25+L24+L36</f>
        <v>-209</v>
      </c>
      <c r="M137" s="22">
        <f>M15+M25+M24+M36</f>
        <v>3256</v>
      </c>
      <c r="N137" s="22">
        <f t="shared" ref="N137:P137" si="6">N15+N25+N24+N36</f>
        <v>3912</v>
      </c>
      <c r="O137" s="22">
        <f t="shared" si="6"/>
        <v>4334.0929999999998</v>
      </c>
      <c r="P137" s="22">
        <f t="shared" si="6"/>
        <v>3781</v>
      </c>
      <c r="Q137" s="405"/>
      <c r="R137" s="405"/>
      <c r="S137" s="405"/>
      <c r="T137" s="405"/>
      <c r="U137" s="22">
        <v>-4596</v>
      </c>
      <c r="V137" s="22">
        <v>-5102</v>
      </c>
      <c r="W137" s="22">
        <v>-4189</v>
      </c>
      <c r="X137" s="22">
        <v>-2178</v>
      </c>
      <c r="Y137" s="22">
        <v>-8983</v>
      </c>
      <c r="Z137" s="22">
        <v>-7204.902</v>
      </c>
      <c r="AA137" s="22">
        <v>-5211.3639999999996</v>
      </c>
      <c r="AB137" s="22">
        <v>-2615.1370000000002</v>
      </c>
      <c r="AC137" s="22">
        <v>-7935.9990000000007</v>
      </c>
      <c r="AD137" s="22">
        <v>-5891.0439999999999</v>
      </c>
      <c r="AE137" s="22">
        <v>-4117.9319999999998</v>
      </c>
      <c r="AF137" s="22">
        <v>-2268.7809999999999</v>
      </c>
      <c r="AG137" s="22">
        <v>-7151.4089999999997</v>
      </c>
      <c r="AH137" s="22">
        <v>-5317.1900000000005</v>
      </c>
      <c r="AI137" s="22">
        <v>-3287.3150000000001</v>
      </c>
      <c r="AJ137" s="22">
        <v>-1758.6980000000001</v>
      </c>
      <c r="AK137" s="22">
        <v>-9574.8340000000007</v>
      </c>
      <c r="AL137" s="22">
        <v>-7216.5439999999999</v>
      </c>
      <c r="AM137" s="22">
        <v>-5203.1329999999998</v>
      </c>
      <c r="AN137" s="22">
        <v>-2654.989</v>
      </c>
      <c r="AO137" s="22">
        <v>-12490.106</v>
      </c>
      <c r="AP137" s="22">
        <v>-9391.8819999999996</v>
      </c>
      <c r="AQ137" s="22">
        <v>-6131.32</v>
      </c>
      <c r="AR137" s="22">
        <v>-2942.0909999999999</v>
      </c>
      <c r="AS137" s="22">
        <v>-12293.143</v>
      </c>
      <c r="AT137" s="22">
        <v>-8880.3510000000006</v>
      </c>
      <c r="AU137" s="22">
        <v>-5593.9179999999997</v>
      </c>
      <c r="AV137" s="22">
        <v>-2554.7150000000001</v>
      </c>
      <c r="AW137" s="22">
        <v>-7285.9089999999987</v>
      </c>
      <c r="AX137" s="22">
        <v>-4374.7370000000001</v>
      </c>
      <c r="AY137" s="22">
        <v>-2773.2069999999999</v>
      </c>
      <c r="AZ137" s="22">
        <v>-1215.3109999999999</v>
      </c>
      <c r="BA137" s="22">
        <v>-4495.0690000000004</v>
      </c>
      <c r="BB137" s="22">
        <v>-3336.0820000000003</v>
      </c>
      <c r="BC137" s="22">
        <v>-2235.4639999999999</v>
      </c>
      <c r="BD137" s="22">
        <v>-1089.8030000000001</v>
      </c>
      <c r="BE137" s="22">
        <v>-6389.9370000000008</v>
      </c>
      <c r="BF137" s="22">
        <v>-4919.4229999999998</v>
      </c>
      <c r="BG137" s="22">
        <v>-3307.2570000000001</v>
      </c>
      <c r="BH137" s="22">
        <v>-1767.7650000000001</v>
      </c>
      <c r="BI137" s="22">
        <v>-3441.7380000000003</v>
      </c>
      <c r="BJ137" s="22">
        <v>-1677.9159999999999</v>
      </c>
      <c r="BK137" s="22">
        <v>-965.904</v>
      </c>
      <c r="BL137" s="22">
        <v>-673.01499999999999</v>
      </c>
      <c r="BM137" s="25">
        <v>-5010.2719999999999</v>
      </c>
      <c r="BN137" s="25">
        <v>-4962.5630000000001</v>
      </c>
      <c r="BO137" s="25">
        <v>-3964.7039999999997</v>
      </c>
      <c r="BP137" s="25">
        <v>-2774.35</v>
      </c>
      <c r="BQ137" s="25" t="s">
        <v>121</v>
      </c>
      <c r="BR137" s="25" t="s">
        <v>121</v>
      </c>
      <c r="BS137" s="25" t="s">
        <v>121</v>
      </c>
      <c r="BT137" s="25" t="s">
        <v>121</v>
      </c>
      <c r="BU137" s="25" t="s">
        <v>121</v>
      </c>
      <c r="BV137" s="25" t="s">
        <v>121</v>
      </c>
      <c r="BW137" s="25" t="s">
        <v>121</v>
      </c>
      <c r="BX137" s="25" t="s">
        <v>121</v>
      </c>
      <c r="BY137" s="25" t="s">
        <v>121</v>
      </c>
      <c r="BZ137" s="25" t="s">
        <v>121</v>
      </c>
      <c r="CA137" s="25" t="s">
        <v>121</v>
      </c>
      <c r="CB137" s="25" t="s">
        <v>121</v>
      </c>
      <c r="CC137" s="25" t="s">
        <v>121</v>
      </c>
      <c r="CD137" s="25" t="s">
        <v>121</v>
      </c>
      <c r="CE137" s="25" t="s">
        <v>121</v>
      </c>
      <c r="CF137" s="25" t="s">
        <v>121</v>
      </c>
      <c r="CG137" s="25" t="s">
        <v>121</v>
      </c>
      <c r="CH137" s="25" t="s">
        <v>121</v>
      </c>
      <c r="CI137" s="25" t="s">
        <v>121</v>
      </c>
      <c r="CJ137" s="25" t="s">
        <v>121</v>
      </c>
      <c r="CK137" s="25" t="s">
        <v>121</v>
      </c>
      <c r="CL137" s="25" t="s">
        <v>121</v>
      </c>
      <c r="CM137" s="25" t="s">
        <v>121</v>
      </c>
      <c r="CN137" s="25" t="s">
        <v>121</v>
      </c>
      <c r="CO137" s="25" t="s">
        <v>121</v>
      </c>
      <c r="CP137" s="25" t="s">
        <v>121</v>
      </c>
      <c r="CQ137" s="25" t="s">
        <v>121</v>
      </c>
      <c r="CR137" s="25" t="s">
        <v>121</v>
      </c>
      <c r="CS137" s="25" t="s">
        <v>121</v>
      </c>
      <c r="CT137" s="25" t="s">
        <v>121</v>
      </c>
      <c r="CU137" s="25" t="s">
        <v>121</v>
      </c>
      <c r="CV137" s="25" t="s">
        <v>121</v>
      </c>
      <c r="CW137" s="25" t="s">
        <v>121</v>
      </c>
      <c r="CX137" s="25" t="s">
        <v>121</v>
      </c>
      <c r="CY137" s="25" t="s">
        <v>121</v>
      </c>
      <c r="CZ137" s="25" t="s">
        <v>121</v>
      </c>
      <c r="DA137" s="25" t="s">
        <v>121</v>
      </c>
      <c r="DB137" s="25" t="s">
        <v>121</v>
      </c>
      <c r="DC137" s="25" t="s">
        <v>121</v>
      </c>
      <c r="DD137" s="25" t="s">
        <v>121</v>
      </c>
      <c r="DE137" s="25" t="s">
        <v>121</v>
      </c>
      <c r="DF137" s="25" t="s">
        <v>121</v>
      </c>
      <c r="DG137" s="25" t="s">
        <v>121</v>
      </c>
      <c r="DH137" s="25" t="s">
        <v>121</v>
      </c>
      <c r="DI137" s="25" t="s">
        <v>121</v>
      </c>
      <c r="DJ137" s="25" t="s">
        <v>121</v>
      </c>
      <c r="DK137" s="25" t="s">
        <v>121</v>
      </c>
      <c r="DL137" s="25" t="s">
        <v>121</v>
      </c>
      <c r="DM137" s="25" t="s">
        <v>121</v>
      </c>
      <c r="DN137" s="25" t="s">
        <v>121</v>
      </c>
      <c r="DO137" s="25" t="s">
        <v>121</v>
      </c>
      <c r="DP137" s="25" t="s">
        <v>121</v>
      </c>
      <c r="DQ137" s="25" t="s">
        <v>121</v>
      </c>
      <c r="DR137" s="25" t="s">
        <v>121</v>
      </c>
      <c r="DS137" s="25" t="s">
        <v>121</v>
      </c>
      <c r="DT137" s="25" t="s">
        <v>121</v>
      </c>
      <c r="DU137" s="25" t="s">
        <v>121</v>
      </c>
      <c r="DV137" s="25" t="s">
        <v>121</v>
      </c>
      <c r="DW137" s="25" t="s">
        <v>121</v>
      </c>
      <c r="DX137" s="25" t="s">
        <v>121</v>
      </c>
      <c r="DY137" s="25" t="s">
        <v>121</v>
      </c>
      <c r="DZ137" s="25" t="s">
        <v>121</v>
      </c>
      <c r="EA137" s="25" t="s">
        <v>121</v>
      </c>
      <c r="EB137" s="25" t="s">
        <v>121</v>
      </c>
      <c r="EC137" s="25" t="s">
        <v>121</v>
      </c>
      <c r="ED137" s="25" t="s">
        <v>121</v>
      </c>
      <c r="EE137" s="25" t="s">
        <v>121</v>
      </c>
      <c r="EF137" s="25" t="s">
        <v>121</v>
      </c>
      <c r="EG137" s="25" t="s">
        <v>121</v>
      </c>
      <c r="EH137" s="25" t="s">
        <v>121</v>
      </c>
      <c r="EI137" s="25" t="s">
        <v>121</v>
      </c>
      <c r="EJ137" s="25" t="s">
        <v>121</v>
      </c>
      <c r="EK137" s="25" t="s">
        <v>121</v>
      </c>
      <c r="EL137" s="25" t="s">
        <v>121</v>
      </c>
      <c r="EM137" s="25" t="s">
        <v>121</v>
      </c>
      <c r="EN137" s="25" t="s">
        <v>121</v>
      </c>
      <c r="EO137" s="25" t="s">
        <v>121</v>
      </c>
      <c r="EP137" s="25" t="s">
        <v>121</v>
      </c>
      <c r="EQ137" s="25" t="s">
        <v>121</v>
      </c>
      <c r="ER137" s="25" t="s">
        <v>121</v>
      </c>
      <c r="ES137" s="25" t="s">
        <v>121</v>
      </c>
      <c r="ET137" s="25" t="s">
        <v>121</v>
      </c>
      <c r="EU137" s="25" t="s">
        <v>121</v>
      </c>
      <c r="EV137" s="25" t="s">
        <v>121</v>
      </c>
      <c r="EW137" s="25" t="s">
        <v>121</v>
      </c>
      <c r="EX137" s="25" t="s">
        <v>121</v>
      </c>
    </row>
    <row r="138" spans="1:154" s="25" customFormat="1" ht="6.95" customHeight="1" x14ac:dyDescent="0.25">
      <c r="A138" s="72">
        <v>138</v>
      </c>
      <c r="B138" s="68" t="s">
        <v>121</v>
      </c>
      <c r="C138" s="91"/>
      <c r="D138" s="86"/>
      <c r="E138" s="9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405"/>
      <c r="R138" s="405"/>
      <c r="S138" s="405"/>
      <c r="T138" s="405"/>
      <c r="U138" s="22" t="s">
        <v>121</v>
      </c>
      <c r="V138" s="22" t="s">
        <v>121</v>
      </c>
      <c r="W138" s="22" t="s">
        <v>121</v>
      </c>
      <c r="X138" s="22" t="s">
        <v>121</v>
      </c>
      <c r="Y138" s="22" t="s">
        <v>121</v>
      </c>
      <c r="Z138" s="22" t="s">
        <v>121</v>
      </c>
      <c r="AA138" s="22" t="s">
        <v>121</v>
      </c>
      <c r="AB138" s="22" t="s">
        <v>121</v>
      </c>
      <c r="AC138" s="22" t="s">
        <v>121</v>
      </c>
      <c r="AD138" s="22" t="s">
        <v>121</v>
      </c>
      <c r="AE138" s="22" t="s">
        <v>121</v>
      </c>
      <c r="AF138" s="22" t="s">
        <v>121</v>
      </c>
      <c r="AG138" s="22" t="s">
        <v>121</v>
      </c>
      <c r="AH138" s="22" t="s">
        <v>121</v>
      </c>
      <c r="AI138" s="22" t="s">
        <v>121</v>
      </c>
      <c r="AJ138" s="22" t="s">
        <v>121</v>
      </c>
      <c r="AK138" s="22" t="s">
        <v>121</v>
      </c>
      <c r="AL138" s="22" t="s">
        <v>121</v>
      </c>
      <c r="AM138" s="22" t="s">
        <v>121</v>
      </c>
      <c r="AN138" s="22" t="s">
        <v>121</v>
      </c>
      <c r="AO138" s="22" t="s">
        <v>121</v>
      </c>
      <c r="AP138" s="22" t="s">
        <v>121</v>
      </c>
      <c r="AQ138" s="22" t="s">
        <v>121</v>
      </c>
      <c r="AR138" s="22" t="s">
        <v>121</v>
      </c>
      <c r="AS138" s="22" t="s">
        <v>121</v>
      </c>
      <c r="AT138" s="22" t="s">
        <v>121</v>
      </c>
      <c r="AU138" s="22" t="s">
        <v>121</v>
      </c>
      <c r="AV138" s="22" t="s">
        <v>121</v>
      </c>
      <c r="AW138" s="11" t="s">
        <v>121</v>
      </c>
      <c r="AX138" s="22" t="s">
        <v>121</v>
      </c>
      <c r="AY138" s="22" t="s">
        <v>121</v>
      </c>
      <c r="AZ138" s="22" t="s">
        <v>121</v>
      </c>
      <c r="BA138" s="22" t="s">
        <v>121</v>
      </c>
      <c r="BB138" s="63" t="s">
        <v>121</v>
      </c>
      <c r="BC138" s="22" t="s">
        <v>121</v>
      </c>
      <c r="BD138" s="22" t="s">
        <v>121</v>
      </c>
      <c r="BE138" s="22" t="s">
        <v>121</v>
      </c>
      <c r="BF138" s="22" t="s">
        <v>121</v>
      </c>
      <c r="BG138" s="22" t="s">
        <v>121</v>
      </c>
      <c r="BH138" s="22" t="s">
        <v>121</v>
      </c>
      <c r="BI138" s="22" t="s">
        <v>121</v>
      </c>
      <c r="BJ138" s="22" t="s">
        <v>121</v>
      </c>
      <c r="BK138" s="22" t="s">
        <v>121</v>
      </c>
      <c r="BL138" s="22" t="s">
        <v>121</v>
      </c>
      <c r="BM138" s="25" t="s">
        <v>121</v>
      </c>
      <c r="BN138" s="25" t="s">
        <v>121</v>
      </c>
      <c r="BO138" s="25" t="s">
        <v>121</v>
      </c>
      <c r="BP138" s="25" t="s">
        <v>121</v>
      </c>
      <c r="BQ138" s="25" t="s">
        <v>121</v>
      </c>
      <c r="BR138" s="25" t="s">
        <v>121</v>
      </c>
      <c r="BS138" s="25" t="s">
        <v>121</v>
      </c>
      <c r="BT138" s="25" t="s">
        <v>121</v>
      </c>
      <c r="BU138" s="25" t="s">
        <v>121</v>
      </c>
      <c r="BV138" s="25" t="s">
        <v>121</v>
      </c>
      <c r="BW138" s="25" t="s">
        <v>121</v>
      </c>
      <c r="BX138" s="25" t="s">
        <v>121</v>
      </c>
      <c r="BY138" s="25" t="s">
        <v>121</v>
      </c>
      <c r="BZ138" s="25" t="s">
        <v>121</v>
      </c>
      <c r="CA138" s="25" t="s">
        <v>121</v>
      </c>
      <c r="CB138" s="25" t="s">
        <v>121</v>
      </c>
      <c r="CC138" s="25" t="s">
        <v>121</v>
      </c>
      <c r="CD138" s="25" t="s">
        <v>121</v>
      </c>
      <c r="CE138" s="25" t="s">
        <v>121</v>
      </c>
      <c r="CF138" s="25" t="s">
        <v>121</v>
      </c>
      <c r="CG138" s="25" t="s">
        <v>121</v>
      </c>
      <c r="CH138" s="25" t="s">
        <v>121</v>
      </c>
      <c r="CI138" s="25" t="s">
        <v>121</v>
      </c>
      <c r="CJ138" s="25" t="s">
        <v>121</v>
      </c>
      <c r="CK138" s="25" t="s">
        <v>121</v>
      </c>
      <c r="CL138" s="25" t="s">
        <v>121</v>
      </c>
      <c r="CM138" s="25" t="s">
        <v>121</v>
      </c>
      <c r="CN138" s="25" t="s">
        <v>121</v>
      </c>
      <c r="CO138" s="25" t="s">
        <v>121</v>
      </c>
      <c r="CP138" s="25" t="s">
        <v>121</v>
      </c>
      <c r="CQ138" s="25" t="s">
        <v>121</v>
      </c>
      <c r="CR138" s="25" t="s">
        <v>121</v>
      </c>
      <c r="CS138" s="25" t="s">
        <v>121</v>
      </c>
      <c r="CT138" s="25" t="s">
        <v>121</v>
      </c>
      <c r="CU138" s="25" t="s">
        <v>121</v>
      </c>
      <c r="CV138" s="25" t="s">
        <v>121</v>
      </c>
      <c r="CW138" s="25" t="s">
        <v>121</v>
      </c>
      <c r="CX138" s="25" t="s">
        <v>121</v>
      </c>
      <c r="CY138" s="25" t="s">
        <v>121</v>
      </c>
      <c r="CZ138" s="25" t="s">
        <v>121</v>
      </c>
      <c r="DA138" s="25" t="s">
        <v>121</v>
      </c>
      <c r="DB138" s="25" t="s">
        <v>121</v>
      </c>
      <c r="DC138" s="25" t="s">
        <v>121</v>
      </c>
      <c r="DD138" s="25" t="s">
        <v>121</v>
      </c>
      <c r="DE138" s="25" t="s">
        <v>121</v>
      </c>
      <c r="DF138" s="25" t="s">
        <v>121</v>
      </c>
      <c r="DG138" s="25" t="s">
        <v>121</v>
      </c>
      <c r="DH138" s="25" t="s">
        <v>121</v>
      </c>
      <c r="DI138" s="25" t="s">
        <v>121</v>
      </c>
      <c r="DJ138" s="25" t="s">
        <v>121</v>
      </c>
      <c r="DK138" s="25" t="s">
        <v>121</v>
      </c>
      <c r="DL138" s="25" t="s">
        <v>121</v>
      </c>
      <c r="DM138" s="25" t="s">
        <v>121</v>
      </c>
      <c r="DN138" s="25" t="s">
        <v>121</v>
      </c>
      <c r="DO138" s="25" t="s">
        <v>121</v>
      </c>
      <c r="DP138" s="25" t="s">
        <v>121</v>
      </c>
      <c r="DQ138" s="25" t="s">
        <v>121</v>
      </c>
      <c r="DR138" s="25" t="s">
        <v>121</v>
      </c>
      <c r="DS138" s="25" t="s">
        <v>121</v>
      </c>
      <c r="DT138" s="25" t="s">
        <v>121</v>
      </c>
      <c r="DU138" s="25" t="s">
        <v>121</v>
      </c>
      <c r="DV138" s="25" t="s">
        <v>121</v>
      </c>
      <c r="DW138" s="25" t="s">
        <v>121</v>
      </c>
      <c r="DX138" s="25" t="s">
        <v>121</v>
      </c>
      <c r="DY138" s="25" t="s">
        <v>121</v>
      </c>
      <c r="DZ138" s="25" t="s">
        <v>121</v>
      </c>
      <c r="EA138" s="25" t="s">
        <v>121</v>
      </c>
      <c r="EB138" s="25" t="s">
        <v>121</v>
      </c>
      <c r="EC138" s="25" t="s">
        <v>121</v>
      </c>
      <c r="ED138" s="25" t="s">
        <v>121</v>
      </c>
      <c r="EE138" s="25" t="s">
        <v>121</v>
      </c>
      <c r="EF138" s="25" t="s">
        <v>121</v>
      </c>
      <c r="EG138" s="25" t="s">
        <v>121</v>
      </c>
      <c r="EH138" s="25" t="s">
        <v>121</v>
      </c>
      <c r="EI138" s="25" t="s">
        <v>121</v>
      </c>
      <c r="EJ138" s="25" t="s">
        <v>121</v>
      </c>
      <c r="EK138" s="25" t="s">
        <v>121</v>
      </c>
      <c r="EL138" s="25" t="s">
        <v>121</v>
      </c>
      <c r="EM138" s="25" t="s">
        <v>121</v>
      </c>
      <c r="EN138" s="25" t="s">
        <v>121</v>
      </c>
      <c r="EO138" s="25" t="s">
        <v>121</v>
      </c>
      <c r="EP138" s="25" t="s">
        <v>121</v>
      </c>
      <c r="EQ138" s="25" t="s">
        <v>121</v>
      </c>
      <c r="ER138" s="25" t="s">
        <v>121</v>
      </c>
      <c r="ES138" s="25" t="s">
        <v>121</v>
      </c>
      <c r="ET138" s="25" t="s">
        <v>121</v>
      </c>
      <c r="EU138" s="25" t="s">
        <v>121</v>
      </c>
      <c r="EV138" s="25" t="s">
        <v>121</v>
      </c>
      <c r="EW138" s="25" t="s">
        <v>121</v>
      </c>
      <c r="EX138" s="25" t="s">
        <v>121</v>
      </c>
    </row>
    <row r="139" spans="1:154" s="25" customFormat="1" x14ac:dyDescent="0.25">
      <c r="A139" s="72">
        <v>139</v>
      </c>
      <c r="B139" s="68" t="s">
        <v>196</v>
      </c>
      <c r="C139" s="91"/>
      <c r="D139" s="86"/>
      <c r="E139" s="92">
        <f ca="1">OFFSET($E$7,$A139-$A$7,1,1,1)/OFFSET($E$7,$A139-$A$7,5,1,1)-1</f>
        <v>-0.11059355869044452</v>
      </c>
      <c r="F139" s="22">
        <f t="shared" ref="F139:P139" si="7">F49</f>
        <v>33415</v>
      </c>
      <c r="G139" s="22">
        <f t="shared" si="7"/>
        <v>24652</v>
      </c>
      <c r="H139" s="22">
        <f t="shared" si="7"/>
        <v>15527</v>
      </c>
      <c r="I139" s="22">
        <f t="shared" si="7"/>
        <v>50779</v>
      </c>
      <c r="J139" s="22">
        <f t="shared" si="7"/>
        <v>37570</v>
      </c>
      <c r="K139" s="22">
        <f t="shared" si="7"/>
        <v>24307</v>
      </c>
      <c r="L139" s="22">
        <f t="shared" si="7"/>
        <v>13020</v>
      </c>
      <c r="M139" s="22">
        <f t="shared" si="7"/>
        <v>47315</v>
      </c>
      <c r="N139" s="22">
        <f t="shared" si="7"/>
        <v>36880</v>
      </c>
      <c r="O139" s="22">
        <f t="shared" si="7"/>
        <v>28355</v>
      </c>
      <c r="P139" s="22">
        <f t="shared" si="7"/>
        <v>14621</v>
      </c>
      <c r="Q139" s="405"/>
      <c r="R139" s="405"/>
      <c r="S139" s="405"/>
      <c r="T139" s="405"/>
      <c r="U139" s="22">
        <v>18083</v>
      </c>
      <c r="V139" s="22">
        <v>11406</v>
      </c>
      <c r="W139" s="22">
        <v>7269</v>
      </c>
      <c r="X139" s="22">
        <v>2393</v>
      </c>
      <c r="Y139" s="22">
        <v>10827</v>
      </c>
      <c r="Z139" s="22">
        <v>6348.5399999999972</v>
      </c>
      <c r="AA139" s="22">
        <v>3598.2960000000012</v>
      </c>
      <c r="AB139" s="22">
        <v>1581.1629999999996</v>
      </c>
      <c r="AC139" s="22">
        <v>7905.8910000000033</v>
      </c>
      <c r="AD139" s="22">
        <v>5502.0840000000017</v>
      </c>
      <c r="AE139" s="22">
        <v>3471.6769999999992</v>
      </c>
      <c r="AF139" s="22">
        <v>1281.6540000000005</v>
      </c>
      <c r="AG139" s="22">
        <v>9046.9279999999999</v>
      </c>
      <c r="AH139" s="22">
        <v>6471.9489999999932</v>
      </c>
      <c r="AI139" s="22">
        <v>4389.9519999999984</v>
      </c>
      <c r="AJ139" s="22">
        <v>1847.070999999999</v>
      </c>
      <c r="AK139" s="22">
        <v>7491.0559999999941</v>
      </c>
      <c r="AL139" s="22">
        <v>5737.1329999999989</v>
      </c>
      <c r="AM139" s="22">
        <v>3324.1639999999993</v>
      </c>
      <c r="AN139" s="22">
        <v>1476.8300000000006</v>
      </c>
      <c r="AO139" s="22">
        <v>4277.8100000000004</v>
      </c>
      <c r="AP139" s="22">
        <v>3030.6719999999978</v>
      </c>
      <c r="AQ139" s="22">
        <v>1995.8069999999989</v>
      </c>
      <c r="AR139" s="22">
        <v>1169.5100000000009</v>
      </c>
      <c r="AS139" s="22">
        <v>3618.5149999999967</v>
      </c>
      <c r="AT139" s="22">
        <v>2687.5609999999974</v>
      </c>
      <c r="AU139" s="22">
        <v>1567.6370000000022</v>
      </c>
      <c r="AV139" s="22">
        <v>568.9409999999998</v>
      </c>
      <c r="AW139" s="11">
        <v>4795.6740000000054</v>
      </c>
      <c r="AX139" s="22">
        <v>4104.5169999999998</v>
      </c>
      <c r="AY139" s="22">
        <v>2919.5159999999996</v>
      </c>
      <c r="AZ139" s="22">
        <v>1675.5620000000006</v>
      </c>
      <c r="BA139" s="22">
        <v>6695.2630000000026</v>
      </c>
      <c r="BB139" s="22">
        <v>3615.8859999999986</v>
      </c>
      <c r="BC139" s="22">
        <v>2003.1469999999999</v>
      </c>
      <c r="BD139" s="22">
        <v>1079.9299999999998</v>
      </c>
      <c r="BE139" s="22">
        <v>1303.4999999999991</v>
      </c>
      <c r="BF139" s="22">
        <v>930.27599999999984</v>
      </c>
      <c r="BG139" s="22">
        <v>237.35299999999816</v>
      </c>
      <c r="BH139" s="22">
        <v>123.28399999999979</v>
      </c>
      <c r="BI139" s="22">
        <v>5885.4820000000018</v>
      </c>
      <c r="BJ139" s="22">
        <v>5316.0339999999978</v>
      </c>
      <c r="BK139" s="22">
        <v>4495.4600000000009</v>
      </c>
      <c r="BL139" s="22">
        <v>2090.3870000000006</v>
      </c>
      <c r="BM139" s="25">
        <v>4114.7439999999997</v>
      </c>
      <c r="BN139" s="25">
        <v>2299.9699999999984</v>
      </c>
      <c r="BO139" s="25">
        <v>1127.1110000000008</v>
      </c>
      <c r="BP139" s="25">
        <v>349.87900000000025</v>
      </c>
      <c r="BQ139" s="25" t="s">
        <v>121</v>
      </c>
      <c r="BR139" s="25" t="s">
        <v>121</v>
      </c>
      <c r="BS139" s="25" t="s">
        <v>121</v>
      </c>
      <c r="BT139" s="25" t="s">
        <v>121</v>
      </c>
      <c r="BU139" s="25" t="s">
        <v>121</v>
      </c>
      <c r="BV139" s="25" t="s">
        <v>121</v>
      </c>
      <c r="BW139" s="25" t="s">
        <v>121</v>
      </c>
      <c r="BX139" s="25" t="s">
        <v>121</v>
      </c>
      <c r="BY139" s="25" t="s">
        <v>121</v>
      </c>
      <c r="BZ139" s="25" t="s">
        <v>121</v>
      </c>
      <c r="CA139" s="25" t="s">
        <v>121</v>
      </c>
      <c r="CB139" s="25" t="s">
        <v>121</v>
      </c>
      <c r="CC139" s="25" t="s">
        <v>121</v>
      </c>
      <c r="CD139" s="25" t="s">
        <v>121</v>
      </c>
      <c r="CE139" s="25" t="s">
        <v>121</v>
      </c>
      <c r="CF139" s="25" t="s">
        <v>121</v>
      </c>
      <c r="CG139" s="25" t="s">
        <v>121</v>
      </c>
      <c r="CH139" s="25" t="s">
        <v>121</v>
      </c>
      <c r="CI139" s="25" t="s">
        <v>121</v>
      </c>
      <c r="CJ139" s="25" t="s">
        <v>121</v>
      </c>
      <c r="CK139" s="25" t="s">
        <v>121</v>
      </c>
      <c r="CL139" s="25" t="s">
        <v>121</v>
      </c>
      <c r="CM139" s="25" t="s">
        <v>121</v>
      </c>
      <c r="CN139" s="25" t="s">
        <v>121</v>
      </c>
      <c r="CO139" s="25" t="s">
        <v>121</v>
      </c>
      <c r="CP139" s="25" t="s">
        <v>121</v>
      </c>
      <c r="CQ139" s="25" t="s">
        <v>121</v>
      </c>
      <c r="CR139" s="25" t="s">
        <v>121</v>
      </c>
      <c r="CS139" s="25" t="s">
        <v>121</v>
      </c>
      <c r="CT139" s="25" t="s">
        <v>121</v>
      </c>
      <c r="CU139" s="25" t="s">
        <v>121</v>
      </c>
      <c r="CV139" s="25" t="s">
        <v>121</v>
      </c>
      <c r="CW139" s="25" t="s">
        <v>121</v>
      </c>
      <c r="CX139" s="25" t="s">
        <v>121</v>
      </c>
      <c r="CY139" s="25" t="s">
        <v>121</v>
      </c>
      <c r="CZ139" s="25" t="s">
        <v>121</v>
      </c>
      <c r="DA139" s="25" t="s">
        <v>121</v>
      </c>
      <c r="DB139" s="25" t="s">
        <v>121</v>
      </c>
      <c r="DC139" s="25" t="s">
        <v>121</v>
      </c>
      <c r="DD139" s="25" t="s">
        <v>121</v>
      </c>
      <c r="DE139" s="25" t="s">
        <v>121</v>
      </c>
      <c r="DF139" s="25" t="s">
        <v>121</v>
      </c>
      <c r="DG139" s="25" t="s">
        <v>121</v>
      </c>
      <c r="DH139" s="25" t="s">
        <v>121</v>
      </c>
      <c r="DI139" s="25" t="s">
        <v>121</v>
      </c>
      <c r="DJ139" s="25" t="s">
        <v>121</v>
      </c>
      <c r="DK139" s="25" t="s">
        <v>121</v>
      </c>
      <c r="DL139" s="25" t="s">
        <v>121</v>
      </c>
      <c r="DM139" s="25" t="s">
        <v>121</v>
      </c>
      <c r="DN139" s="25" t="s">
        <v>121</v>
      </c>
      <c r="DO139" s="25" t="s">
        <v>121</v>
      </c>
      <c r="DP139" s="25" t="s">
        <v>121</v>
      </c>
      <c r="DQ139" s="25" t="s">
        <v>121</v>
      </c>
      <c r="DR139" s="25" t="s">
        <v>121</v>
      </c>
      <c r="DS139" s="25" t="s">
        <v>121</v>
      </c>
      <c r="DT139" s="25" t="s">
        <v>121</v>
      </c>
      <c r="DU139" s="25" t="s">
        <v>121</v>
      </c>
      <c r="DV139" s="25" t="s">
        <v>121</v>
      </c>
      <c r="DW139" s="25" t="s">
        <v>121</v>
      </c>
      <c r="DX139" s="25" t="s">
        <v>121</v>
      </c>
      <c r="DY139" s="25" t="s">
        <v>121</v>
      </c>
      <c r="DZ139" s="25" t="s">
        <v>121</v>
      </c>
      <c r="EA139" s="25" t="s">
        <v>121</v>
      </c>
      <c r="EB139" s="25" t="s">
        <v>121</v>
      </c>
      <c r="EC139" s="25" t="s">
        <v>121</v>
      </c>
      <c r="ED139" s="25" t="s">
        <v>121</v>
      </c>
      <c r="EE139" s="25" t="s">
        <v>121</v>
      </c>
      <c r="EF139" s="25" t="s">
        <v>121</v>
      </c>
      <c r="EG139" s="25" t="s">
        <v>121</v>
      </c>
      <c r="EH139" s="25" t="s">
        <v>121</v>
      </c>
      <c r="EI139" s="25" t="s">
        <v>121</v>
      </c>
      <c r="EJ139" s="25" t="s">
        <v>121</v>
      </c>
      <c r="EK139" s="25" t="s">
        <v>121</v>
      </c>
      <c r="EL139" s="25" t="s">
        <v>121</v>
      </c>
      <c r="EM139" s="25" t="s">
        <v>121</v>
      </c>
      <c r="EN139" s="25" t="s">
        <v>121</v>
      </c>
      <c r="EO139" s="25" t="s">
        <v>121</v>
      </c>
      <c r="EP139" s="25" t="s">
        <v>121</v>
      </c>
      <c r="EQ139" s="25" t="s">
        <v>121</v>
      </c>
      <c r="ER139" s="25" t="s">
        <v>121</v>
      </c>
      <c r="ES139" s="25" t="s">
        <v>121</v>
      </c>
      <c r="ET139" s="25" t="s">
        <v>121</v>
      </c>
      <c r="EU139" s="25" t="s">
        <v>121</v>
      </c>
      <c r="EV139" s="25" t="s">
        <v>121</v>
      </c>
      <c r="EW139" s="25" t="s">
        <v>121</v>
      </c>
      <c r="EX139" s="25" t="s">
        <v>121</v>
      </c>
    </row>
    <row r="140" spans="1:154" s="25" customFormat="1" ht="6.95" customHeight="1" x14ac:dyDescent="0.25">
      <c r="A140" s="72">
        <v>140</v>
      </c>
      <c r="B140" s="25" t="s">
        <v>121</v>
      </c>
      <c r="C140" s="25" t="s">
        <v>121</v>
      </c>
      <c r="D140" s="25" t="s">
        <v>121</v>
      </c>
      <c r="E140" s="25" t="s">
        <v>121</v>
      </c>
      <c r="F140" s="25" t="s">
        <v>121</v>
      </c>
      <c r="G140" s="25" t="s">
        <v>121</v>
      </c>
      <c r="H140" s="25" t="s">
        <v>121</v>
      </c>
      <c r="I140" s="25" t="s">
        <v>121</v>
      </c>
      <c r="J140" s="25" t="s">
        <v>121</v>
      </c>
      <c r="K140" s="25" t="s">
        <v>121</v>
      </c>
      <c r="L140" s="25" t="s">
        <v>121</v>
      </c>
      <c r="M140" s="25" t="s">
        <v>121</v>
      </c>
      <c r="N140" s="25" t="s">
        <v>121</v>
      </c>
      <c r="O140" s="25" t="s">
        <v>121</v>
      </c>
      <c r="P140" s="25" t="s">
        <v>121</v>
      </c>
      <c r="Q140" s="25" t="s">
        <v>121</v>
      </c>
      <c r="R140" s="25" t="s">
        <v>121</v>
      </c>
      <c r="S140" s="25" t="s">
        <v>121</v>
      </c>
      <c r="T140" s="25" t="s">
        <v>121</v>
      </c>
      <c r="U140" s="25" t="s">
        <v>121</v>
      </c>
      <c r="V140" s="25" t="s">
        <v>121</v>
      </c>
      <c r="W140" s="25" t="s">
        <v>121</v>
      </c>
      <c r="X140" s="25" t="s">
        <v>121</v>
      </c>
      <c r="Y140" s="25" t="s">
        <v>121</v>
      </c>
      <c r="Z140" s="25" t="s">
        <v>121</v>
      </c>
      <c r="AA140" s="25" t="s">
        <v>121</v>
      </c>
      <c r="AB140" s="25" t="s">
        <v>121</v>
      </c>
      <c r="AC140" s="25" t="s">
        <v>121</v>
      </c>
      <c r="AD140" s="25" t="s">
        <v>121</v>
      </c>
      <c r="AE140" s="25" t="s">
        <v>121</v>
      </c>
      <c r="AF140" s="25" t="s">
        <v>121</v>
      </c>
      <c r="AG140" s="25" t="s">
        <v>121</v>
      </c>
      <c r="AH140" s="25" t="s">
        <v>121</v>
      </c>
      <c r="AI140" s="25" t="s">
        <v>121</v>
      </c>
      <c r="AJ140" s="25" t="s">
        <v>121</v>
      </c>
      <c r="AK140" s="25" t="s">
        <v>121</v>
      </c>
      <c r="AL140" s="25" t="s">
        <v>121</v>
      </c>
      <c r="AM140" s="25" t="s">
        <v>121</v>
      </c>
      <c r="AN140" s="25" t="s">
        <v>121</v>
      </c>
      <c r="AO140" s="25" t="s">
        <v>121</v>
      </c>
      <c r="AP140" s="25" t="s">
        <v>121</v>
      </c>
      <c r="AQ140" s="25" t="s">
        <v>121</v>
      </c>
      <c r="AR140" s="25" t="s">
        <v>121</v>
      </c>
      <c r="AS140" s="25" t="s">
        <v>121</v>
      </c>
      <c r="AT140" s="25" t="s">
        <v>121</v>
      </c>
      <c r="AU140" s="25" t="s">
        <v>121</v>
      </c>
      <c r="AV140" s="25" t="s">
        <v>121</v>
      </c>
      <c r="AW140" s="25" t="s">
        <v>121</v>
      </c>
      <c r="AX140" s="25" t="s">
        <v>121</v>
      </c>
      <c r="AY140" s="25" t="s">
        <v>121</v>
      </c>
      <c r="AZ140" s="25" t="s">
        <v>121</v>
      </c>
      <c r="BA140" s="25" t="s">
        <v>121</v>
      </c>
      <c r="BB140" s="25" t="s">
        <v>121</v>
      </c>
      <c r="BC140" s="25" t="s">
        <v>121</v>
      </c>
      <c r="BD140" s="25" t="s">
        <v>121</v>
      </c>
      <c r="BE140" s="25" t="s">
        <v>121</v>
      </c>
      <c r="BF140" s="25" t="s">
        <v>121</v>
      </c>
      <c r="BG140" s="25" t="s">
        <v>121</v>
      </c>
      <c r="BH140" s="25" t="s">
        <v>121</v>
      </c>
      <c r="BI140" s="25" t="s">
        <v>121</v>
      </c>
      <c r="BJ140" s="25" t="s">
        <v>121</v>
      </c>
      <c r="BK140" s="25" t="s">
        <v>121</v>
      </c>
      <c r="BL140" s="25" t="s">
        <v>121</v>
      </c>
      <c r="BM140" s="25" t="s">
        <v>121</v>
      </c>
      <c r="BN140" s="25" t="s">
        <v>121</v>
      </c>
      <c r="BO140" s="25" t="s">
        <v>121</v>
      </c>
      <c r="BP140" s="25" t="s">
        <v>121</v>
      </c>
      <c r="BQ140" s="25" t="s">
        <v>121</v>
      </c>
      <c r="BR140" s="25" t="s">
        <v>121</v>
      </c>
      <c r="BS140" s="25" t="s">
        <v>121</v>
      </c>
      <c r="BT140" s="25" t="s">
        <v>121</v>
      </c>
      <c r="BU140" s="25" t="s">
        <v>121</v>
      </c>
      <c r="BV140" s="25" t="s">
        <v>121</v>
      </c>
      <c r="BW140" s="25" t="s">
        <v>121</v>
      </c>
      <c r="BX140" s="25" t="s">
        <v>121</v>
      </c>
      <c r="BY140" s="25" t="s">
        <v>121</v>
      </c>
      <c r="BZ140" s="25" t="s">
        <v>121</v>
      </c>
      <c r="CA140" s="25" t="s">
        <v>121</v>
      </c>
      <c r="CB140" s="25" t="s">
        <v>121</v>
      </c>
      <c r="CC140" s="25" t="s">
        <v>121</v>
      </c>
      <c r="CD140" s="25" t="s">
        <v>121</v>
      </c>
      <c r="CE140" s="25" t="s">
        <v>121</v>
      </c>
      <c r="CF140" s="25" t="s">
        <v>121</v>
      </c>
      <c r="CG140" s="25" t="s">
        <v>121</v>
      </c>
      <c r="CH140" s="25" t="s">
        <v>121</v>
      </c>
      <c r="CI140" s="25" t="s">
        <v>121</v>
      </c>
      <c r="CJ140" s="25" t="s">
        <v>121</v>
      </c>
      <c r="CK140" s="25" t="s">
        <v>121</v>
      </c>
      <c r="CL140" s="25" t="s">
        <v>121</v>
      </c>
      <c r="CM140" s="25" t="s">
        <v>121</v>
      </c>
      <c r="CN140" s="25" t="s">
        <v>121</v>
      </c>
      <c r="CO140" s="25" t="s">
        <v>121</v>
      </c>
      <c r="CP140" s="25" t="s">
        <v>121</v>
      </c>
      <c r="CQ140" s="25" t="s">
        <v>121</v>
      </c>
      <c r="CR140" s="25" t="s">
        <v>121</v>
      </c>
      <c r="CS140" s="25" t="s">
        <v>121</v>
      </c>
      <c r="CT140" s="25" t="s">
        <v>121</v>
      </c>
      <c r="CU140" s="25" t="s">
        <v>121</v>
      </c>
      <c r="CV140" s="25" t="s">
        <v>121</v>
      </c>
      <c r="CW140" s="25" t="s">
        <v>121</v>
      </c>
      <c r="CX140" s="25" t="s">
        <v>121</v>
      </c>
      <c r="CY140" s="25" t="s">
        <v>121</v>
      </c>
      <c r="CZ140" s="25" t="s">
        <v>121</v>
      </c>
      <c r="DA140" s="25" t="s">
        <v>121</v>
      </c>
      <c r="DB140" s="25" t="s">
        <v>121</v>
      </c>
      <c r="DC140" s="25" t="s">
        <v>121</v>
      </c>
      <c r="DD140" s="25" t="s">
        <v>121</v>
      </c>
      <c r="DE140" s="25" t="s">
        <v>121</v>
      </c>
      <c r="DF140" s="25" t="s">
        <v>121</v>
      </c>
      <c r="DG140" s="25" t="s">
        <v>121</v>
      </c>
      <c r="DH140" s="25" t="s">
        <v>121</v>
      </c>
      <c r="DI140" s="25" t="s">
        <v>121</v>
      </c>
      <c r="DJ140" s="25" t="s">
        <v>121</v>
      </c>
      <c r="DK140" s="25" t="s">
        <v>121</v>
      </c>
      <c r="DL140" s="25" t="s">
        <v>121</v>
      </c>
      <c r="DM140" s="25" t="s">
        <v>121</v>
      </c>
      <c r="DN140" s="25" t="s">
        <v>121</v>
      </c>
      <c r="DO140" s="25" t="s">
        <v>121</v>
      </c>
      <c r="DP140" s="25" t="s">
        <v>121</v>
      </c>
      <c r="DQ140" s="25" t="s">
        <v>121</v>
      </c>
      <c r="DR140" s="25" t="s">
        <v>121</v>
      </c>
      <c r="DS140" s="25" t="s">
        <v>121</v>
      </c>
      <c r="DT140" s="25" t="s">
        <v>121</v>
      </c>
      <c r="DU140" s="25" t="s">
        <v>121</v>
      </c>
      <c r="DV140" s="25" t="s">
        <v>121</v>
      </c>
      <c r="DW140" s="25" t="s">
        <v>121</v>
      </c>
      <c r="DX140" s="25" t="s">
        <v>121</v>
      </c>
      <c r="DY140" s="25" t="s">
        <v>121</v>
      </c>
      <c r="DZ140" s="25" t="s">
        <v>121</v>
      </c>
      <c r="EA140" s="25" t="s">
        <v>121</v>
      </c>
      <c r="EB140" s="25" t="s">
        <v>121</v>
      </c>
      <c r="EC140" s="25" t="s">
        <v>121</v>
      </c>
      <c r="ED140" s="25" t="s">
        <v>121</v>
      </c>
      <c r="EE140" s="25" t="s">
        <v>121</v>
      </c>
      <c r="EF140" s="25" t="s">
        <v>121</v>
      </c>
      <c r="EG140" s="25" t="s">
        <v>121</v>
      </c>
      <c r="EH140" s="25" t="s">
        <v>121</v>
      </c>
      <c r="EI140" s="25" t="s">
        <v>121</v>
      </c>
      <c r="EJ140" s="25" t="s">
        <v>121</v>
      </c>
      <c r="EK140" s="25" t="s">
        <v>121</v>
      </c>
      <c r="EL140" s="25" t="s">
        <v>121</v>
      </c>
      <c r="EM140" s="25" t="s">
        <v>121</v>
      </c>
      <c r="EN140" s="25" t="s">
        <v>121</v>
      </c>
      <c r="EO140" s="25" t="s">
        <v>121</v>
      </c>
      <c r="EP140" s="25" t="s">
        <v>121</v>
      </c>
      <c r="EQ140" s="25" t="s">
        <v>121</v>
      </c>
      <c r="ER140" s="25" t="s">
        <v>121</v>
      </c>
      <c r="ES140" s="25" t="s">
        <v>121</v>
      </c>
      <c r="ET140" s="25" t="s">
        <v>121</v>
      </c>
      <c r="EU140" s="25" t="s">
        <v>121</v>
      </c>
      <c r="EV140" s="25" t="s">
        <v>121</v>
      </c>
      <c r="EW140" s="25" t="s">
        <v>121</v>
      </c>
      <c r="EX140" s="25" t="s">
        <v>121</v>
      </c>
    </row>
    <row r="141" spans="1:154" s="25" customFormat="1" x14ac:dyDescent="0.25">
      <c r="A141" s="72">
        <v>141</v>
      </c>
      <c r="B141" s="466" t="s">
        <v>121</v>
      </c>
      <c r="C141" s="462" t="s">
        <v>433</v>
      </c>
      <c r="D141" s="333" t="s">
        <v>121</v>
      </c>
      <c r="E141" s="462" t="s">
        <v>434</v>
      </c>
      <c r="F141" s="416" t="s">
        <v>197</v>
      </c>
      <c r="G141" s="416" t="s">
        <v>198</v>
      </c>
      <c r="H141" s="416" t="s">
        <v>131</v>
      </c>
      <c r="I141" s="416" t="s">
        <v>199</v>
      </c>
      <c r="J141" s="416" t="s">
        <v>200</v>
      </c>
      <c r="K141" s="416" t="s">
        <v>201</v>
      </c>
      <c r="L141" s="416" t="s">
        <v>135</v>
      </c>
      <c r="M141" s="416" t="s">
        <v>202</v>
      </c>
      <c r="N141" s="416" t="s">
        <v>203</v>
      </c>
      <c r="O141" s="416" t="s">
        <v>204</v>
      </c>
      <c r="P141" s="416" t="s">
        <v>139</v>
      </c>
      <c r="Q141" s="416" t="s">
        <v>205</v>
      </c>
      <c r="R141" s="416" t="s">
        <v>206</v>
      </c>
      <c r="S141" s="416" t="s">
        <v>435</v>
      </c>
      <c r="T141" s="416" t="s">
        <v>143</v>
      </c>
      <c r="U141" s="416" t="s">
        <v>208</v>
      </c>
      <c r="V141" s="416" t="s">
        <v>209</v>
      </c>
      <c r="W141" s="416" t="s">
        <v>207</v>
      </c>
      <c r="X141" s="419" t="s">
        <v>147</v>
      </c>
      <c r="Y141" s="416" t="s">
        <v>210</v>
      </c>
      <c r="Z141" s="416" t="s">
        <v>211</v>
      </c>
      <c r="AA141" s="416" t="s">
        <v>212</v>
      </c>
      <c r="AB141" s="419" t="s">
        <v>151</v>
      </c>
      <c r="AC141" s="419" t="s">
        <v>213</v>
      </c>
      <c r="AD141" s="416" t="s">
        <v>214</v>
      </c>
      <c r="AE141" s="416" t="s">
        <v>215</v>
      </c>
      <c r="AF141" s="416" t="s">
        <v>155</v>
      </c>
      <c r="AG141" s="419" t="s">
        <v>216</v>
      </c>
      <c r="AH141" s="416" t="s">
        <v>217</v>
      </c>
      <c r="AI141" s="416" t="s">
        <v>218</v>
      </c>
      <c r="AJ141" s="416" t="s">
        <v>159</v>
      </c>
      <c r="AK141" s="416" t="s">
        <v>219</v>
      </c>
      <c r="AL141" s="416" t="s">
        <v>220</v>
      </c>
      <c r="AM141" s="416" t="s">
        <v>221</v>
      </c>
      <c r="AN141" s="416" t="s">
        <v>163</v>
      </c>
      <c r="AO141" s="416" t="s">
        <v>222</v>
      </c>
      <c r="AP141" s="416" t="s">
        <v>223</v>
      </c>
      <c r="AQ141" s="416" t="s">
        <v>224</v>
      </c>
      <c r="AR141" s="416" t="s">
        <v>167</v>
      </c>
      <c r="AS141" s="419" t="s">
        <v>225</v>
      </c>
      <c r="AT141" s="419" t="s">
        <v>226</v>
      </c>
      <c r="AU141" s="419" t="s">
        <v>227</v>
      </c>
      <c r="AV141" s="419" t="s">
        <v>171</v>
      </c>
      <c r="AW141" s="419" t="s">
        <v>228</v>
      </c>
      <c r="AX141" s="419" t="s">
        <v>229</v>
      </c>
      <c r="AY141" s="416" t="s">
        <v>230</v>
      </c>
      <c r="AZ141" s="419" t="s">
        <v>175</v>
      </c>
      <c r="BA141" s="419" t="s">
        <v>231</v>
      </c>
      <c r="BB141" s="419" t="s">
        <v>232</v>
      </c>
      <c r="BC141" s="419" t="s">
        <v>233</v>
      </c>
      <c r="BD141" s="419" t="s">
        <v>179</v>
      </c>
      <c r="BE141" s="419" t="s">
        <v>234</v>
      </c>
      <c r="BF141" s="419" t="s">
        <v>235</v>
      </c>
      <c r="BG141" s="419" t="s">
        <v>236</v>
      </c>
      <c r="BH141" s="419" t="s">
        <v>183</v>
      </c>
      <c r="BI141" s="419" t="s">
        <v>237</v>
      </c>
      <c r="BJ141" s="419" t="s">
        <v>238</v>
      </c>
      <c r="BK141" s="419" t="s">
        <v>239</v>
      </c>
      <c r="BL141" s="419" t="s">
        <v>187</v>
      </c>
      <c r="BM141" s="25" t="s">
        <v>240</v>
      </c>
      <c r="BN141" s="25" t="s">
        <v>241</v>
      </c>
      <c r="BO141" s="25" t="s">
        <v>242</v>
      </c>
      <c r="BP141" s="25" t="s">
        <v>191</v>
      </c>
      <c r="BQ141" s="25" t="s">
        <v>121</v>
      </c>
      <c r="BR141" s="25" t="s">
        <v>121</v>
      </c>
      <c r="BS141" s="25" t="s">
        <v>121</v>
      </c>
      <c r="BT141" s="25" t="s">
        <v>121</v>
      </c>
      <c r="BU141" s="25" t="s">
        <v>121</v>
      </c>
      <c r="BV141" s="25" t="s">
        <v>121</v>
      </c>
      <c r="BW141" s="25" t="s">
        <v>121</v>
      </c>
      <c r="BX141" s="25" t="s">
        <v>121</v>
      </c>
      <c r="BY141" s="25" t="s">
        <v>121</v>
      </c>
      <c r="BZ141" s="25" t="s">
        <v>121</v>
      </c>
      <c r="CA141" s="25" t="s">
        <v>121</v>
      </c>
      <c r="CB141" s="25" t="s">
        <v>121</v>
      </c>
      <c r="CC141" s="25" t="s">
        <v>121</v>
      </c>
      <c r="CD141" s="25" t="s">
        <v>121</v>
      </c>
      <c r="CE141" s="25" t="s">
        <v>121</v>
      </c>
      <c r="CF141" s="25" t="s">
        <v>121</v>
      </c>
      <c r="CG141" s="25" t="s">
        <v>121</v>
      </c>
      <c r="CH141" s="25" t="s">
        <v>121</v>
      </c>
      <c r="CI141" s="25" t="s">
        <v>121</v>
      </c>
      <c r="CJ141" s="25" t="s">
        <v>121</v>
      </c>
      <c r="CK141" s="25" t="s">
        <v>121</v>
      </c>
      <c r="CL141" s="25" t="s">
        <v>121</v>
      </c>
      <c r="CM141" s="25" t="s">
        <v>121</v>
      </c>
      <c r="CN141" s="25" t="s">
        <v>121</v>
      </c>
      <c r="CO141" s="25" t="s">
        <v>121</v>
      </c>
      <c r="CP141" s="25" t="s">
        <v>121</v>
      </c>
      <c r="CQ141" s="25" t="s">
        <v>121</v>
      </c>
      <c r="CR141" s="25" t="s">
        <v>121</v>
      </c>
      <c r="CS141" s="25" t="s">
        <v>121</v>
      </c>
      <c r="CT141" s="25" t="s">
        <v>121</v>
      </c>
      <c r="CU141" s="25" t="s">
        <v>121</v>
      </c>
      <c r="CV141" s="25" t="s">
        <v>121</v>
      </c>
      <c r="CW141" s="25" t="s">
        <v>121</v>
      </c>
      <c r="CX141" s="25" t="s">
        <v>121</v>
      </c>
      <c r="CY141" s="25" t="s">
        <v>121</v>
      </c>
      <c r="CZ141" s="25" t="s">
        <v>121</v>
      </c>
      <c r="DA141" s="25" t="s">
        <v>121</v>
      </c>
      <c r="DB141" s="25" t="s">
        <v>121</v>
      </c>
      <c r="DC141" s="25" t="s">
        <v>121</v>
      </c>
      <c r="DD141" s="25" t="s">
        <v>121</v>
      </c>
      <c r="DE141" s="25" t="s">
        <v>121</v>
      </c>
      <c r="DF141" s="25" t="s">
        <v>121</v>
      </c>
      <c r="DG141" s="25" t="s">
        <v>121</v>
      </c>
      <c r="DH141" s="25" t="s">
        <v>121</v>
      </c>
      <c r="DI141" s="25" t="s">
        <v>121</v>
      </c>
      <c r="DJ141" s="25" t="s">
        <v>121</v>
      </c>
      <c r="DK141" s="25" t="s">
        <v>121</v>
      </c>
      <c r="DL141" s="25" t="s">
        <v>121</v>
      </c>
      <c r="DM141" s="25" t="s">
        <v>121</v>
      </c>
      <c r="DN141" s="25" t="s">
        <v>121</v>
      </c>
      <c r="DO141" s="25" t="s">
        <v>121</v>
      </c>
      <c r="DP141" s="25" t="s">
        <v>121</v>
      </c>
      <c r="DQ141" s="25" t="s">
        <v>121</v>
      </c>
      <c r="DR141" s="25" t="s">
        <v>121</v>
      </c>
      <c r="DS141" s="25" t="s">
        <v>121</v>
      </c>
      <c r="DT141" s="25" t="s">
        <v>121</v>
      </c>
      <c r="DU141" s="25" t="s">
        <v>121</v>
      </c>
      <c r="DV141" s="25" t="s">
        <v>121</v>
      </c>
      <c r="DW141" s="25" t="s">
        <v>121</v>
      </c>
      <c r="DX141" s="25" t="s">
        <v>121</v>
      </c>
      <c r="DY141" s="25" t="s">
        <v>121</v>
      </c>
      <c r="DZ141" s="25" t="s">
        <v>121</v>
      </c>
      <c r="EA141" s="25" t="s">
        <v>121</v>
      </c>
      <c r="EB141" s="25" t="s">
        <v>121</v>
      </c>
      <c r="EC141" s="25" t="s">
        <v>121</v>
      </c>
      <c r="ED141" s="25" t="s">
        <v>121</v>
      </c>
      <c r="EE141" s="25" t="s">
        <v>121</v>
      </c>
      <c r="EF141" s="25" t="s">
        <v>121</v>
      </c>
      <c r="EG141" s="25" t="s">
        <v>121</v>
      </c>
      <c r="EH141" s="25" t="s">
        <v>121</v>
      </c>
      <c r="EI141" s="25" t="s">
        <v>121</v>
      </c>
      <c r="EJ141" s="25" t="s">
        <v>121</v>
      </c>
      <c r="EK141" s="25" t="s">
        <v>121</v>
      </c>
      <c r="EL141" s="25" t="s">
        <v>121</v>
      </c>
      <c r="EM141" s="25" t="s">
        <v>121</v>
      </c>
      <c r="EN141" s="25" t="s">
        <v>121</v>
      </c>
      <c r="EO141" s="25" t="s">
        <v>121</v>
      </c>
      <c r="EP141" s="25" t="s">
        <v>121</v>
      </c>
      <c r="EQ141" s="25" t="s">
        <v>121</v>
      </c>
      <c r="ER141" s="25" t="s">
        <v>121</v>
      </c>
      <c r="ES141" s="25" t="s">
        <v>121</v>
      </c>
      <c r="ET141" s="25" t="s">
        <v>121</v>
      </c>
      <c r="EU141" s="25" t="s">
        <v>121</v>
      </c>
      <c r="EV141" s="25" t="s">
        <v>121</v>
      </c>
      <c r="EW141" s="25" t="s">
        <v>121</v>
      </c>
      <c r="EX141" s="25" t="s">
        <v>121</v>
      </c>
    </row>
    <row r="142" spans="1:154" s="25" customFormat="1" x14ac:dyDescent="0.25">
      <c r="A142" s="72">
        <v>142</v>
      </c>
      <c r="B142" s="466"/>
      <c r="C142" s="463"/>
      <c r="D142" s="334"/>
      <c r="E142" s="463"/>
      <c r="F142" s="417"/>
      <c r="G142" s="417"/>
      <c r="H142" s="418"/>
      <c r="I142" s="417"/>
      <c r="J142" s="417"/>
      <c r="K142" s="417"/>
      <c r="L142" s="418"/>
      <c r="M142" s="417"/>
      <c r="N142" s="417"/>
      <c r="O142" s="417"/>
      <c r="P142" s="418"/>
      <c r="Q142" s="418"/>
      <c r="R142" s="417"/>
      <c r="S142" s="417"/>
      <c r="T142" s="418"/>
      <c r="U142" s="418"/>
      <c r="V142" s="418"/>
      <c r="W142" s="417"/>
      <c r="X142" s="420"/>
      <c r="Y142" s="418"/>
      <c r="Z142" s="418"/>
      <c r="AA142" s="417"/>
      <c r="AB142" s="420"/>
      <c r="AC142" s="420"/>
      <c r="AD142" s="417"/>
      <c r="AE142" s="417"/>
      <c r="AF142" s="417"/>
      <c r="AG142" s="420"/>
      <c r="AH142" s="417"/>
      <c r="AI142" s="417"/>
      <c r="AJ142" s="417"/>
      <c r="AK142" s="417"/>
      <c r="AL142" s="417"/>
      <c r="AM142" s="417"/>
      <c r="AN142" s="417"/>
      <c r="AO142" s="417"/>
      <c r="AP142" s="418"/>
      <c r="AQ142" s="417"/>
      <c r="AR142" s="417"/>
      <c r="AS142" s="420"/>
      <c r="AT142" s="420"/>
      <c r="AU142" s="420"/>
      <c r="AV142" s="420"/>
      <c r="AW142" s="420"/>
      <c r="AX142" s="420"/>
      <c r="AY142" s="417"/>
      <c r="AZ142" s="420"/>
      <c r="BA142" s="420"/>
      <c r="BB142" s="420"/>
      <c r="BC142" s="420"/>
      <c r="BD142" s="420"/>
      <c r="BE142" s="420"/>
      <c r="BF142" s="420"/>
      <c r="BG142" s="420"/>
      <c r="BH142" s="420"/>
      <c r="BI142" s="420"/>
      <c r="BJ142" s="420"/>
      <c r="BK142" s="420"/>
      <c r="BL142" s="420"/>
    </row>
    <row r="143" spans="1:154" s="25" customFormat="1" ht="8.1" customHeight="1" x14ac:dyDescent="0.25">
      <c r="A143" s="72">
        <v>143</v>
      </c>
      <c r="B143" s="69" t="s">
        <v>4</v>
      </c>
      <c r="C143" s="87" t="s">
        <v>121</v>
      </c>
      <c r="D143" s="56" t="s">
        <v>121</v>
      </c>
      <c r="E143" s="88" t="s">
        <v>121</v>
      </c>
      <c r="F143" s="56" t="s">
        <v>121</v>
      </c>
      <c r="G143" s="56" t="s">
        <v>121</v>
      </c>
      <c r="H143" s="56" t="s">
        <v>121</v>
      </c>
      <c r="I143" s="56" t="s">
        <v>121</v>
      </c>
      <c r="J143" s="56" t="s">
        <v>121</v>
      </c>
      <c r="K143" s="56" t="s">
        <v>121</v>
      </c>
      <c r="L143" s="56" t="s">
        <v>121</v>
      </c>
      <c r="M143" s="56" t="s">
        <v>121</v>
      </c>
      <c r="N143" s="56" t="s">
        <v>121</v>
      </c>
      <c r="O143" s="56" t="s">
        <v>121</v>
      </c>
      <c r="P143" s="56" t="s">
        <v>121</v>
      </c>
      <c r="Q143" s="56" t="s">
        <v>121</v>
      </c>
      <c r="R143" s="56" t="s">
        <v>121</v>
      </c>
      <c r="S143" s="56" t="s">
        <v>121</v>
      </c>
      <c r="T143" s="56" t="s">
        <v>121</v>
      </c>
      <c r="U143" s="56" t="s">
        <v>121</v>
      </c>
      <c r="V143" s="56" t="s">
        <v>121</v>
      </c>
      <c r="W143" s="56" t="s">
        <v>121</v>
      </c>
      <c r="X143" s="56" t="s">
        <v>121</v>
      </c>
      <c r="Y143" s="56" t="s">
        <v>121</v>
      </c>
      <c r="Z143" s="56" t="s">
        <v>121</v>
      </c>
      <c r="AA143" s="56" t="s">
        <v>121</v>
      </c>
      <c r="AB143" s="56" t="s">
        <v>121</v>
      </c>
      <c r="AC143" s="56" t="s">
        <v>121</v>
      </c>
      <c r="AD143" s="56" t="s">
        <v>121</v>
      </c>
      <c r="AE143" s="56" t="s">
        <v>121</v>
      </c>
      <c r="AF143" s="56" t="s">
        <v>121</v>
      </c>
      <c r="AG143" s="56" t="s">
        <v>121</v>
      </c>
      <c r="AH143" s="56" t="s">
        <v>121</v>
      </c>
      <c r="AI143" s="56" t="s">
        <v>121</v>
      </c>
      <c r="AJ143" s="56" t="s">
        <v>121</v>
      </c>
      <c r="AK143" s="56" t="s">
        <v>121</v>
      </c>
      <c r="AL143" s="56" t="s">
        <v>121</v>
      </c>
      <c r="AM143" s="56" t="s">
        <v>121</v>
      </c>
      <c r="AN143" s="56" t="s">
        <v>121</v>
      </c>
      <c r="AO143" s="56" t="s">
        <v>121</v>
      </c>
      <c r="AP143" s="56" t="s">
        <v>121</v>
      </c>
      <c r="AQ143" s="56" t="s">
        <v>121</v>
      </c>
      <c r="AR143" s="56" t="s">
        <v>121</v>
      </c>
      <c r="AS143" s="56" t="s">
        <v>121</v>
      </c>
      <c r="AT143" s="56" t="s">
        <v>121</v>
      </c>
      <c r="AU143" s="56" t="s">
        <v>121</v>
      </c>
      <c r="AV143" s="56" t="s">
        <v>121</v>
      </c>
      <c r="AW143" s="56" t="s">
        <v>121</v>
      </c>
      <c r="AX143" s="56" t="s">
        <v>121</v>
      </c>
      <c r="AY143" s="56" t="s">
        <v>121</v>
      </c>
      <c r="AZ143" s="69" t="s">
        <v>121</v>
      </c>
      <c r="BA143" s="25" t="s">
        <v>121</v>
      </c>
      <c r="BB143" s="25" t="s">
        <v>121</v>
      </c>
      <c r="BC143" s="25" t="s">
        <v>121</v>
      </c>
      <c r="BD143" s="25" t="s">
        <v>121</v>
      </c>
      <c r="BE143" s="25" t="s">
        <v>121</v>
      </c>
      <c r="BF143" s="25" t="s">
        <v>121</v>
      </c>
      <c r="BG143" s="25" t="s">
        <v>121</v>
      </c>
      <c r="BH143" s="25" t="s">
        <v>121</v>
      </c>
      <c r="BI143" s="25" t="s">
        <v>121</v>
      </c>
      <c r="BJ143" s="25" t="s">
        <v>121</v>
      </c>
      <c r="BK143" s="25" t="s">
        <v>121</v>
      </c>
      <c r="BL143" s="25" t="s">
        <v>121</v>
      </c>
      <c r="BM143" s="25" t="s">
        <v>121</v>
      </c>
      <c r="BN143" s="25" t="s">
        <v>121</v>
      </c>
      <c r="BO143" s="25" t="s">
        <v>121</v>
      </c>
      <c r="BP143" s="25" t="s">
        <v>121</v>
      </c>
      <c r="BQ143" s="25" t="s">
        <v>121</v>
      </c>
      <c r="BR143" s="25" t="s">
        <v>121</v>
      </c>
      <c r="BS143" s="25" t="s">
        <v>121</v>
      </c>
      <c r="BT143" s="25" t="s">
        <v>121</v>
      </c>
      <c r="BU143" s="25" t="s">
        <v>121</v>
      </c>
      <c r="BV143" s="25" t="s">
        <v>121</v>
      </c>
      <c r="BW143" s="25" t="s">
        <v>121</v>
      </c>
      <c r="BX143" s="25" t="s">
        <v>121</v>
      </c>
      <c r="BY143" s="25" t="s">
        <v>121</v>
      </c>
      <c r="BZ143" s="25" t="s">
        <v>121</v>
      </c>
      <c r="CA143" s="25" t="s">
        <v>121</v>
      </c>
      <c r="CB143" s="25" t="s">
        <v>121</v>
      </c>
      <c r="CC143" s="25" t="s">
        <v>121</v>
      </c>
      <c r="CD143" s="25" t="s">
        <v>121</v>
      </c>
      <c r="CE143" s="25" t="s">
        <v>121</v>
      </c>
      <c r="CF143" s="25" t="s">
        <v>121</v>
      </c>
      <c r="CG143" s="25" t="s">
        <v>121</v>
      </c>
      <c r="CH143" s="25" t="s">
        <v>121</v>
      </c>
      <c r="CI143" s="25" t="s">
        <v>121</v>
      </c>
      <c r="CJ143" s="25" t="s">
        <v>121</v>
      </c>
      <c r="CK143" s="25" t="s">
        <v>121</v>
      </c>
      <c r="CL143" s="25" t="s">
        <v>121</v>
      </c>
      <c r="CM143" s="25" t="s">
        <v>121</v>
      </c>
      <c r="CN143" s="25" t="s">
        <v>121</v>
      </c>
      <c r="CO143" s="25" t="s">
        <v>121</v>
      </c>
      <c r="CP143" s="25" t="s">
        <v>121</v>
      </c>
      <c r="CQ143" s="25" t="s">
        <v>121</v>
      </c>
      <c r="CR143" s="25" t="s">
        <v>121</v>
      </c>
      <c r="CS143" s="25" t="s">
        <v>121</v>
      </c>
      <c r="CT143" s="25" t="s">
        <v>121</v>
      </c>
      <c r="CU143" s="25" t="s">
        <v>121</v>
      </c>
      <c r="CV143" s="25" t="s">
        <v>121</v>
      </c>
      <c r="CW143" s="25" t="s">
        <v>121</v>
      </c>
      <c r="CX143" s="25" t="s">
        <v>121</v>
      </c>
      <c r="CY143" s="25" t="s">
        <v>121</v>
      </c>
      <c r="CZ143" s="25" t="s">
        <v>121</v>
      </c>
      <c r="DA143" s="25" t="s">
        <v>121</v>
      </c>
      <c r="DB143" s="25" t="s">
        <v>121</v>
      </c>
      <c r="DC143" s="25" t="s">
        <v>121</v>
      </c>
      <c r="DD143" s="25" t="s">
        <v>121</v>
      </c>
      <c r="DE143" s="25" t="s">
        <v>121</v>
      </c>
      <c r="DF143" s="25" t="s">
        <v>121</v>
      </c>
      <c r="DG143" s="25" t="s">
        <v>121</v>
      </c>
      <c r="DH143" s="25" t="s">
        <v>121</v>
      </c>
      <c r="DI143" s="25" t="s">
        <v>121</v>
      </c>
      <c r="DJ143" s="25" t="s">
        <v>121</v>
      </c>
      <c r="DK143" s="25" t="s">
        <v>121</v>
      </c>
      <c r="DL143" s="25" t="s">
        <v>121</v>
      </c>
      <c r="DM143" s="25" t="s">
        <v>121</v>
      </c>
      <c r="DN143" s="25" t="s">
        <v>121</v>
      </c>
      <c r="DO143" s="25" t="s">
        <v>121</v>
      </c>
      <c r="DP143" s="25" t="s">
        <v>121</v>
      </c>
      <c r="DQ143" s="25" t="s">
        <v>121</v>
      </c>
      <c r="DR143" s="25" t="s">
        <v>121</v>
      </c>
      <c r="DS143" s="25" t="s">
        <v>121</v>
      </c>
      <c r="DT143" s="25" t="s">
        <v>121</v>
      </c>
      <c r="DU143" s="25" t="s">
        <v>121</v>
      </c>
      <c r="DV143" s="25" t="s">
        <v>121</v>
      </c>
      <c r="DW143" s="25" t="s">
        <v>121</v>
      </c>
      <c r="DX143" s="25" t="s">
        <v>121</v>
      </c>
      <c r="DY143" s="25" t="s">
        <v>121</v>
      </c>
      <c r="DZ143" s="25" t="s">
        <v>121</v>
      </c>
      <c r="EA143" s="25" t="s">
        <v>121</v>
      </c>
      <c r="EB143" s="25" t="s">
        <v>121</v>
      </c>
      <c r="EC143" s="25" t="s">
        <v>121</v>
      </c>
      <c r="ED143" s="25" t="s">
        <v>121</v>
      </c>
      <c r="EE143" s="25" t="s">
        <v>121</v>
      </c>
      <c r="EF143" s="25" t="s">
        <v>121</v>
      </c>
      <c r="EG143" s="25" t="s">
        <v>121</v>
      </c>
      <c r="EH143" s="25" t="s">
        <v>121</v>
      </c>
      <c r="EI143" s="25" t="s">
        <v>121</v>
      </c>
      <c r="EJ143" s="25" t="s">
        <v>121</v>
      </c>
      <c r="EK143" s="25" t="s">
        <v>121</v>
      </c>
      <c r="EL143" s="25" t="s">
        <v>121</v>
      </c>
      <c r="EM143" s="25" t="s">
        <v>121</v>
      </c>
      <c r="EN143" s="25" t="s">
        <v>121</v>
      </c>
      <c r="EO143" s="25" t="s">
        <v>121</v>
      </c>
      <c r="EP143" s="25" t="s">
        <v>121</v>
      </c>
      <c r="EQ143" s="25" t="s">
        <v>121</v>
      </c>
      <c r="ER143" s="25" t="s">
        <v>121</v>
      </c>
      <c r="ES143" s="25" t="s">
        <v>121</v>
      </c>
      <c r="ET143" s="25" t="s">
        <v>121</v>
      </c>
      <c r="EU143" s="25" t="s">
        <v>121</v>
      </c>
      <c r="EV143" s="25" t="s">
        <v>121</v>
      </c>
      <c r="EW143" s="25" t="s">
        <v>121</v>
      </c>
      <c r="EX143" s="25" t="s">
        <v>121</v>
      </c>
    </row>
    <row r="144" spans="1:154" s="25" customFormat="1" ht="8.1" customHeight="1" x14ac:dyDescent="0.25">
      <c r="A144" s="72">
        <v>144</v>
      </c>
      <c r="B144" s="69" t="s">
        <v>243</v>
      </c>
      <c r="C144" s="91" t="s">
        <v>121</v>
      </c>
      <c r="D144" s="86" t="s">
        <v>121</v>
      </c>
      <c r="E144" s="92" t="s">
        <v>121</v>
      </c>
      <c r="F144" s="86" t="s">
        <v>121</v>
      </c>
      <c r="G144" s="86" t="s">
        <v>121</v>
      </c>
      <c r="H144" s="86" t="s">
        <v>121</v>
      </c>
      <c r="I144" s="86" t="s">
        <v>121</v>
      </c>
      <c r="J144" s="86" t="s">
        <v>121</v>
      </c>
      <c r="K144" s="86" t="s">
        <v>121</v>
      </c>
      <c r="L144" s="86" t="s">
        <v>121</v>
      </c>
      <c r="M144" s="86" t="s">
        <v>121</v>
      </c>
      <c r="N144" s="86" t="s">
        <v>121</v>
      </c>
      <c r="O144" s="86" t="s">
        <v>121</v>
      </c>
      <c r="P144" s="86" t="s">
        <v>121</v>
      </c>
      <c r="Q144" s="86" t="s">
        <v>121</v>
      </c>
      <c r="R144" s="86" t="s">
        <v>121</v>
      </c>
      <c r="S144" s="86" t="s">
        <v>121</v>
      </c>
      <c r="T144" s="86" t="s">
        <v>121</v>
      </c>
      <c r="U144" s="86" t="s">
        <v>121</v>
      </c>
      <c r="V144" s="86" t="s">
        <v>121</v>
      </c>
      <c r="W144" s="86" t="s">
        <v>121</v>
      </c>
      <c r="X144" s="86" t="s">
        <v>121</v>
      </c>
      <c r="Y144" s="86" t="s">
        <v>121</v>
      </c>
      <c r="Z144" s="86" t="s">
        <v>121</v>
      </c>
      <c r="AA144" s="86" t="s">
        <v>121</v>
      </c>
      <c r="AB144" s="86" t="s">
        <v>121</v>
      </c>
      <c r="AC144" s="86" t="s">
        <v>121</v>
      </c>
      <c r="AD144" s="86" t="s">
        <v>121</v>
      </c>
      <c r="AE144" s="86" t="s">
        <v>121</v>
      </c>
      <c r="AF144" s="86" t="s">
        <v>121</v>
      </c>
      <c r="AG144" s="86" t="s">
        <v>121</v>
      </c>
      <c r="AH144" s="86" t="s">
        <v>121</v>
      </c>
      <c r="AI144" s="86" t="s">
        <v>121</v>
      </c>
      <c r="AJ144" s="86" t="s">
        <v>121</v>
      </c>
      <c r="AK144" s="86" t="s">
        <v>121</v>
      </c>
      <c r="AL144" s="86" t="s">
        <v>121</v>
      </c>
      <c r="AM144" s="86" t="s">
        <v>121</v>
      </c>
      <c r="AN144" s="86" t="s">
        <v>121</v>
      </c>
      <c r="AO144" s="86" t="s">
        <v>121</v>
      </c>
      <c r="AP144" s="86" t="s">
        <v>121</v>
      </c>
      <c r="AQ144" s="86" t="s">
        <v>121</v>
      </c>
      <c r="AR144" s="86" t="s">
        <v>121</v>
      </c>
      <c r="AS144" s="86" t="s">
        <v>121</v>
      </c>
      <c r="AT144" s="86" t="s">
        <v>121</v>
      </c>
      <c r="AU144" s="86" t="s">
        <v>121</v>
      </c>
      <c r="AV144" s="86" t="s">
        <v>121</v>
      </c>
      <c r="AW144" s="86" t="s">
        <v>121</v>
      </c>
      <c r="AX144" s="86" t="s">
        <v>121</v>
      </c>
      <c r="AY144" s="86" t="s">
        <v>121</v>
      </c>
      <c r="AZ144" s="69" t="s">
        <v>121</v>
      </c>
      <c r="BA144" s="25" t="s">
        <v>121</v>
      </c>
      <c r="BB144" s="25" t="s">
        <v>121</v>
      </c>
      <c r="BC144" s="25" t="s">
        <v>121</v>
      </c>
      <c r="BD144" s="25" t="s">
        <v>121</v>
      </c>
      <c r="BE144" s="25" t="s">
        <v>121</v>
      </c>
      <c r="BF144" s="25" t="s">
        <v>121</v>
      </c>
      <c r="BG144" s="25" t="s">
        <v>121</v>
      </c>
      <c r="BH144" s="25" t="s">
        <v>121</v>
      </c>
      <c r="BI144" s="25" t="s">
        <v>121</v>
      </c>
      <c r="BJ144" s="25" t="s">
        <v>121</v>
      </c>
      <c r="BK144" s="25" t="s">
        <v>121</v>
      </c>
      <c r="BL144" s="25" t="s">
        <v>121</v>
      </c>
      <c r="BM144" s="25" t="s">
        <v>121</v>
      </c>
      <c r="BN144" s="25" t="s">
        <v>121</v>
      </c>
      <c r="BO144" s="25" t="s">
        <v>121</v>
      </c>
      <c r="BP144" s="25" t="s">
        <v>121</v>
      </c>
      <c r="BQ144" s="25" t="s">
        <v>121</v>
      </c>
      <c r="BR144" s="25" t="s">
        <v>121</v>
      </c>
      <c r="BS144" s="25" t="s">
        <v>121</v>
      </c>
      <c r="BT144" s="25" t="s">
        <v>121</v>
      </c>
      <c r="BU144" s="25" t="s">
        <v>121</v>
      </c>
      <c r="BV144" s="25" t="s">
        <v>121</v>
      </c>
      <c r="BW144" s="25" t="s">
        <v>121</v>
      </c>
      <c r="BX144" s="25" t="s">
        <v>121</v>
      </c>
      <c r="BY144" s="25" t="s">
        <v>121</v>
      </c>
      <c r="BZ144" s="25" t="s">
        <v>121</v>
      </c>
      <c r="CA144" s="25" t="s">
        <v>121</v>
      </c>
      <c r="CB144" s="25" t="s">
        <v>121</v>
      </c>
      <c r="CC144" s="25" t="s">
        <v>121</v>
      </c>
      <c r="CD144" s="25" t="s">
        <v>121</v>
      </c>
      <c r="CE144" s="25" t="s">
        <v>121</v>
      </c>
      <c r="CF144" s="25" t="s">
        <v>121</v>
      </c>
      <c r="CG144" s="25" t="s">
        <v>121</v>
      </c>
      <c r="CH144" s="25" t="s">
        <v>121</v>
      </c>
      <c r="CI144" s="25" t="s">
        <v>121</v>
      </c>
      <c r="CJ144" s="25" t="s">
        <v>121</v>
      </c>
      <c r="CK144" s="25" t="s">
        <v>121</v>
      </c>
      <c r="CL144" s="25" t="s">
        <v>121</v>
      </c>
      <c r="CM144" s="25" t="s">
        <v>121</v>
      </c>
      <c r="CN144" s="25" t="s">
        <v>121</v>
      </c>
      <c r="CO144" s="25" t="s">
        <v>121</v>
      </c>
      <c r="CP144" s="25" t="s">
        <v>121</v>
      </c>
      <c r="CQ144" s="25" t="s">
        <v>121</v>
      </c>
      <c r="CR144" s="25" t="s">
        <v>121</v>
      </c>
      <c r="CS144" s="25" t="s">
        <v>121</v>
      </c>
      <c r="CT144" s="25" t="s">
        <v>121</v>
      </c>
      <c r="CU144" s="25" t="s">
        <v>121</v>
      </c>
      <c r="CV144" s="25" t="s">
        <v>121</v>
      </c>
      <c r="CW144" s="25" t="s">
        <v>121</v>
      </c>
      <c r="CX144" s="25" t="s">
        <v>121</v>
      </c>
      <c r="CY144" s="25" t="s">
        <v>121</v>
      </c>
      <c r="CZ144" s="25" t="s">
        <v>121</v>
      </c>
      <c r="DA144" s="25" t="s">
        <v>121</v>
      </c>
      <c r="DB144" s="25" t="s">
        <v>121</v>
      </c>
      <c r="DC144" s="25" t="s">
        <v>121</v>
      </c>
      <c r="DD144" s="25" t="s">
        <v>121</v>
      </c>
      <c r="DE144" s="25" t="s">
        <v>121</v>
      </c>
      <c r="DF144" s="25" t="s">
        <v>121</v>
      </c>
      <c r="DG144" s="25" t="s">
        <v>121</v>
      </c>
      <c r="DH144" s="25" t="s">
        <v>121</v>
      </c>
      <c r="DI144" s="25" t="s">
        <v>121</v>
      </c>
      <c r="DJ144" s="25" t="s">
        <v>121</v>
      </c>
      <c r="DK144" s="25" t="s">
        <v>121</v>
      </c>
      <c r="DL144" s="25" t="s">
        <v>121</v>
      </c>
      <c r="DM144" s="25" t="s">
        <v>121</v>
      </c>
      <c r="DN144" s="25" t="s">
        <v>121</v>
      </c>
      <c r="DO144" s="25" t="s">
        <v>121</v>
      </c>
      <c r="DP144" s="25" t="s">
        <v>121</v>
      </c>
      <c r="DQ144" s="25" t="s">
        <v>121</v>
      </c>
      <c r="DR144" s="25" t="s">
        <v>121</v>
      </c>
      <c r="DS144" s="25" t="s">
        <v>121</v>
      </c>
      <c r="DT144" s="25" t="s">
        <v>121</v>
      </c>
      <c r="DU144" s="25" t="s">
        <v>121</v>
      </c>
      <c r="DV144" s="25" t="s">
        <v>121</v>
      </c>
      <c r="DW144" s="25" t="s">
        <v>121</v>
      </c>
      <c r="DX144" s="25" t="s">
        <v>121</v>
      </c>
      <c r="DY144" s="25" t="s">
        <v>121</v>
      </c>
      <c r="DZ144" s="25" t="s">
        <v>121</v>
      </c>
      <c r="EA144" s="25" t="s">
        <v>121</v>
      </c>
      <c r="EB144" s="25" t="s">
        <v>121</v>
      </c>
      <c r="EC144" s="25" t="s">
        <v>121</v>
      </c>
      <c r="ED144" s="25" t="s">
        <v>121</v>
      </c>
      <c r="EE144" s="25" t="s">
        <v>121</v>
      </c>
      <c r="EF144" s="25" t="s">
        <v>121</v>
      </c>
      <c r="EG144" s="25" t="s">
        <v>121</v>
      </c>
      <c r="EH144" s="25" t="s">
        <v>121</v>
      </c>
      <c r="EI144" s="25" t="s">
        <v>121</v>
      </c>
      <c r="EJ144" s="25" t="s">
        <v>121</v>
      </c>
      <c r="EK144" s="25" t="s">
        <v>121</v>
      </c>
      <c r="EL144" s="25" t="s">
        <v>121</v>
      </c>
      <c r="EM144" s="25" t="s">
        <v>121</v>
      </c>
      <c r="EN144" s="25" t="s">
        <v>121</v>
      </c>
      <c r="EO144" s="25" t="s">
        <v>121</v>
      </c>
      <c r="EP144" s="25" t="s">
        <v>121</v>
      </c>
      <c r="EQ144" s="25" t="s">
        <v>121</v>
      </c>
      <c r="ER144" s="25" t="s">
        <v>121</v>
      </c>
      <c r="ES144" s="25" t="s">
        <v>121</v>
      </c>
      <c r="ET144" s="25" t="s">
        <v>121</v>
      </c>
      <c r="EU144" s="25" t="s">
        <v>121</v>
      </c>
      <c r="EV144" s="25" t="s">
        <v>121</v>
      </c>
      <c r="EW144" s="25" t="s">
        <v>121</v>
      </c>
      <c r="EX144" s="25" t="s">
        <v>121</v>
      </c>
    </row>
    <row r="145" spans="1:154" s="25" customFormat="1" x14ac:dyDescent="0.25">
      <c r="A145" s="72">
        <v>145</v>
      </c>
      <c r="B145" s="68" t="s">
        <v>194</v>
      </c>
      <c r="C145" s="91">
        <f ca="1">OFFSET($E$7,$A145-$A$7,1,1,1)/OFFSET($E$7,$A145-$A$7,2,1,1)-1</f>
        <v>7.1787508973437664E-3</v>
      </c>
      <c r="D145" s="86"/>
      <c r="E145" s="92">
        <f ca="1">OFFSET($E$7,$A145-$A$7,1,1,1)/OFFSET($E$7,$A145-$A$7,5,1,1)-1</f>
        <v>0.13249538745387457</v>
      </c>
      <c r="F145" s="147">
        <f t="shared" ref="F145:P145" si="8">F73</f>
        <v>19642</v>
      </c>
      <c r="G145" s="147">
        <f t="shared" si="8"/>
        <v>19502</v>
      </c>
      <c r="H145" s="147">
        <f t="shared" si="8"/>
        <v>19928</v>
      </c>
      <c r="I145" s="147">
        <f t="shared" si="8"/>
        <v>19347</v>
      </c>
      <c r="J145" s="147">
        <f t="shared" si="8"/>
        <v>17344</v>
      </c>
      <c r="K145" s="147">
        <f t="shared" si="8"/>
        <v>16664</v>
      </c>
      <c r="L145" s="147">
        <f t="shared" si="8"/>
        <v>17202</v>
      </c>
      <c r="M145" s="147">
        <f t="shared" si="8"/>
        <v>16077</v>
      </c>
      <c r="N145" s="147">
        <f t="shared" si="8"/>
        <v>12660</v>
      </c>
      <c r="O145" s="147">
        <f t="shared" si="8"/>
        <v>10886</v>
      </c>
      <c r="P145" s="147">
        <f t="shared" si="8"/>
        <v>11209</v>
      </c>
      <c r="Q145" s="405"/>
      <c r="R145" s="405"/>
      <c r="S145" s="405"/>
      <c r="T145" s="405"/>
      <c r="U145" s="147">
        <v>7954</v>
      </c>
      <c r="V145" s="147">
        <v>7057</v>
      </c>
      <c r="W145" s="147">
        <v>6630.683</v>
      </c>
      <c r="X145" s="147">
        <v>6466</v>
      </c>
      <c r="Y145" s="147">
        <v>7190.4130000000005</v>
      </c>
      <c r="Z145" s="147">
        <v>6040.4239999999991</v>
      </c>
      <c r="AA145" s="147">
        <v>6057.5580000000009</v>
      </c>
      <c r="AB145" s="147">
        <v>6235.6049999999996</v>
      </c>
      <c r="AC145" s="147">
        <v>6367.3350000000028</v>
      </c>
      <c r="AD145" s="147">
        <v>5856.3730000000032</v>
      </c>
      <c r="AE145" s="147">
        <v>5321.3699999999981</v>
      </c>
      <c r="AF145" s="147">
        <v>5736.3910000000005</v>
      </c>
      <c r="AG145" s="147">
        <v>6065.8020000000033</v>
      </c>
      <c r="AH145" s="147">
        <v>5519.4489999999969</v>
      </c>
      <c r="AI145" s="147">
        <v>5256.1719999999996</v>
      </c>
      <c r="AJ145" s="147">
        <v>5053.8419999999996</v>
      </c>
      <c r="AK145" s="22">
        <v>5715.9689999999946</v>
      </c>
      <c r="AL145" s="22">
        <v>5148.300000000002</v>
      </c>
      <c r="AM145" s="22">
        <v>4339.6529999999984</v>
      </c>
      <c r="AN145" s="22">
        <v>4453.5990000000011</v>
      </c>
      <c r="AO145" s="22">
        <v>5850.6119999999992</v>
      </c>
      <c r="AP145" s="22">
        <v>5480.3540000000021</v>
      </c>
      <c r="AQ145" s="22">
        <v>5136.962999999997</v>
      </c>
      <c r="AR145" s="22">
        <v>4889.6530000000012</v>
      </c>
      <c r="AS145" s="22">
        <v>4991.746000000001</v>
      </c>
      <c r="AT145" s="22">
        <v>3925.011999999997</v>
      </c>
      <c r="AU145" s="22">
        <v>3975.2970000000005</v>
      </c>
      <c r="AV145" s="22">
        <v>3977.694</v>
      </c>
      <c r="AW145" s="22">
        <v>5396.8910000000033</v>
      </c>
      <c r="AX145" s="22">
        <v>4343.1740000000009</v>
      </c>
      <c r="AY145" s="22">
        <v>4291.7419999999993</v>
      </c>
      <c r="AZ145" s="22">
        <v>3967.893</v>
      </c>
      <c r="BA145" s="22">
        <v>3704.6210000000024</v>
      </c>
      <c r="BB145" s="22">
        <v>3293.0639999999999</v>
      </c>
      <c r="BC145" s="22">
        <v>3054.6970000000001</v>
      </c>
      <c r="BD145" s="22">
        <v>2890.64</v>
      </c>
      <c r="BE145" s="22">
        <v>3013.8680000000008</v>
      </c>
      <c r="BF145" s="22">
        <v>2821.4440000000004</v>
      </c>
      <c r="BG145" s="22">
        <v>2949.1759999999995</v>
      </c>
      <c r="BH145" s="22">
        <v>2839.6120000000001</v>
      </c>
      <c r="BI145" s="22">
        <v>3204.7299999999996</v>
      </c>
      <c r="BJ145" s="22">
        <v>3471.9549999999995</v>
      </c>
      <c r="BK145" s="22">
        <v>3378.1080000000002</v>
      </c>
      <c r="BL145" s="22">
        <v>3267.7710000000002</v>
      </c>
      <c r="BM145" s="25">
        <v>2910.3940000000007</v>
      </c>
      <c r="BN145" s="25">
        <v>3038.5910000000003</v>
      </c>
      <c r="BO145" s="25">
        <v>2796.0040000000004</v>
      </c>
      <c r="BP145" s="25">
        <v>3024.3710000000001</v>
      </c>
      <c r="BQ145" s="25" t="s">
        <v>121</v>
      </c>
      <c r="BR145" s="25" t="s">
        <v>121</v>
      </c>
      <c r="BS145" s="25" t="s">
        <v>121</v>
      </c>
      <c r="BT145" s="25" t="s">
        <v>121</v>
      </c>
      <c r="BU145" s="25" t="s">
        <v>121</v>
      </c>
      <c r="BV145" s="25" t="s">
        <v>121</v>
      </c>
      <c r="BW145" s="25" t="s">
        <v>121</v>
      </c>
      <c r="BX145" s="25" t="s">
        <v>121</v>
      </c>
      <c r="BY145" s="25" t="s">
        <v>121</v>
      </c>
      <c r="BZ145" s="25" t="s">
        <v>121</v>
      </c>
      <c r="CA145" s="25" t="s">
        <v>121</v>
      </c>
      <c r="CB145" s="25" t="s">
        <v>121</v>
      </c>
      <c r="CC145" s="25" t="s">
        <v>121</v>
      </c>
      <c r="CD145" s="25" t="s">
        <v>121</v>
      </c>
      <c r="CE145" s="25" t="s">
        <v>121</v>
      </c>
      <c r="CF145" s="25" t="s">
        <v>121</v>
      </c>
      <c r="CG145" s="25" t="s">
        <v>121</v>
      </c>
      <c r="CH145" s="25" t="s">
        <v>121</v>
      </c>
      <c r="CI145" s="25" t="s">
        <v>121</v>
      </c>
      <c r="CJ145" s="25" t="s">
        <v>121</v>
      </c>
      <c r="CK145" s="25" t="s">
        <v>121</v>
      </c>
      <c r="CL145" s="25" t="s">
        <v>121</v>
      </c>
      <c r="CM145" s="25" t="s">
        <v>121</v>
      </c>
      <c r="CN145" s="25" t="s">
        <v>121</v>
      </c>
      <c r="CO145" s="25" t="s">
        <v>121</v>
      </c>
      <c r="CP145" s="25" t="s">
        <v>121</v>
      </c>
      <c r="CQ145" s="25" t="s">
        <v>121</v>
      </c>
      <c r="CR145" s="25" t="s">
        <v>121</v>
      </c>
      <c r="CS145" s="25" t="s">
        <v>121</v>
      </c>
      <c r="CT145" s="25" t="s">
        <v>121</v>
      </c>
      <c r="CU145" s="25" t="s">
        <v>121</v>
      </c>
      <c r="CV145" s="25" t="s">
        <v>121</v>
      </c>
      <c r="CW145" s="25" t="s">
        <v>121</v>
      </c>
      <c r="CX145" s="25" t="s">
        <v>121</v>
      </c>
      <c r="CY145" s="25" t="s">
        <v>121</v>
      </c>
      <c r="CZ145" s="25" t="s">
        <v>121</v>
      </c>
      <c r="DA145" s="25" t="s">
        <v>121</v>
      </c>
      <c r="DB145" s="25" t="s">
        <v>121</v>
      </c>
      <c r="DC145" s="25" t="s">
        <v>121</v>
      </c>
      <c r="DD145" s="25" t="s">
        <v>121</v>
      </c>
      <c r="DE145" s="25" t="s">
        <v>121</v>
      </c>
      <c r="DF145" s="25" t="s">
        <v>121</v>
      </c>
      <c r="DG145" s="25" t="s">
        <v>121</v>
      </c>
      <c r="DH145" s="25" t="s">
        <v>121</v>
      </c>
      <c r="DI145" s="25" t="s">
        <v>121</v>
      </c>
      <c r="DJ145" s="25" t="s">
        <v>121</v>
      </c>
      <c r="DK145" s="25" t="s">
        <v>121</v>
      </c>
      <c r="DL145" s="25" t="s">
        <v>121</v>
      </c>
      <c r="DM145" s="25" t="s">
        <v>121</v>
      </c>
      <c r="DN145" s="25" t="s">
        <v>121</v>
      </c>
      <c r="DO145" s="25" t="s">
        <v>121</v>
      </c>
      <c r="DP145" s="25" t="s">
        <v>121</v>
      </c>
      <c r="DQ145" s="25" t="s">
        <v>121</v>
      </c>
      <c r="DR145" s="25" t="s">
        <v>121</v>
      </c>
      <c r="DS145" s="25" t="s">
        <v>121</v>
      </c>
      <c r="DT145" s="25" t="s">
        <v>121</v>
      </c>
      <c r="DU145" s="25" t="s">
        <v>121</v>
      </c>
      <c r="DV145" s="25" t="s">
        <v>121</v>
      </c>
      <c r="DW145" s="25" t="s">
        <v>121</v>
      </c>
      <c r="DX145" s="25" t="s">
        <v>121</v>
      </c>
      <c r="DY145" s="25" t="s">
        <v>121</v>
      </c>
      <c r="DZ145" s="25" t="s">
        <v>121</v>
      </c>
      <c r="EA145" s="25" t="s">
        <v>121</v>
      </c>
      <c r="EB145" s="25" t="s">
        <v>121</v>
      </c>
      <c r="EC145" s="25" t="s">
        <v>121</v>
      </c>
      <c r="ED145" s="25" t="s">
        <v>121</v>
      </c>
      <c r="EE145" s="25" t="s">
        <v>121</v>
      </c>
      <c r="EF145" s="25" t="s">
        <v>121</v>
      </c>
      <c r="EG145" s="25" t="s">
        <v>121</v>
      </c>
      <c r="EH145" s="25" t="s">
        <v>121</v>
      </c>
      <c r="EI145" s="25" t="s">
        <v>121</v>
      </c>
      <c r="EJ145" s="25" t="s">
        <v>121</v>
      </c>
      <c r="EK145" s="25" t="s">
        <v>121</v>
      </c>
      <c r="EL145" s="25" t="s">
        <v>121</v>
      </c>
      <c r="EM145" s="25" t="s">
        <v>121</v>
      </c>
      <c r="EN145" s="25" t="s">
        <v>121</v>
      </c>
      <c r="EO145" s="25" t="s">
        <v>121</v>
      </c>
      <c r="EP145" s="25" t="s">
        <v>121</v>
      </c>
      <c r="EQ145" s="25" t="s">
        <v>121</v>
      </c>
      <c r="ER145" s="25" t="s">
        <v>121</v>
      </c>
      <c r="ES145" s="25" t="s">
        <v>121</v>
      </c>
      <c r="ET145" s="25" t="s">
        <v>121</v>
      </c>
      <c r="EU145" s="25" t="s">
        <v>121</v>
      </c>
      <c r="EV145" s="25" t="s">
        <v>121</v>
      </c>
      <c r="EW145" s="25" t="s">
        <v>121</v>
      </c>
      <c r="EX145" s="25" t="s">
        <v>121</v>
      </c>
    </row>
    <row r="146" spans="1:154" s="25" customFormat="1" x14ac:dyDescent="0.25">
      <c r="A146" s="72">
        <v>146</v>
      </c>
      <c r="B146" s="68" t="s">
        <v>195</v>
      </c>
      <c r="C146" s="91">
        <f ca="1">OFFSET($E$7,$A146-$A$7,1,1,1)/OFFSET($E$7,$A146-$A$7,2,1,1)-1</f>
        <v>1.1263639563533934E-2</v>
      </c>
      <c r="D146" s="86"/>
      <c r="E146" s="92">
        <f ca="1">OFFSET($E$7,$A146-$A$7,1,1,1)/OFFSET($E$7,$A146-$A$7,5,1,1)-1</f>
        <v>-8.9670468948035542E-2</v>
      </c>
      <c r="F146" s="147">
        <f t="shared" ref="F146:P146" si="9">F80+F81</f>
        <v>2873</v>
      </c>
      <c r="G146" s="147">
        <f t="shared" si="9"/>
        <v>2841</v>
      </c>
      <c r="H146" s="147">
        <f t="shared" si="9"/>
        <v>2761</v>
      </c>
      <c r="I146" s="147">
        <f t="shared" si="9"/>
        <v>3075</v>
      </c>
      <c r="J146" s="147">
        <f t="shared" si="9"/>
        <v>3156</v>
      </c>
      <c r="K146" s="147">
        <f t="shared" si="9"/>
        <v>2709</v>
      </c>
      <c r="L146" s="147">
        <f t="shared" si="9"/>
        <v>2659</v>
      </c>
      <c r="M146" s="147">
        <f t="shared" si="9"/>
        <v>3057</v>
      </c>
      <c r="N146" s="147">
        <f t="shared" si="9"/>
        <v>2972</v>
      </c>
      <c r="O146" s="147">
        <f t="shared" si="9"/>
        <v>2892</v>
      </c>
      <c r="P146" s="147">
        <f t="shared" si="9"/>
        <v>3566</v>
      </c>
      <c r="Q146" s="405"/>
      <c r="R146" s="405"/>
      <c r="S146" s="405"/>
      <c r="T146" s="405"/>
      <c r="U146" s="147">
        <v>2600</v>
      </c>
      <c r="V146" s="147">
        <v>2196</v>
      </c>
      <c r="W146" s="147">
        <v>2308</v>
      </c>
      <c r="X146" s="147">
        <v>1905</v>
      </c>
      <c r="Y146" s="147">
        <v>2314.8670000000002</v>
      </c>
      <c r="Z146" s="147">
        <v>1900.001</v>
      </c>
      <c r="AA146" s="147">
        <v>1642.9629999999997</v>
      </c>
      <c r="AB146" s="147">
        <v>1682.1690000000001</v>
      </c>
      <c r="AC146" s="147">
        <v>1993.279000000002</v>
      </c>
      <c r="AD146" s="147">
        <v>1783.5289999999995</v>
      </c>
      <c r="AE146" s="147">
        <v>1763.6629999999996</v>
      </c>
      <c r="AF146" s="147">
        <v>1278.4550000000004</v>
      </c>
      <c r="AG146" s="147">
        <v>1496.1294999999991</v>
      </c>
      <c r="AH146" s="147">
        <v>1325.6214999999997</v>
      </c>
      <c r="AI146" s="147">
        <v>1186.0674999999997</v>
      </c>
      <c r="AJ146" s="147">
        <v>1387.7939999999999</v>
      </c>
      <c r="AK146" s="22">
        <v>1465.3149999999998</v>
      </c>
      <c r="AL146" s="22">
        <v>1312.0229999999997</v>
      </c>
      <c r="AM146" s="22">
        <v>1262.5310000000002</v>
      </c>
      <c r="AN146" s="22">
        <v>1171.204</v>
      </c>
      <c r="AO146" s="22">
        <v>1225.2210000000005</v>
      </c>
      <c r="AP146" s="22">
        <v>1178.5199999999998</v>
      </c>
      <c r="AQ146" s="22">
        <v>1167.8030000000001</v>
      </c>
      <c r="AR146" s="22">
        <v>1127.9749999999999</v>
      </c>
      <c r="AS146" s="22">
        <v>1144.3679999999995</v>
      </c>
      <c r="AT146" s="22">
        <v>1034.4169999999999</v>
      </c>
      <c r="AU146" s="22">
        <v>1026.8050000000001</v>
      </c>
      <c r="AV146" s="22">
        <v>836.72</v>
      </c>
      <c r="AW146" s="22">
        <v>1072.3850000000002</v>
      </c>
      <c r="AX146" s="22">
        <v>962.30100000000016</v>
      </c>
      <c r="AY146" s="22">
        <v>896.327</v>
      </c>
      <c r="AZ146" s="22">
        <v>789.62900000000002</v>
      </c>
      <c r="BA146" s="22">
        <v>800.45600000000024</v>
      </c>
      <c r="BB146" s="22">
        <v>651.54200000000003</v>
      </c>
      <c r="BC146" s="22">
        <v>631.43499999999995</v>
      </c>
      <c r="BD146" s="22">
        <v>594.43500000000006</v>
      </c>
      <c r="BE146" s="22">
        <v>704.5310000000004</v>
      </c>
      <c r="BF146" s="22">
        <v>608.84400000000005</v>
      </c>
      <c r="BG146" s="22">
        <v>553.69500000000005</v>
      </c>
      <c r="BH146" s="22">
        <v>482.05899999999997</v>
      </c>
      <c r="BI146" s="22">
        <v>587.74</v>
      </c>
      <c r="BJ146" s="22">
        <v>525.06299999999999</v>
      </c>
      <c r="BK146" s="22">
        <v>499.7</v>
      </c>
      <c r="BL146" s="22">
        <v>439.13100000000003</v>
      </c>
      <c r="BM146" s="25">
        <v>534.62899999999991</v>
      </c>
      <c r="BN146" s="25">
        <v>416.99899999999997</v>
      </c>
      <c r="BO146" s="25">
        <v>426.3</v>
      </c>
      <c r="BP146" s="25">
        <v>337.197</v>
      </c>
      <c r="BQ146" s="25" t="s">
        <v>121</v>
      </c>
      <c r="BR146" s="25" t="s">
        <v>121</v>
      </c>
      <c r="BS146" s="25" t="s">
        <v>121</v>
      </c>
      <c r="BT146" s="25" t="s">
        <v>121</v>
      </c>
      <c r="BU146" s="25" t="s">
        <v>121</v>
      </c>
      <c r="BV146" s="25" t="s">
        <v>121</v>
      </c>
      <c r="BW146" s="25" t="s">
        <v>121</v>
      </c>
      <c r="BX146" s="25" t="s">
        <v>121</v>
      </c>
      <c r="BY146" s="25" t="s">
        <v>121</v>
      </c>
      <c r="BZ146" s="25" t="s">
        <v>121</v>
      </c>
      <c r="CA146" s="25" t="s">
        <v>121</v>
      </c>
      <c r="CB146" s="25" t="s">
        <v>121</v>
      </c>
      <c r="CC146" s="25" t="s">
        <v>121</v>
      </c>
      <c r="CD146" s="25" t="s">
        <v>121</v>
      </c>
      <c r="CE146" s="25" t="s">
        <v>121</v>
      </c>
      <c r="CF146" s="25" t="s">
        <v>121</v>
      </c>
      <c r="CG146" s="25" t="s">
        <v>121</v>
      </c>
      <c r="CH146" s="25" t="s">
        <v>121</v>
      </c>
      <c r="CI146" s="25" t="s">
        <v>121</v>
      </c>
      <c r="CJ146" s="25" t="s">
        <v>121</v>
      </c>
      <c r="CK146" s="25" t="s">
        <v>121</v>
      </c>
      <c r="CL146" s="25" t="s">
        <v>121</v>
      </c>
      <c r="CM146" s="25" t="s">
        <v>121</v>
      </c>
      <c r="CN146" s="25" t="s">
        <v>121</v>
      </c>
      <c r="CO146" s="25" t="s">
        <v>121</v>
      </c>
      <c r="CP146" s="25" t="s">
        <v>121</v>
      </c>
      <c r="CQ146" s="25" t="s">
        <v>121</v>
      </c>
      <c r="CR146" s="25" t="s">
        <v>121</v>
      </c>
      <c r="CS146" s="25" t="s">
        <v>121</v>
      </c>
      <c r="CT146" s="25" t="s">
        <v>121</v>
      </c>
      <c r="CU146" s="25" t="s">
        <v>121</v>
      </c>
      <c r="CV146" s="25" t="s">
        <v>121</v>
      </c>
      <c r="CW146" s="25" t="s">
        <v>121</v>
      </c>
      <c r="CX146" s="25" t="s">
        <v>121</v>
      </c>
      <c r="CY146" s="25" t="s">
        <v>121</v>
      </c>
      <c r="CZ146" s="25" t="s">
        <v>121</v>
      </c>
      <c r="DA146" s="25" t="s">
        <v>121</v>
      </c>
      <c r="DB146" s="25" t="s">
        <v>121</v>
      </c>
      <c r="DC146" s="25" t="s">
        <v>121</v>
      </c>
      <c r="DD146" s="25" t="s">
        <v>121</v>
      </c>
      <c r="DE146" s="25" t="s">
        <v>121</v>
      </c>
      <c r="DF146" s="25" t="s">
        <v>121</v>
      </c>
      <c r="DG146" s="25" t="s">
        <v>121</v>
      </c>
      <c r="DH146" s="25" t="s">
        <v>121</v>
      </c>
      <c r="DI146" s="25" t="s">
        <v>121</v>
      </c>
      <c r="DJ146" s="25" t="s">
        <v>121</v>
      </c>
      <c r="DK146" s="25" t="s">
        <v>121</v>
      </c>
      <c r="DL146" s="25" t="s">
        <v>121</v>
      </c>
      <c r="DM146" s="25" t="s">
        <v>121</v>
      </c>
      <c r="DN146" s="25" t="s">
        <v>121</v>
      </c>
      <c r="DO146" s="25" t="s">
        <v>121</v>
      </c>
      <c r="DP146" s="25" t="s">
        <v>121</v>
      </c>
      <c r="DQ146" s="25" t="s">
        <v>121</v>
      </c>
      <c r="DR146" s="25" t="s">
        <v>121</v>
      </c>
      <c r="DS146" s="25" t="s">
        <v>121</v>
      </c>
      <c r="DT146" s="25" t="s">
        <v>121</v>
      </c>
      <c r="DU146" s="25" t="s">
        <v>121</v>
      </c>
      <c r="DV146" s="25" t="s">
        <v>121</v>
      </c>
      <c r="DW146" s="25" t="s">
        <v>121</v>
      </c>
      <c r="DX146" s="25" t="s">
        <v>121</v>
      </c>
      <c r="DY146" s="25" t="s">
        <v>121</v>
      </c>
      <c r="DZ146" s="25" t="s">
        <v>121</v>
      </c>
      <c r="EA146" s="25" t="s">
        <v>121</v>
      </c>
      <c r="EB146" s="25" t="s">
        <v>121</v>
      </c>
      <c r="EC146" s="25" t="s">
        <v>121</v>
      </c>
      <c r="ED146" s="25" t="s">
        <v>121</v>
      </c>
      <c r="EE146" s="25" t="s">
        <v>121</v>
      </c>
      <c r="EF146" s="25" t="s">
        <v>121</v>
      </c>
      <c r="EG146" s="25" t="s">
        <v>121</v>
      </c>
      <c r="EH146" s="25" t="s">
        <v>121</v>
      </c>
      <c r="EI146" s="25" t="s">
        <v>121</v>
      </c>
      <c r="EJ146" s="25" t="s">
        <v>121</v>
      </c>
      <c r="EK146" s="25" t="s">
        <v>121</v>
      </c>
      <c r="EL146" s="25" t="s">
        <v>121</v>
      </c>
      <c r="EM146" s="25" t="s">
        <v>121</v>
      </c>
      <c r="EN146" s="25" t="s">
        <v>121</v>
      </c>
      <c r="EO146" s="25" t="s">
        <v>121</v>
      </c>
      <c r="EP146" s="25" t="s">
        <v>121</v>
      </c>
      <c r="EQ146" s="25" t="s">
        <v>121</v>
      </c>
      <c r="ER146" s="25" t="s">
        <v>121</v>
      </c>
      <c r="ES146" s="25" t="s">
        <v>121</v>
      </c>
      <c r="ET146" s="25" t="s">
        <v>121</v>
      </c>
      <c r="EU146" s="25" t="s">
        <v>121</v>
      </c>
      <c r="EV146" s="25" t="s">
        <v>121</v>
      </c>
      <c r="EW146" s="25" t="s">
        <v>121</v>
      </c>
      <c r="EX146" s="25" t="s">
        <v>121</v>
      </c>
    </row>
    <row r="147" spans="1:154" s="25" customFormat="1" x14ac:dyDescent="0.25">
      <c r="A147" s="72">
        <v>147</v>
      </c>
      <c r="B147" s="68" t="s">
        <v>439</v>
      </c>
      <c r="C147" s="91">
        <f ca="1">OFFSET($E$7,$A147-$A$7,1,1,1)/OFFSET($E$7,$A147-$A$7,2,1,1)-1</f>
        <v>-0.6271789398790466</v>
      </c>
      <c r="D147" s="86"/>
      <c r="E147" s="92">
        <f ca="1">OFFSET($E$7,$A147-$A$7,1,1,1)/OFFSET($E$7,$A147-$A$7,5,1,1)-1</f>
        <v>-0.6294200848656295</v>
      </c>
      <c r="F147" s="147">
        <f>F77+F78+F79+F95+1838</f>
        <v>1048</v>
      </c>
      <c r="G147" s="147">
        <f t="shared" ref="G147:P147" si="10">G77+G78+G79+G95</f>
        <v>2811</v>
      </c>
      <c r="H147" s="147">
        <f t="shared" si="10"/>
        <v>2318</v>
      </c>
      <c r="I147" s="147">
        <f t="shared" si="10"/>
        <v>3273</v>
      </c>
      <c r="J147" s="147">
        <f t="shared" si="10"/>
        <v>2828</v>
      </c>
      <c r="K147" s="147">
        <f t="shared" si="10"/>
        <v>2588</v>
      </c>
      <c r="L147" s="147">
        <f t="shared" si="10"/>
        <v>2207</v>
      </c>
      <c r="M147" s="147">
        <f t="shared" si="10"/>
        <v>1065</v>
      </c>
      <c r="N147" s="147">
        <f t="shared" si="10"/>
        <v>1530</v>
      </c>
      <c r="O147" s="147">
        <f t="shared" si="10"/>
        <v>1789</v>
      </c>
      <c r="P147" s="147">
        <f t="shared" si="10"/>
        <v>5886</v>
      </c>
      <c r="Q147" s="405"/>
      <c r="R147" s="405"/>
      <c r="S147" s="405"/>
      <c r="T147" s="405"/>
      <c r="U147" s="147">
        <v>2010</v>
      </c>
      <c r="V147" s="147">
        <v>1203</v>
      </c>
      <c r="W147" s="147">
        <v>1538</v>
      </c>
      <c r="X147" s="147">
        <v>583</v>
      </c>
      <c r="Y147" s="147">
        <v>1549.1009999999999</v>
      </c>
      <c r="Z147" s="147">
        <v>565.30500000000018</v>
      </c>
      <c r="AA147" s="147">
        <v>427.82899999999995</v>
      </c>
      <c r="AB147" s="147">
        <v>-25.234999999999999</v>
      </c>
      <c r="AC147" s="147">
        <v>157.8850000000001</v>
      </c>
      <c r="AD147" s="147">
        <v>-421.09900000000005</v>
      </c>
      <c r="AE147" s="147">
        <v>589.8649999999999</v>
      </c>
      <c r="AF147" s="147">
        <v>-92.945000000000007</v>
      </c>
      <c r="AG147" s="147">
        <v>1616.1580000000001</v>
      </c>
      <c r="AH147" s="147">
        <v>509.76200000000017</v>
      </c>
      <c r="AI147" s="147">
        <v>1402.4479999999996</v>
      </c>
      <c r="AJ147" s="147">
        <v>296.29899999999998</v>
      </c>
      <c r="AK147" s="147">
        <v>582.49600000000066</v>
      </c>
      <c r="AL147" s="147">
        <v>695.5439999999976</v>
      </c>
      <c r="AM147" s="147">
        <v>2342.1730000000007</v>
      </c>
      <c r="AN147" s="147">
        <v>1426.402</v>
      </c>
      <c r="AO147" s="147">
        <v>402.22700000000009</v>
      </c>
      <c r="AP147" s="147">
        <v>853.53099999999927</v>
      </c>
      <c r="AQ147" s="147">
        <v>1038.6670000000008</v>
      </c>
      <c r="AR147" s="147">
        <v>891.47999999999956</v>
      </c>
      <c r="AS147" s="147">
        <v>1652.751000000002</v>
      </c>
      <c r="AT147" s="147">
        <v>2032.561999999999</v>
      </c>
      <c r="AU147" s="147">
        <v>1517.3150000000001</v>
      </c>
      <c r="AV147" s="147">
        <v>501.88600000000002</v>
      </c>
      <c r="AW147" s="147">
        <v>-12.827999999999975</v>
      </c>
      <c r="AX147" s="147">
        <v>-168.1579999999999</v>
      </c>
      <c r="AY147" s="147">
        <v>-19.242000000000019</v>
      </c>
      <c r="AZ147" s="147">
        <v>-187.50999999999988</v>
      </c>
      <c r="BA147" s="147">
        <v>533.79399999999964</v>
      </c>
      <c r="BB147" s="147">
        <v>557.36900000000003</v>
      </c>
      <c r="BC147" s="147">
        <v>224.1730000000002</v>
      </c>
      <c r="BD147" s="147">
        <v>497.56100000000004</v>
      </c>
      <c r="BE147" s="147">
        <v>287.27299999999985</v>
      </c>
      <c r="BF147" s="147">
        <v>426.42300000000006</v>
      </c>
      <c r="BG147" s="147">
        <v>-164.93200000000002</v>
      </c>
      <c r="BH147" s="147">
        <v>280.89199999999994</v>
      </c>
      <c r="BI147" s="147">
        <v>348.12400000000008</v>
      </c>
      <c r="BJ147" s="147">
        <v>-972.38900000000001</v>
      </c>
      <c r="BK147" s="147">
        <v>26.192000000000004</v>
      </c>
      <c r="BL147" s="147">
        <v>514.58600000000001</v>
      </c>
      <c r="BM147" s="25">
        <v>49.49599999999991</v>
      </c>
      <c r="BN147" s="25">
        <v>117.81700000000019</v>
      </c>
      <c r="BO147" s="25">
        <v>-150.41799999999998</v>
      </c>
      <c r="BP147" s="25">
        <v>885.99800000000005</v>
      </c>
      <c r="BQ147" s="25" t="s">
        <v>121</v>
      </c>
      <c r="BR147" s="25" t="s">
        <v>121</v>
      </c>
      <c r="BS147" s="25" t="s">
        <v>121</v>
      </c>
      <c r="BT147" s="25" t="s">
        <v>121</v>
      </c>
      <c r="BU147" s="25" t="s">
        <v>121</v>
      </c>
      <c r="BV147" s="25" t="s">
        <v>121</v>
      </c>
      <c r="BW147" s="25" t="s">
        <v>121</v>
      </c>
      <c r="BX147" s="25" t="s">
        <v>121</v>
      </c>
      <c r="BY147" s="25" t="s">
        <v>121</v>
      </c>
      <c r="BZ147" s="25" t="s">
        <v>121</v>
      </c>
      <c r="CA147" s="25" t="s">
        <v>121</v>
      </c>
      <c r="CB147" s="25" t="s">
        <v>121</v>
      </c>
      <c r="CC147" s="25" t="s">
        <v>121</v>
      </c>
      <c r="CD147" s="25" t="s">
        <v>121</v>
      </c>
      <c r="CE147" s="25" t="s">
        <v>121</v>
      </c>
      <c r="CF147" s="25" t="s">
        <v>121</v>
      </c>
      <c r="CG147" s="25" t="s">
        <v>121</v>
      </c>
      <c r="CH147" s="25" t="s">
        <v>121</v>
      </c>
      <c r="CI147" s="25" t="s">
        <v>121</v>
      </c>
      <c r="CJ147" s="25" t="s">
        <v>121</v>
      </c>
      <c r="CK147" s="25" t="s">
        <v>121</v>
      </c>
      <c r="CL147" s="25" t="s">
        <v>121</v>
      </c>
      <c r="CM147" s="25" t="s">
        <v>121</v>
      </c>
      <c r="CN147" s="25" t="s">
        <v>121</v>
      </c>
      <c r="CO147" s="25" t="s">
        <v>121</v>
      </c>
      <c r="CP147" s="25" t="s">
        <v>121</v>
      </c>
      <c r="CQ147" s="25" t="s">
        <v>121</v>
      </c>
      <c r="CR147" s="25" t="s">
        <v>121</v>
      </c>
      <c r="CS147" s="25" t="s">
        <v>121</v>
      </c>
      <c r="CT147" s="25" t="s">
        <v>121</v>
      </c>
      <c r="CU147" s="25" t="s">
        <v>121</v>
      </c>
      <c r="CV147" s="25" t="s">
        <v>121</v>
      </c>
      <c r="CW147" s="25" t="s">
        <v>121</v>
      </c>
      <c r="CX147" s="25" t="s">
        <v>121</v>
      </c>
      <c r="CY147" s="25" t="s">
        <v>121</v>
      </c>
      <c r="CZ147" s="25" t="s">
        <v>121</v>
      </c>
      <c r="DA147" s="25" t="s">
        <v>121</v>
      </c>
      <c r="DB147" s="25" t="s">
        <v>121</v>
      </c>
      <c r="DC147" s="25" t="s">
        <v>121</v>
      </c>
      <c r="DD147" s="25" t="s">
        <v>121</v>
      </c>
      <c r="DE147" s="25" t="s">
        <v>121</v>
      </c>
      <c r="DF147" s="25" t="s">
        <v>121</v>
      </c>
      <c r="DG147" s="25" t="s">
        <v>121</v>
      </c>
      <c r="DH147" s="25" t="s">
        <v>121</v>
      </c>
      <c r="DI147" s="25" t="s">
        <v>121</v>
      </c>
      <c r="DJ147" s="25" t="s">
        <v>121</v>
      </c>
      <c r="DK147" s="25" t="s">
        <v>121</v>
      </c>
      <c r="DL147" s="25" t="s">
        <v>121</v>
      </c>
      <c r="DM147" s="25" t="s">
        <v>121</v>
      </c>
      <c r="DN147" s="25" t="s">
        <v>121</v>
      </c>
      <c r="DO147" s="25" t="s">
        <v>121</v>
      </c>
      <c r="DP147" s="25" t="s">
        <v>121</v>
      </c>
      <c r="DQ147" s="25" t="s">
        <v>121</v>
      </c>
      <c r="DR147" s="25" t="s">
        <v>121</v>
      </c>
      <c r="DS147" s="25" t="s">
        <v>121</v>
      </c>
      <c r="DT147" s="25" t="s">
        <v>121</v>
      </c>
      <c r="DU147" s="25" t="s">
        <v>121</v>
      </c>
      <c r="DV147" s="25" t="s">
        <v>121</v>
      </c>
      <c r="DW147" s="25" t="s">
        <v>121</v>
      </c>
      <c r="DX147" s="25" t="s">
        <v>121</v>
      </c>
      <c r="DY147" s="25" t="s">
        <v>121</v>
      </c>
      <c r="DZ147" s="25" t="s">
        <v>121</v>
      </c>
      <c r="EA147" s="25" t="s">
        <v>121</v>
      </c>
      <c r="EB147" s="25" t="s">
        <v>121</v>
      </c>
      <c r="EC147" s="25" t="s">
        <v>121</v>
      </c>
      <c r="ED147" s="25" t="s">
        <v>121</v>
      </c>
      <c r="EE147" s="25" t="s">
        <v>121</v>
      </c>
      <c r="EF147" s="25" t="s">
        <v>121</v>
      </c>
      <c r="EG147" s="25" t="s">
        <v>121</v>
      </c>
      <c r="EH147" s="25" t="s">
        <v>121</v>
      </c>
      <c r="EI147" s="25" t="s">
        <v>121</v>
      </c>
      <c r="EJ147" s="25" t="s">
        <v>121</v>
      </c>
      <c r="EK147" s="25" t="s">
        <v>121</v>
      </c>
      <c r="EL147" s="25" t="s">
        <v>121</v>
      </c>
      <c r="EM147" s="25" t="s">
        <v>121</v>
      </c>
      <c r="EN147" s="25" t="s">
        <v>121</v>
      </c>
      <c r="EO147" s="25" t="s">
        <v>121</v>
      </c>
      <c r="EP147" s="25" t="s">
        <v>121</v>
      </c>
      <c r="EQ147" s="25" t="s">
        <v>121</v>
      </c>
      <c r="ER147" s="25" t="s">
        <v>121</v>
      </c>
      <c r="ES147" s="25" t="s">
        <v>121</v>
      </c>
      <c r="ET147" s="25" t="s">
        <v>121</v>
      </c>
      <c r="EU147" s="25" t="s">
        <v>121</v>
      </c>
      <c r="EV147" s="25" t="s">
        <v>121</v>
      </c>
      <c r="EW147" s="25" t="s">
        <v>121</v>
      </c>
      <c r="EX147" s="25" t="s">
        <v>121</v>
      </c>
    </row>
    <row r="148" spans="1:154" s="25" customFormat="1" ht="6.95" customHeight="1" x14ac:dyDescent="0.25">
      <c r="A148" s="72">
        <v>148</v>
      </c>
      <c r="B148" s="68" t="s">
        <v>121</v>
      </c>
      <c r="C148" s="91"/>
      <c r="D148" s="86"/>
      <c r="E148" s="92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405"/>
      <c r="R148" s="405"/>
      <c r="S148" s="405"/>
      <c r="T148" s="405"/>
      <c r="U148" s="147" t="s">
        <v>121</v>
      </c>
      <c r="V148" s="147" t="s">
        <v>121</v>
      </c>
      <c r="W148" s="147" t="s">
        <v>121</v>
      </c>
      <c r="X148" s="147" t="s">
        <v>121</v>
      </c>
      <c r="Y148" s="147" t="s">
        <v>121</v>
      </c>
      <c r="Z148" s="147" t="s">
        <v>121</v>
      </c>
      <c r="AA148" s="147" t="s">
        <v>121</v>
      </c>
      <c r="AB148" s="147" t="s">
        <v>121</v>
      </c>
      <c r="AC148" s="147" t="s">
        <v>121</v>
      </c>
      <c r="AD148" s="147" t="s">
        <v>121</v>
      </c>
      <c r="AE148" s="147" t="s">
        <v>121</v>
      </c>
      <c r="AF148" s="147" t="s">
        <v>121</v>
      </c>
      <c r="AG148" s="147" t="s">
        <v>121</v>
      </c>
      <c r="AH148" s="147" t="s">
        <v>121</v>
      </c>
      <c r="AI148" s="147" t="s">
        <v>121</v>
      </c>
      <c r="AJ148" s="147" t="s">
        <v>121</v>
      </c>
      <c r="AK148" s="22" t="s">
        <v>121</v>
      </c>
      <c r="AL148" s="22" t="s">
        <v>121</v>
      </c>
      <c r="AM148" s="22" t="s">
        <v>121</v>
      </c>
      <c r="AN148" s="22" t="s">
        <v>121</v>
      </c>
      <c r="AO148" s="22" t="s">
        <v>121</v>
      </c>
      <c r="AP148" s="22" t="s">
        <v>121</v>
      </c>
      <c r="AQ148" s="22" t="s">
        <v>121</v>
      </c>
      <c r="AR148" s="22" t="s">
        <v>121</v>
      </c>
      <c r="AS148" s="22" t="s">
        <v>121</v>
      </c>
      <c r="AT148" s="22" t="s">
        <v>121</v>
      </c>
      <c r="AU148" s="22" t="s">
        <v>121</v>
      </c>
      <c r="AV148" s="22" t="s">
        <v>121</v>
      </c>
      <c r="AW148" s="22" t="s">
        <v>121</v>
      </c>
      <c r="AX148" s="22" t="s">
        <v>121</v>
      </c>
      <c r="AY148" s="22" t="s">
        <v>121</v>
      </c>
      <c r="AZ148" s="22" t="s">
        <v>121</v>
      </c>
      <c r="BA148" s="22" t="s">
        <v>121</v>
      </c>
      <c r="BB148" s="22" t="s">
        <v>121</v>
      </c>
      <c r="BC148" s="22" t="s">
        <v>121</v>
      </c>
      <c r="BD148" s="22" t="s">
        <v>121</v>
      </c>
      <c r="BE148" s="22" t="s">
        <v>121</v>
      </c>
      <c r="BF148" s="22" t="s">
        <v>121</v>
      </c>
      <c r="BG148" s="22" t="s">
        <v>121</v>
      </c>
      <c r="BH148" s="22" t="s">
        <v>121</v>
      </c>
      <c r="BI148" s="22" t="s">
        <v>121</v>
      </c>
      <c r="BJ148" s="22" t="s">
        <v>121</v>
      </c>
      <c r="BK148" s="22" t="s">
        <v>121</v>
      </c>
      <c r="BL148" s="22" t="s">
        <v>121</v>
      </c>
      <c r="BM148" s="25" t="s">
        <v>121</v>
      </c>
      <c r="BN148" s="25" t="s">
        <v>121</v>
      </c>
      <c r="BO148" s="25" t="s">
        <v>121</v>
      </c>
      <c r="BP148" s="25" t="s">
        <v>121</v>
      </c>
      <c r="BQ148" s="25" t="s">
        <v>121</v>
      </c>
      <c r="BR148" s="25" t="s">
        <v>121</v>
      </c>
      <c r="BS148" s="25" t="s">
        <v>121</v>
      </c>
      <c r="BT148" s="25" t="s">
        <v>121</v>
      </c>
      <c r="BU148" s="25" t="s">
        <v>121</v>
      </c>
      <c r="BV148" s="25" t="s">
        <v>121</v>
      </c>
      <c r="BW148" s="25" t="s">
        <v>121</v>
      </c>
      <c r="BX148" s="25" t="s">
        <v>121</v>
      </c>
      <c r="BY148" s="25" t="s">
        <v>121</v>
      </c>
      <c r="BZ148" s="25" t="s">
        <v>121</v>
      </c>
      <c r="CA148" s="25" t="s">
        <v>121</v>
      </c>
      <c r="CB148" s="25" t="s">
        <v>121</v>
      </c>
      <c r="CC148" s="25" t="s">
        <v>121</v>
      </c>
      <c r="CD148" s="25" t="s">
        <v>121</v>
      </c>
      <c r="CE148" s="25" t="s">
        <v>121</v>
      </c>
      <c r="CF148" s="25" t="s">
        <v>121</v>
      </c>
      <c r="CG148" s="25" t="s">
        <v>121</v>
      </c>
      <c r="CH148" s="25" t="s">
        <v>121</v>
      </c>
      <c r="CI148" s="25" t="s">
        <v>121</v>
      </c>
      <c r="CJ148" s="25" t="s">
        <v>121</v>
      </c>
      <c r="CK148" s="25" t="s">
        <v>121</v>
      </c>
      <c r="CL148" s="25" t="s">
        <v>121</v>
      </c>
      <c r="CM148" s="25" t="s">
        <v>121</v>
      </c>
      <c r="CN148" s="25" t="s">
        <v>121</v>
      </c>
      <c r="CO148" s="25" t="s">
        <v>121</v>
      </c>
      <c r="CP148" s="25" t="s">
        <v>121</v>
      </c>
      <c r="CQ148" s="25" t="s">
        <v>121</v>
      </c>
      <c r="CR148" s="25" t="s">
        <v>121</v>
      </c>
      <c r="CS148" s="25" t="s">
        <v>121</v>
      </c>
      <c r="CT148" s="25" t="s">
        <v>121</v>
      </c>
      <c r="CU148" s="25" t="s">
        <v>121</v>
      </c>
      <c r="CV148" s="25" t="s">
        <v>121</v>
      </c>
      <c r="CW148" s="25" t="s">
        <v>121</v>
      </c>
      <c r="CX148" s="25" t="s">
        <v>121</v>
      </c>
      <c r="CY148" s="25" t="s">
        <v>121</v>
      </c>
      <c r="CZ148" s="25" t="s">
        <v>121</v>
      </c>
      <c r="DA148" s="25" t="s">
        <v>121</v>
      </c>
      <c r="DB148" s="25" t="s">
        <v>121</v>
      </c>
      <c r="DC148" s="25" t="s">
        <v>121</v>
      </c>
      <c r="DD148" s="25" t="s">
        <v>121</v>
      </c>
      <c r="DE148" s="25" t="s">
        <v>121</v>
      </c>
      <c r="DF148" s="25" t="s">
        <v>121</v>
      </c>
      <c r="DG148" s="25" t="s">
        <v>121</v>
      </c>
      <c r="DH148" s="25" t="s">
        <v>121</v>
      </c>
      <c r="DI148" s="25" t="s">
        <v>121</v>
      </c>
      <c r="DJ148" s="25" t="s">
        <v>121</v>
      </c>
      <c r="DK148" s="25" t="s">
        <v>121</v>
      </c>
      <c r="DL148" s="25" t="s">
        <v>121</v>
      </c>
      <c r="DM148" s="25" t="s">
        <v>121</v>
      </c>
      <c r="DN148" s="25" t="s">
        <v>121</v>
      </c>
      <c r="DO148" s="25" t="s">
        <v>121</v>
      </c>
      <c r="DP148" s="25" t="s">
        <v>121</v>
      </c>
      <c r="DQ148" s="25" t="s">
        <v>121</v>
      </c>
      <c r="DR148" s="25" t="s">
        <v>121</v>
      </c>
      <c r="DS148" s="25" t="s">
        <v>121</v>
      </c>
      <c r="DT148" s="25" t="s">
        <v>121</v>
      </c>
      <c r="DU148" s="25" t="s">
        <v>121</v>
      </c>
      <c r="DV148" s="25" t="s">
        <v>121</v>
      </c>
      <c r="DW148" s="25" t="s">
        <v>121</v>
      </c>
      <c r="DX148" s="25" t="s">
        <v>121</v>
      </c>
      <c r="DY148" s="25" t="s">
        <v>121</v>
      </c>
      <c r="DZ148" s="25" t="s">
        <v>121</v>
      </c>
      <c r="EA148" s="25" t="s">
        <v>121</v>
      </c>
      <c r="EB148" s="25" t="s">
        <v>121</v>
      </c>
      <c r="EC148" s="25" t="s">
        <v>121</v>
      </c>
      <c r="ED148" s="25" t="s">
        <v>121</v>
      </c>
      <c r="EE148" s="25" t="s">
        <v>121</v>
      </c>
      <c r="EF148" s="25" t="s">
        <v>121</v>
      </c>
      <c r="EG148" s="25" t="s">
        <v>121</v>
      </c>
      <c r="EH148" s="25" t="s">
        <v>121</v>
      </c>
      <c r="EI148" s="25" t="s">
        <v>121</v>
      </c>
      <c r="EJ148" s="25" t="s">
        <v>121</v>
      </c>
      <c r="EK148" s="25" t="s">
        <v>121</v>
      </c>
      <c r="EL148" s="25" t="s">
        <v>121</v>
      </c>
      <c r="EM148" s="25" t="s">
        <v>121</v>
      </c>
      <c r="EN148" s="25" t="s">
        <v>121</v>
      </c>
      <c r="EO148" s="25" t="s">
        <v>121</v>
      </c>
      <c r="EP148" s="25" t="s">
        <v>121</v>
      </c>
      <c r="EQ148" s="25" t="s">
        <v>121</v>
      </c>
      <c r="ER148" s="25" t="s">
        <v>121</v>
      </c>
      <c r="ES148" s="25" t="s">
        <v>121</v>
      </c>
      <c r="ET148" s="25" t="s">
        <v>121</v>
      </c>
      <c r="EU148" s="25" t="s">
        <v>121</v>
      </c>
      <c r="EV148" s="25" t="s">
        <v>121</v>
      </c>
      <c r="EW148" s="25" t="s">
        <v>121</v>
      </c>
      <c r="EX148" s="25" t="s">
        <v>121</v>
      </c>
    </row>
    <row r="149" spans="1:154" s="25" customFormat="1" x14ac:dyDescent="0.25">
      <c r="A149" s="72">
        <v>149</v>
      </c>
      <c r="B149" s="68" t="s">
        <v>440</v>
      </c>
      <c r="C149" s="91">
        <f ca="1">OFFSET($E$7,$A149-$A$7,1,1,1)/OFFSET($E$7,$A149-$A$7,2,1,1)-1</f>
        <v>-4.8116330390920559E-2</v>
      </c>
      <c r="D149" s="86"/>
      <c r="E149" s="92">
        <f ca="1">OFFSET($E$7,$A149-$A$7,1,1,1)/OFFSET($E$7,$A149-$A$7,5,1,1)-1</f>
        <v>2.1137180300147884E-2</v>
      </c>
      <c r="F149" s="169">
        <f>F73+F77+F78+F79+F80+F81+F95+F99+F89+1838</f>
        <v>24155</v>
      </c>
      <c r="G149" s="169">
        <f t="shared" ref="G149:P149" si="11">G73+G77+G78+G79+G80+G81+G95+G99+G89</f>
        <v>25376</v>
      </c>
      <c r="H149" s="169">
        <f t="shared" si="11"/>
        <v>25386</v>
      </c>
      <c r="I149" s="169">
        <f t="shared" si="11"/>
        <v>26126</v>
      </c>
      <c r="J149" s="169">
        <f t="shared" si="11"/>
        <v>23655</v>
      </c>
      <c r="K149" s="169">
        <f t="shared" si="11"/>
        <v>22264</v>
      </c>
      <c r="L149" s="169">
        <f t="shared" si="11"/>
        <v>22314</v>
      </c>
      <c r="M149" s="169">
        <f t="shared" si="11"/>
        <v>20564</v>
      </c>
      <c r="N149" s="169">
        <f t="shared" si="11"/>
        <v>17404</v>
      </c>
      <c r="O149" s="169">
        <f t="shared" si="11"/>
        <v>15804</v>
      </c>
      <c r="P149" s="169">
        <f t="shared" si="11"/>
        <v>20814</v>
      </c>
      <c r="Q149" s="405"/>
      <c r="R149" s="405"/>
      <c r="S149" s="405"/>
      <c r="T149" s="405"/>
      <c r="U149" s="169">
        <v>13642</v>
      </c>
      <c r="V149" s="169">
        <v>10799</v>
      </c>
      <c r="W149" s="169">
        <v>10866.683000000001</v>
      </c>
      <c r="X149" s="169">
        <v>9239</v>
      </c>
      <c r="Y149" s="169">
        <v>11300.383000000002</v>
      </c>
      <c r="Z149" s="169">
        <v>9178.9249999999975</v>
      </c>
      <c r="AA149" s="169">
        <v>8363.771999999999</v>
      </c>
      <c r="AB149" s="169">
        <v>8226.92</v>
      </c>
      <c r="AC149" s="169">
        <v>8934.6910000000025</v>
      </c>
      <c r="AD149" s="169">
        <v>7526.4740000000038</v>
      </c>
      <c r="AE149" s="169">
        <v>7992.9079999999976</v>
      </c>
      <c r="AF149" s="169">
        <v>7402.7790000000005</v>
      </c>
      <c r="AG149" s="169">
        <v>9627.8370000000014</v>
      </c>
      <c r="AH149" s="169">
        <v>7695.2769999999964</v>
      </c>
      <c r="AI149" s="169">
        <v>8273.2089999999989</v>
      </c>
      <c r="AJ149" s="169">
        <v>7139.4369999999999</v>
      </c>
      <c r="AK149" s="169">
        <v>7938.5739999999951</v>
      </c>
      <c r="AL149" s="169">
        <v>7510.6710000000003</v>
      </c>
      <c r="AM149" s="169">
        <v>8286.8109999999997</v>
      </c>
      <c r="AN149" s="169">
        <v>7158.8230000000012</v>
      </c>
      <c r="AO149" s="169">
        <v>7334.6859999999997</v>
      </c>
      <c r="AP149" s="169">
        <v>7574.8950000000004</v>
      </c>
      <c r="AQ149" s="169">
        <v>7419.3439999999973</v>
      </c>
      <c r="AR149" s="169">
        <v>6988.5280000000002</v>
      </c>
      <c r="AS149" s="169">
        <v>7857.9690000000028</v>
      </c>
      <c r="AT149" s="169">
        <v>7075.5849999999946</v>
      </c>
      <c r="AU149" s="169">
        <v>6605.9410000000016</v>
      </c>
      <c r="AV149" s="169">
        <v>5394.5159999999996</v>
      </c>
      <c r="AW149" s="169">
        <v>6594.8050000000039</v>
      </c>
      <c r="AX149" s="169">
        <v>5284.2220000000007</v>
      </c>
      <c r="AY149" s="169">
        <v>5228.9339999999993</v>
      </c>
      <c r="AZ149" s="169">
        <v>4665.2180000000008</v>
      </c>
      <c r="BA149" s="169">
        <v>5101.4350000000022</v>
      </c>
      <c r="BB149" s="169">
        <v>4393.2220000000007</v>
      </c>
      <c r="BC149" s="169">
        <v>3975.5000000000005</v>
      </c>
      <c r="BD149" s="169">
        <v>4037.5659999999998</v>
      </c>
      <c r="BE149" s="169">
        <v>3937.025000000001</v>
      </c>
      <c r="BF149" s="169">
        <v>3902.9440000000004</v>
      </c>
      <c r="BG149" s="169">
        <v>3357.0209999999988</v>
      </c>
      <c r="BH149" s="169">
        <v>3548.4580000000005</v>
      </c>
      <c r="BI149" s="169">
        <v>3752.6909999999998</v>
      </c>
      <c r="BJ149" s="169">
        <v>3729.1699999999996</v>
      </c>
      <c r="BK149" s="169">
        <v>4037.3460000000005</v>
      </c>
      <c r="BL149" s="169">
        <v>4267.4639999999999</v>
      </c>
      <c r="BM149" s="25">
        <v>3501.9740000000006</v>
      </c>
      <c r="BN149" s="25">
        <v>3582.5660000000007</v>
      </c>
      <c r="BO149" s="25">
        <v>3150.4020000000005</v>
      </c>
      <c r="BP149" s="25">
        <v>4259.732</v>
      </c>
      <c r="BQ149" s="25" t="s">
        <v>121</v>
      </c>
      <c r="BR149" s="25" t="s">
        <v>121</v>
      </c>
      <c r="BS149" s="25" t="s">
        <v>121</v>
      </c>
      <c r="BT149" s="25" t="s">
        <v>121</v>
      </c>
      <c r="BU149" s="25" t="s">
        <v>121</v>
      </c>
      <c r="BV149" s="25" t="s">
        <v>121</v>
      </c>
      <c r="BW149" s="25" t="s">
        <v>121</v>
      </c>
      <c r="BX149" s="25" t="s">
        <v>121</v>
      </c>
      <c r="BY149" s="25" t="s">
        <v>121</v>
      </c>
      <c r="BZ149" s="25" t="s">
        <v>121</v>
      </c>
      <c r="CA149" s="25" t="s">
        <v>121</v>
      </c>
      <c r="CB149" s="25" t="s">
        <v>121</v>
      </c>
      <c r="CC149" s="25" t="s">
        <v>121</v>
      </c>
      <c r="CD149" s="25" t="s">
        <v>121</v>
      </c>
      <c r="CE149" s="25" t="s">
        <v>121</v>
      </c>
      <c r="CF149" s="25" t="s">
        <v>121</v>
      </c>
      <c r="CG149" s="25" t="s">
        <v>121</v>
      </c>
      <c r="CH149" s="25" t="s">
        <v>121</v>
      </c>
      <c r="CI149" s="25" t="s">
        <v>121</v>
      </c>
      <c r="CJ149" s="25" t="s">
        <v>121</v>
      </c>
      <c r="CK149" s="25" t="s">
        <v>121</v>
      </c>
      <c r="CL149" s="25" t="s">
        <v>121</v>
      </c>
      <c r="CM149" s="25" t="s">
        <v>121</v>
      </c>
      <c r="CN149" s="25" t="s">
        <v>121</v>
      </c>
      <c r="CO149" s="25" t="s">
        <v>121</v>
      </c>
      <c r="CP149" s="25" t="s">
        <v>121</v>
      </c>
      <c r="CQ149" s="25" t="s">
        <v>121</v>
      </c>
      <c r="CR149" s="25" t="s">
        <v>121</v>
      </c>
      <c r="CS149" s="25" t="s">
        <v>121</v>
      </c>
      <c r="CT149" s="25" t="s">
        <v>121</v>
      </c>
      <c r="CU149" s="25" t="s">
        <v>121</v>
      </c>
      <c r="CV149" s="25" t="s">
        <v>121</v>
      </c>
      <c r="CW149" s="25" t="s">
        <v>121</v>
      </c>
      <c r="CX149" s="25" t="s">
        <v>121</v>
      </c>
      <c r="CY149" s="25" t="s">
        <v>121</v>
      </c>
      <c r="CZ149" s="25" t="s">
        <v>121</v>
      </c>
      <c r="DA149" s="25" t="s">
        <v>121</v>
      </c>
      <c r="DB149" s="25" t="s">
        <v>121</v>
      </c>
      <c r="DC149" s="25" t="s">
        <v>121</v>
      </c>
      <c r="DD149" s="25" t="s">
        <v>121</v>
      </c>
      <c r="DE149" s="25" t="s">
        <v>121</v>
      </c>
      <c r="DF149" s="25" t="s">
        <v>121</v>
      </c>
      <c r="DG149" s="25" t="s">
        <v>121</v>
      </c>
      <c r="DH149" s="25" t="s">
        <v>121</v>
      </c>
      <c r="DI149" s="25" t="s">
        <v>121</v>
      </c>
      <c r="DJ149" s="25" t="s">
        <v>121</v>
      </c>
      <c r="DK149" s="25" t="s">
        <v>121</v>
      </c>
      <c r="DL149" s="25" t="s">
        <v>121</v>
      </c>
      <c r="DM149" s="25" t="s">
        <v>121</v>
      </c>
      <c r="DN149" s="25" t="s">
        <v>121</v>
      </c>
      <c r="DO149" s="25" t="s">
        <v>121</v>
      </c>
      <c r="DP149" s="25" t="s">
        <v>121</v>
      </c>
      <c r="DQ149" s="25" t="s">
        <v>121</v>
      </c>
      <c r="DR149" s="25" t="s">
        <v>121</v>
      </c>
      <c r="DS149" s="25" t="s">
        <v>121</v>
      </c>
      <c r="DT149" s="25" t="s">
        <v>121</v>
      </c>
      <c r="DU149" s="25" t="s">
        <v>121</v>
      </c>
      <c r="DV149" s="25" t="s">
        <v>121</v>
      </c>
      <c r="DW149" s="25" t="s">
        <v>121</v>
      </c>
      <c r="DX149" s="25" t="s">
        <v>121</v>
      </c>
      <c r="DY149" s="25" t="s">
        <v>121</v>
      </c>
      <c r="DZ149" s="25" t="s">
        <v>121</v>
      </c>
      <c r="EA149" s="25" t="s">
        <v>121</v>
      </c>
      <c r="EB149" s="25" t="s">
        <v>121</v>
      </c>
      <c r="EC149" s="25" t="s">
        <v>121</v>
      </c>
      <c r="ED149" s="25" t="s">
        <v>121</v>
      </c>
      <c r="EE149" s="25" t="s">
        <v>121</v>
      </c>
      <c r="EF149" s="25" t="s">
        <v>121</v>
      </c>
      <c r="EG149" s="25" t="s">
        <v>121</v>
      </c>
      <c r="EH149" s="25" t="s">
        <v>121</v>
      </c>
      <c r="EI149" s="25" t="s">
        <v>121</v>
      </c>
      <c r="EJ149" s="25" t="s">
        <v>121</v>
      </c>
      <c r="EK149" s="25" t="s">
        <v>121</v>
      </c>
      <c r="EL149" s="25" t="s">
        <v>121</v>
      </c>
      <c r="EM149" s="25" t="s">
        <v>121</v>
      </c>
      <c r="EN149" s="25" t="s">
        <v>121</v>
      </c>
      <c r="EO149" s="25" t="s">
        <v>121</v>
      </c>
      <c r="EP149" s="25" t="s">
        <v>121</v>
      </c>
      <c r="EQ149" s="25" t="s">
        <v>121</v>
      </c>
      <c r="ER149" s="25" t="s">
        <v>121</v>
      </c>
      <c r="ES149" s="25" t="s">
        <v>121</v>
      </c>
      <c r="ET149" s="25" t="s">
        <v>121</v>
      </c>
      <c r="EU149" s="25" t="s">
        <v>121</v>
      </c>
      <c r="EV149" s="25" t="s">
        <v>121</v>
      </c>
      <c r="EW149" s="25" t="s">
        <v>121</v>
      </c>
      <c r="EX149" s="25" t="s">
        <v>121</v>
      </c>
    </row>
    <row r="150" spans="1:154" s="25" customFormat="1" x14ac:dyDescent="0.25">
      <c r="A150" s="72">
        <v>150</v>
      </c>
      <c r="B150" s="68" t="s">
        <v>441</v>
      </c>
      <c r="C150" s="91">
        <f ca="1">OFFSET($E$7,$A150-$A$7,1,1,1)/OFFSET($E$7,$A150-$A$7,2,1,1)-1</f>
        <v>9.0344095801121682E-2</v>
      </c>
      <c r="D150" s="86"/>
      <c r="E150" s="92">
        <f ca="1">OFFSET($E$7,$A150-$A$7,1,1,1)/OFFSET($E$7,$A150-$A$7,5,1,1)-1</f>
        <v>9.6661076383595113E-2</v>
      </c>
      <c r="F150" s="147">
        <f t="shared" ref="F150" si="12">SUM(F102:F103)</f>
        <v>-7193</v>
      </c>
      <c r="G150" s="147">
        <f t="shared" ref="G150:P150" si="13">SUM(G102:G103)</f>
        <v>-6597</v>
      </c>
      <c r="H150" s="147">
        <f t="shared" si="13"/>
        <v>-5715</v>
      </c>
      <c r="I150" s="147">
        <f t="shared" si="13"/>
        <v>-7933</v>
      </c>
      <c r="J150" s="147">
        <f t="shared" si="13"/>
        <v>-6559</v>
      </c>
      <c r="K150" s="147">
        <f t="shared" si="13"/>
        <v>-5468</v>
      </c>
      <c r="L150" s="147">
        <f t="shared" si="13"/>
        <v>-5975</v>
      </c>
      <c r="M150" s="147">
        <f t="shared" si="13"/>
        <v>-5333</v>
      </c>
      <c r="N150" s="147">
        <f t="shared" si="13"/>
        <v>-6319</v>
      </c>
      <c r="O150" s="147">
        <f t="shared" si="13"/>
        <v>-5944</v>
      </c>
      <c r="P150" s="147">
        <f t="shared" si="13"/>
        <v>-6018</v>
      </c>
      <c r="Q150" s="405"/>
      <c r="R150" s="405"/>
      <c r="S150" s="405"/>
      <c r="T150" s="405"/>
      <c r="U150" s="147">
        <v>-5256</v>
      </c>
      <c r="V150" s="147">
        <v>-3744</v>
      </c>
      <c r="W150" s="147">
        <v>-3602</v>
      </c>
      <c r="X150" s="147">
        <v>-4210</v>
      </c>
      <c r="Y150" s="147">
        <v>-4315.7520000000004</v>
      </c>
      <c r="Z150" s="147">
        <v>-3345.2509999999993</v>
      </c>
      <c r="AA150" s="147">
        <v>-3412.5760000000005</v>
      </c>
      <c r="AB150" s="147">
        <v>-4133.4210000000003</v>
      </c>
      <c r="AC150" s="147">
        <v>-3828.8900000000003</v>
      </c>
      <c r="AD150" s="147">
        <v>-3299.848</v>
      </c>
      <c r="AE150" s="147">
        <v>-3405.5460000000003</v>
      </c>
      <c r="AF150" s="147">
        <v>-3551.4989999999998</v>
      </c>
      <c r="AG150" s="147">
        <v>-3270.4199999999992</v>
      </c>
      <c r="AH150" s="147">
        <v>-3100.2380000000003</v>
      </c>
      <c r="AI150" s="147">
        <v>-3723.5640000000003</v>
      </c>
      <c r="AJ150" s="147">
        <v>-2539.712</v>
      </c>
      <c r="AK150" s="22">
        <v>-2677.701</v>
      </c>
      <c r="AL150" s="22">
        <v>-2724.6009999999997</v>
      </c>
      <c r="AM150" s="22">
        <v>-2779.3990000000003</v>
      </c>
      <c r="AN150" s="22">
        <v>-2407.4179999999997</v>
      </c>
      <c r="AO150" s="22">
        <v>-2931.7190000000001</v>
      </c>
      <c r="AP150" s="22">
        <v>-2518.1630000000005</v>
      </c>
      <c r="AQ150" s="22">
        <v>-2512.6679999999997</v>
      </c>
      <c r="AR150" s="22">
        <v>-2315.152</v>
      </c>
      <c r="AS150" s="22">
        <v>-2784.8229999999999</v>
      </c>
      <c r="AT150" s="22">
        <v>-2054.6419999999998</v>
      </c>
      <c r="AU150" s="22">
        <v>-2235.7640000000001</v>
      </c>
      <c r="AV150" s="22">
        <v>-1830.0070000000001</v>
      </c>
      <c r="AW150" s="22">
        <v>-2329.4190000000003</v>
      </c>
      <c r="AX150" s="22">
        <v>-1891.7180000000001</v>
      </c>
      <c r="AY150" s="22">
        <v>-2018.2869999999998</v>
      </c>
      <c r="AZ150" s="22">
        <v>-1661.173</v>
      </c>
      <c r="BA150" s="22">
        <v>-1809.6680000000003</v>
      </c>
      <c r="BB150" s="22">
        <v>-1554.9660000000001</v>
      </c>
      <c r="BC150" s="22">
        <v>-1412.7429999999999</v>
      </c>
      <c r="BD150" s="22">
        <v>-1292.817</v>
      </c>
      <c r="BE150" s="22">
        <v>-1694.1349999999998</v>
      </c>
      <c r="BF150" s="22">
        <v>-1395.42</v>
      </c>
      <c r="BG150" s="22">
        <v>-1306.759</v>
      </c>
      <c r="BH150" s="22">
        <v>-1276.223</v>
      </c>
      <c r="BI150" s="22">
        <v>-1489.7829999999999</v>
      </c>
      <c r="BJ150" s="22">
        <v>-1291.7239999999999</v>
      </c>
      <c r="BK150" s="22">
        <v>-1237.019</v>
      </c>
      <c r="BL150" s="22">
        <v>-951.05500000000006</v>
      </c>
      <c r="BM150" s="25">
        <v>-1075.105</v>
      </c>
      <c r="BN150" s="25">
        <v>-1128.423</v>
      </c>
      <c r="BO150" s="25">
        <v>-746.14</v>
      </c>
      <c r="BP150" s="25">
        <v>-679.33300000000008</v>
      </c>
      <c r="BQ150" s="25" t="s">
        <v>121</v>
      </c>
      <c r="BR150" s="25" t="s">
        <v>121</v>
      </c>
      <c r="BS150" s="25" t="s">
        <v>121</v>
      </c>
      <c r="BT150" s="25" t="s">
        <v>121</v>
      </c>
      <c r="BU150" s="25" t="s">
        <v>121</v>
      </c>
      <c r="BV150" s="25" t="s">
        <v>121</v>
      </c>
      <c r="BW150" s="25" t="s">
        <v>121</v>
      </c>
      <c r="BX150" s="25" t="s">
        <v>121</v>
      </c>
      <c r="BY150" s="25" t="s">
        <v>121</v>
      </c>
      <c r="BZ150" s="25" t="s">
        <v>121</v>
      </c>
      <c r="CA150" s="25" t="s">
        <v>121</v>
      </c>
      <c r="CB150" s="25" t="s">
        <v>121</v>
      </c>
      <c r="CC150" s="25" t="s">
        <v>121</v>
      </c>
      <c r="CD150" s="25" t="s">
        <v>121</v>
      </c>
      <c r="CE150" s="25" t="s">
        <v>121</v>
      </c>
      <c r="CF150" s="25" t="s">
        <v>121</v>
      </c>
      <c r="CG150" s="25" t="s">
        <v>121</v>
      </c>
      <c r="CH150" s="25" t="s">
        <v>121</v>
      </c>
      <c r="CI150" s="25" t="s">
        <v>121</v>
      </c>
      <c r="CJ150" s="25" t="s">
        <v>121</v>
      </c>
      <c r="CK150" s="25" t="s">
        <v>121</v>
      </c>
      <c r="CL150" s="25" t="s">
        <v>121</v>
      </c>
      <c r="CM150" s="25" t="s">
        <v>121</v>
      </c>
      <c r="CN150" s="25" t="s">
        <v>121</v>
      </c>
      <c r="CO150" s="25" t="s">
        <v>121</v>
      </c>
      <c r="CP150" s="25" t="s">
        <v>121</v>
      </c>
      <c r="CQ150" s="25" t="s">
        <v>121</v>
      </c>
      <c r="CR150" s="25" t="s">
        <v>121</v>
      </c>
      <c r="CS150" s="25" t="s">
        <v>121</v>
      </c>
      <c r="CT150" s="25" t="s">
        <v>121</v>
      </c>
      <c r="CU150" s="25" t="s">
        <v>121</v>
      </c>
      <c r="CV150" s="25" t="s">
        <v>121</v>
      </c>
      <c r="CW150" s="25" t="s">
        <v>121</v>
      </c>
      <c r="CX150" s="25" t="s">
        <v>121</v>
      </c>
      <c r="CY150" s="25" t="s">
        <v>121</v>
      </c>
      <c r="CZ150" s="25" t="s">
        <v>121</v>
      </c>
      <c r="DA150" s="25" t="s">
        <v>121</v>
      </c>
      <c r="DB150" s="25" t="s">
        <v>121</v>
      </c>
      <c r="DC150" s="25" t="s">
        <v>121</v>
      </c>
      <c r="DD150" s="25" t="s">
        <v>121</v>
      </c>
      <c r="DE150" s="25" t="s">
        <v>121</v>
      </c>
      <c r="DF150" s="25" t="s">
        <v>121</v>
      </c>
      <c r="DG150" s="25" t="s">
        <v>121</v>
      </c>
      <c r="DH150" s="25" t="s">
        <v>121</v>
      </c>
      <c r="DI150" s="25" t="s">
        <v>121</v>
      </c>
      <c r="DJ150" s="25" t="s">
        <v>121</v>
      </c>
      <c r="DK150" s="25" t="s">
        <v>121</v>
      </c>
      <c r="DL150" s="25" t="s">
        <v>121</v>
      </c>
      <c r="DM150" s="25" t="s">
        <v>121</v>
      </c>
      <c r="DN150" s="25" t="s">
        <v>121</v>
      </c>
      <c r="DO150" s="25" t="s">
        <v>121</v>
      </c>
      <c r="DP150" s="25" t="s">
        <v>121</v>
      </c>
      <c r="DQ150" s="25" t="s">
        <v>121</v>
      </c>
      <c r="DR150" s="25" t="s">
        <v>121</v>
      </c>
      <c r="DS150" s="25" t="s">
        <v>121</v>
      </c>
      <c r="DT150" s="25" t="s">
        <v>121</v>
      </c>
      <c r="DU150" s="25" t="s">
        <v>121</v>
      </c>
      <c r="DV150" s="25" t="s">
        <v>121</v>
      </c>
      <c r="DW150" s="25" t="s">
        <v>121</v>
      </c>
      <c r="DX150" s="25" t="s">
        <v>121</v>
      </c>
      <c r="DY150" s="25" t="s">
        <v>121</v>
      </c>
      <c r="DZ150" s="25" t="s">
        <v>121</v>
      </c>
      <c r="EA150" s="25" t="s">
        <v>121</v>
      </c>
      <c r="EB150" s="25" t="s">
        <v>121</v>
      </c>
      <c r="EC150" s="25" t="s">
        <v>121</v>
      </c>
      <c r="ED150" s="25" t="s">
        <v>121</v>
      </c>
      <c r="EE150" s="25" t="s">
        <v>121</v>
      </c>
      <c r="EF150" s="25" t="s">
        <v>121</v>
      </c>
      <c r="EG150" s="25" t="s">
        <v>121</v>
      </c>
      <c r="EH150" s="25" t="s">
        <v>121</v>
      </c>
      <c r="EI150" s="25" t="s">
        <v>121</v>
      </c>
      <c r="EJ150" s="25" t="s">
        <v>121</v>
      </c>
      <c r="EK150" s="25" t="s">
        <v>121</v>
      </c>
      <c r="EL150" s="25" t="s">
        <v>121</v>
      </c>
      <c r="EM150" s="25" t="s">
        <v>121</v>
      </c>
      <c r="EN150" s="25" t="s">
        <v>121</v>
      </c>
      <c r="EO150" s="25" t="s">
        <v>121</v>
      </c>
      <c r="EP150" s="25" t="s">
        <v>121</v>
      </c>
      <c r="EQ150" s="25" t="s">
        <v>121</v>
      </c>
      <c r="ER150" s="25" t="s">
        <v>121</v>
      </c>
      <c r="ES150" s="25" t="s">
        <v>121</v>
      </c>
      <c r="ET150" s="25" t="s">
        <v>121</v>
      </c>
      <c r="EU150" s="25" t="s">
        <v>121</v>
      </c>
      <c r="EV150" s="25" t="s">
        <v>121</v>
      </c>
      <c r="EW150" s="25" t="s">
        <v>121</v>
      </c>
      <c r="EX150" s="25" t="s">
        <v>121</v>
      </c>
    </row>
    <row r="151" spans="1:154" s="25" customFormat="1" x14ac:dyDescent="0.25">
      <c r="A151" s="72">
        <v>151</v>
      </c>
      <c r="B151" s="68" t="s">
        <v>442</v>
      </c>
      <c r="C151" s="91">
        <f ca="1">OFFSET($E$7,$A151-$A$7,1,1,1)/OFFSET($E$7,$A151-$A$7,2,1,1)-1</f>
        <v>-0.22702152414194299</v>
      </c>
      <c r="D151" s="86"/>
      <c r="E151" s="92">
        <f ca="1">OFFSET($E$7,$A151-$A$7,1,1,1)/OFFSET($E$7,$A151-$A$7,5,1,1)-1</f>
        <v>3.5818965517241379</v>
      </c>
      <c r="F151" s="170">
        <f>F75+F85+F84+F96-1838</f>
        <v>-5315</v>
      </c>
      <c r="G151" s="170">
        <f>G75+G85+G84+G96+G98</f>
        <v>-6876</v>
      </c>
      <c r="H151" s="170">
        <f t="shared" ref="H151" si="14">H75+H85+H84+H96</f>
        <v>43</v>
      </c>
      <c r="I151" s="170">
        <f>I75+I85+I84+I96</f>
        <v>-1836</v>
      </c>
      <c r="J151" s="170">
        <f>J75+J85+J84+J96</f>
        <v>-1160</v>
      </c>
      <c r="K151" s="170">
        <f>K75+K85+K84+K96+K98</f>
        <v>-2887</v>
      </c>
      <c r="L151" s="170">
        <f t="shared" ref="L151:P151" si="15">L75+L85+L84+L96</f>
        <v>-209</v>
      </c>
      <c r="M151" s="170">
        <f t="shared" si="15"/>
        <v>-656</v>
      </c>
      <c r="N151" s="170">
        <f t="shared" si="15"/>
        <v>-422.09299999999985</v>
      </c>
      <c r="O151" s="170">
        <f t="shared" si="15"/>
        <v>553.09299999999985</v>
      </c>
      <c r="P151" s="170">
        <f t="shared" si="15"/>
        <v>3781</v>
      </c>
      <c r="Q151" s="405"/>
      <c r="R151" s="405"/>
      <c r="S151" s="405"/>
      <c r="T151" s="405"/>
      <c r="U151" s="170">
        <v>506</v>
      </c>
      <c r="V151" s="170">
        <v>-913</v>
      </c>
      <c r="W151" s="170">
        <v>-2011</v>
      </c>
      <c r="X151" s="170">
        <v>-2178</v>
      </c>
      <c r="Y151" s="170">
        <v>-1778.098</v>
      </c>
      <c r="Z151" s="170">
        <v>-1993.5380000000002</v>
      </c>
      <c r="AA151" s="170">
        <v>-2596.2269999999999</v>
      </c>
      <c r="AB151" s="170">
        <v>-2615.1370000000002</v>
      </c>
      <c r="AC151" s="170">
        <v>-2044.9550000000002</v>
      </c>
      <c r="AD151" s="170">
        <v>-1773.1120000000003</v>
      </c>
      <c r="AE151" s="170">
        <v>-1849.1509999999998</v>
      </c>
      <c r="AF151" s="170">
        <v>-2268.7809999999999</v>
      </c>
      <c r="AG151" s="170">
        <v>-1834.2190000000001</v>
      </c>
      <c r="AH151" s="170">
        <v>-2029.875</v>
      </c>
      <c r="AI151" s="170">
        <v>-1528.617</v>
      </c>
      <c r="AJ151" s="170">
        <v>-1758.6980000000001</v>
      </c>
      <c r="AK151" s="170">
        <v>-2358.2900000000009</v>
      </c>
      <c r="AL151" s="170">
        <v>-2013.4110000000001</v>
      </c>
      <c r="AM151" s="170">
        <v>-2548.1439999999998</v>
      </c>
      <c r="AN151" s="170">
        <v>-2654.989</v>
      </c>
      <c r="AO151" s="170">
        <v>-3098.2240000000002</v>
      </c>
      <c r="AP151" s="170">
        <v>-3260.5619999999999</v>
      </c>
      <c r="AQ151" s="170">
        <v>-3189.2289999999998</v>
      </c>
      <c r="AR151" s="170">
        <v>-2942.0909999999999</v>
      </c>
      <c r="AS151" s="170">
        <v>-3412.7919999999999</v>
      </c>
      <c r="AT151" s="170">
        <v>-3286.4330000000009</v>
      </c>
      <c r="AU151" s="170">
        <v>-3039.2029999999995</v>
      </c>
      <c r="AV151" s="170">
        <v>-2554.7150000000001</v>
      </c>
      <c r="AW151" s="170">
        <v>-2911.1719999999996</v>
      </c>
      <c r="AX151" s="170">
        <v>-1601.5300000000002</v>
      </c>
      <c r="AY151" s="170">
        <v>-1557.896</v>
      </c>
      <c r="AZ151" s="170">
        <v>-1215.3109999999999</v>
      </c>
      <c r="BA151" s="170">
        <v>-1158.9870000000001</v>
      </c>
      <c r="BB151" s="170">
        <v>-1100.6180000000002</v>
      </c>
      <c r="BC151" s="170">
        <v>-1145.6609999999998</v>
      </c>
      <c r="BD151" s="170">
        <v>-1089.8030000000001</v>
      </c>
      <c r="BE151" s="170">
        <v>-1470.5140000000001</v>
      </c>
      <c r="BF151" s="170">
        <v>-1612.1659999999999</v>
      </c>
      <c r="BG151" s="170">
        <v>-1539.492</v>
      </c>
      <c r="BH151" s="170">
        <v>-1767.7650000000001</v>
      </c>
      <c r="BI151" s="170">
        <v>-1763.8219999999999</v>
      </c>
      <c r="BJ151" s="170">
        <v>-712.01199999999994</v>
      </c>
      <c r="BK151" s="170">
        <v>-292.88900000000001</v>
      </c>
      <c r="BL151" s="170">
        <v>-673.01499999999999</v>
      </c>
      <c r="BM151" s="25">
        <v>-47.70900000000006</v>
      </c>
      <c r="BN151" s="25">
        <v>-997.85900000000004</v>
      </c>
      <c r="BO151" s="25">
        <v>-1190.3539999999998</v>
      </c>
      <c r="BP151" s="25">
        <v>-2774.35</v>
      </c>
      <c r="BQ151" s="25" t="s">
        <v>121</v>
      </c>
      <c r="BR151" s="25" t="s">
        <v>121</v>
      </c>
      <c r="BS151" s="25" t="s">
        <v>121</v>
      </c>
      <c r="BT151" s="25" t="s">
        <v>121</v>
      </c>
      <c r="BU151" s="25" t="s">
        <v>121</v>
      </c>
      <c r="BV151" s="25" t="s">
        <v>121</v>
      </c>
      <c r="BW151" s="25" t="s">
        <v>121</v>
      </c>
      <c r="BX151" s="25" t="s">
        <v>121</v>
      </c>
      <c r="BY151" s="25" t="s">
        <v>121</v>
      </c>
      <c r="BZ151" s="25" t="s">
        <v>121</v>
      </c>
      <c r="CA151" s="25" t="s">
        <v>121</v>
      </c>
      <c r="CB151" s="25" t="s">
        <v>121</v>
      </c>
      <c r="CC151" s="25" t="s">
        <v>121</v>
      </c>
      <c r="CD151" s="25" t="s">
        <v>121</v>
      </c>
      <c r="CE151" s="25" t="s">
        <v>121</v>
      </c>
      <c r="CF151" s="25" t="s">
        <v>121</v>
      </c>
      <c r="CG151" s="25" t="s">
        <v>121</v>
      </c>
      <c r="CH151" s="25" t="s">
        <v>121</v>
      </c>
      <c r="CI151" s="25" t="s">
        <v>121</v>
      </c>
      <c r="CJ151" s="25" t="s">
        <v>121</v>
      </c>
      <c r="CK151" s="25" t="s">
        <v>121</v>
      </c>
      <c r="CL151" s="25" t="s">
        <v>121</v>
      </c>
      <c r="CM151" s="25" t="s">
        <v>121</v>
      </c>
      <c r="CN151" s="25" t="s">
        <v>121</v>
      </c>
      <c r="CO151" s="25" t="s">
        <v>121</v>
      </c>
      <c r="CP151" s="25" t="s">
        <v>121</v>
      </c>
      <c r="CQ151" s="25" t="s">
        <v>121</v>
      </c>
      <c r="CR151" s="25" t="s">
        <v>121</v>
      </c>
      <c r="CS151" s="25" t="s">
        <v>121</v>
      </c>
      <c r="CT151" s="25" t="s">
        <v>121</v>
      </c>
      <c r="CU151" s="25" t="s">
        <v>121</v>
      </c>
      <c r="CV151" s="25" t="s">
        <v>121</v>
      </c>
      <c r="CW151" s="25" t="s">
        <v>121</v>
      </c>
      <c r="CX151" s="25" t="s">
        <v>121</v>
      </c>
      <c r="CY151" s="25" t="s">
        <v>121</v>
      </c>
      <c r="CZ151" s="25" t="s">
        <v>121</v>
      </c>
      <c r="DA151" s="25" t="s">
        <v>121</v>
      </c>
      <c r="DB151" s="25" t="s">
        <v>121</v>
      </c>
      <c r="DC151" s="25" t="s">
        <v>121</v>
      </c>
      <c r="DD151" s="25" t="s">
        <v>121</v>
      </c>
      <c r="DE151" s="25" t="s">
        <v>121</v>
      </c>
      <c r="DF151" s="25" t="s">
        <v>121</v>
      </c>
      <c r="DG151" s="25" t="s">
        <v>121</v>
      </c>
      <c r="DH151" s="25" t="s">
        <v>121</v>
      </c>
      <c r="DI151" s="25" t="s">
        <v>121</v>
      </c>
      <c r="DJ151" s="25" t="s">
        <v>121</v>
      </c>
      <c r="DK151" s="25" t="s">
        <v>121</v>
      </c>
      <c r="DL151" s="25" t="s">
        <v>121</v>
      </c>
      <c r="DM151" s="25" t="s">
        <v>121</v>
      </c>
      <c r="DN151" s="25" t="s">
        <v>121</v>
      </c>
      <c r="DO151" s="25" t="s">
        <v>121</v>
      </c>
      <c r="DP151" s="25" t="s">
        <v>121</v>
      </c>
      <c r="DQ151" s="25" t="s">
        <v>121</v>
      </c>
      <c r="DR151" s="25" t="s">
        <v>121</v>
      </c>
      <c r="DS151" s="25" t="s">
        <v>121</v>
      </c>
      <c r="DT151" s="25" t="s">
        <v>121</v>
      </c>
      <c r="DU151" s="25" t="s">
        <v>121</v>
      </c>
      <c r="DV151" s="25" t="s">
        <v>121</v>
      </c>
      <c r="DW151" s="25" t="s">
        <v>121</v>
      </c>
      <c r="DX151" s="25" t="s">
        <v>121</v>
      </c>
      <c r="DY151" s="25" t="s">
        <v>121</v>
      </c>
      <c r="DZ151" s="25" t="s">
        <v>121</v>
      </c>
      <c r="EA151" s="25" t="s">
        <v>121</v>
      </c>
      <c r="EB151" s="25" t="s">
        <v>121</v>
      </c>
      <c r="EC151" s="25" t="s">
        <v>121</v>
      </c>
      <c r="ED151" s="25" t="s">
        <v>121</v>
      </c>
      <c r="EE151" s="25" t="s">
        <v>121</v>
      </c>
      <c r="EF151" s="25" t="s">
        <v>121</v>
      </c>
      <c r="EG151" s="25" t="s">
        <v>121</v>
      </c>
      <c r="EH151" s="25" t="s">
        <v>121</v>
      </c>
      <c r="EI151" s="25" t="s">
        <v>121</v>
      </c>
      <c r="EJ151" s="25" t="s">
        <v>121</v>
      </c>
      <c r="EK151" s="25" t="s">
        <v>121</v>
      </c>
      <c r="EL151" s="25" t="s">
        <v>121</v>
      </c>
      <c r="EM151" s="25" t="s">
        <v>121</v>
      </c>
      <c r="EN151" s="25" t="s">
        <v>121</v>
      </c>
      <c r="EO151" s="25" t="s">
        <v>121</v>
      </c>
      <c r="EP151" s="25" t="s">
        <v>121</v>
      </c>
      <c r="EQ151" s="25" t="s">
        <v>121</v>
      </c>
      <c r="ER151" s="25" t="s">
        <v>121</v>
      </c>
      <c r="ES151" s="25" t="s">
        <v>121</v>
      </c>
      <c r="ET151" s="25" t="s">
        <v>121</v>
      </c>
      <c r="EU151" s="25" t="s">
        <v>121</v>
      </c>
      <c r="EV151" s="25" t="s">
        <v>121</v>
      </c>
      <c r="EW151" s="25" t="s">
        <v>121</v>
      </c>
      <c r="EX151" s="25" t="s">
        <v>121</v>
      </c>
    </row>
    <row r="152" spans="1:154" s="25" customFormat="1" ht="6.95" customHeight="1" x14ac:dyDescent="0.25">
      <c r="A152" s="72">
        <v>152</v>
      </c>
      <c r="B152" s="68" t="s">
        <v>121</v>
      </c>
      <c r="C152" s="91"/>
      <c r="D152" s="86"/>
      <c r="E152" s="92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405"/>
      <c r="R152" s="405"/>
      <c r="S152" s="405"/>
      <c r="T152" s="405"/>
      <c r="U152" s="149" t="s">
        <v>121</v>
      </c>
      <c r="V152" s="149" t="s">
        <v>121</v>
      </c>
      <c r="W152" s="149" t="s">
        <v>121</v>
      </c>
      <c r="X152" s="149" t="s">
        <v>121</v>
      </c>
      <c r="Y152" s="149" t="s">
        <v>121</v>
      </c>
      <c r="Z152" s="149" t="s">
        <v>121</v>
      </c>
      <c r="AA152" s="149" t="s">
        <v>121</v>
      </c>
      <c r="AB152" s="149" t="s">
        <v>121</v>
      </c>
      <c r="AC152" s="149" t="s">
        <v>121</v>
      </c>
      <c r="AD152" s="149" t="s">
        <v>121</v>
      </c>
      <c r="AE152" s="149" t="s">
        <v>121</v>
      </c>
      <c r="AF152" s="149" t="s">
        <v>121</v>
      </c>
      <c r="AG152" s="149" t="s">
        <v>121</v>
      </c>
      <c r="AH152" s="149" t="s">
        <v>121</v>
      </c>
      <c r="AI152" s="149" t="s">
        <v>121</v>
      </c>
      <c r="AJ152" s="149" t="s">
        <v>121</v>
      </c>
      <c r="AK152" s="25" t="s">
        <v>121</v>
      </c>
      <c r="AL152" s="25" t="s">
        <v>121</v>
      </c>
      <c r="AM152" s="25" t="s">
        <v>121</v>
      </c>
      <c r="AN152" s="25" t="s">
        <v>121</v>
      </c>
      <c r="AO152" s="25" t="s">
        <v>121</v>
      </c>
      <c r="AP152" s="25" t="s">
        <v>121</v>
      </c>
      <c r="AQ152" s="25" t="s">
        <v>121</v>
      </c>
      <c r="AR152" s="25" t="s">
        <v>121</v>
      </c>
      <c r="AS152" s="25" t="s">
        <v>121</v>
      </c>
      <c r="AT152" s="25" t="s">
        <v>121</v>
      </c>
      <c r="AU152" s="25" t="s">
        <v>121</v>
      </c>
      <c r="AV152" s="25" t="s">
        <v>121</v>
      </c>
      <c r="AW152" s="25" t="s">
        <v>121</v>
      </c>
      <c r="AX152" s="25" t="s">
        <v>121</v>
      </c>
      <c r="AY152" s="25" t="s">
        <v>121</v>
      </c>
      <c r="AZ152" s="25" t="s">
        <v>121</v>
      </c>
      <c r="BA152" s="25" t="s">
        <v>121</v>
      </c>
      <c r="BB152" s="25" t="s">
        <v>121</v>
      </c>
      <c r="BC152" s="25" t="s">
        <v>121</v>
      </c>
      <c r="BD152" s="25" t="s">
        <v>121</v>
      </c>
      <c r="BE152" s="25" t="s">
        <v>121</v>
      </c>
      <c r="BF152" s="25" t="s">
        <v>121</v>
      </c>
      <c r="BG152" s="25" t="s">
        <v>121</v>
      </c>
      <c r="BH152" s="25" t="s">
        <v>121</v>
      </c>
      <c r="BI152" s="25" t="s">
        <v>121</v>
      </c>
      <c r="BJ152" s="25" t="s">
        <v>121</v>
      </c>
      <c r="BK152" s="25" t="s">
        <v>121</v>
      </c>
      <c r="BL152" s="25" t="s">
        <v>121</v>
      </c>
      <c r="BM152" s="25" t="s">
        <v>121</v>
      </c>
      <c r="BN152" s="25" t="s">
        <v>121</v>
      </c>
      <c r="BO152" s="25" t="s">
        <v>121</v>
      </c>
      <c r="BP152" s="25" t="s">
        <v>121</v>
      </c>
      <c r="BQ152" s="25" t="s">
        <v>121</v>
      </c>
      <c r="BR152" s="25" t="s">
        <v>121</v>
      </c>
      <c r="BS152" s="25" t="s">
        <v>121</v>
      </c>
      <c r="BT152" s="25" t="s">
        <v>121</v>
      </c>
      <c r="BU152" s="25" t="s">
        <v>121</v>
      </c>
      <c r="BV152" s="25" t="s">
        <v>121</v>
      </c>
      <c r="BW152" s="25" t="s">
        <v>121</v>
      </c>
      <c r="BX152" s="25" t="s">
        <v>121</v>
      </c>
      <c r="BY152" s="25" t="s">
        <v>121</v>
      </c>
      <c r="BZ152" s="25" t="s">
        <v>121</v>
      </c>
      <c r="CA152" s="25" t="s">
        <v>121</v>
      </c>
      <c r="CB152" s="25" t="s">
        <v>121</v>
      </c>
      <c r="CC152" s="25" t="s">
        <v>121</v>
      </c>
      <c r="CD152" s="25" t="s">
        <v>121</v>
      </c>
      <c r="CE152" s="25" t="s">
        <v>121</v>
      </c>
      <c r="CF152" s="25" t="s">
        <v>121</v>
      </c>
      <c r="CG152" s="25" t="s">
        <v>121</v>
      </c>
      <c r="CH152" s="25" t="s">
        <v>121</v>
      </c>
      <c r="CI152" s="25" t="s">
        <v>121</v>
      </c>
      <c r="CJ152" s="25" t="s">
        <v>121</v>
      </c>
      <c r="CK152" s="25" t="s">
        <v>121</v>
      </c>
      <c r="CL152" s="25" t="s">
        <v>121</v>
      </c>
      <c r="CM152" s="25" t="s">
        <v>121</v>
      </c>
      <c r="CN152" s="25" t="s">
        <v>121</v>
      </c>
      <c r="CO152" s="25" t="s">
        <v>121</v>
      </c>
      <c r="CP152" s="25" t="s">
        <v>121</v>
      </c>
      <c r="CQ152" s="25" t="s">
        <v>121</v>
      </c>
      <c r="CR152" s="25" t="s">
        <v>121</v>
      </c>
      <c r="CS152" s="25" t="s">
        <v>121</v>
      </c>
      <c r="CT152" s="25" t="s">
        <v>121</v>
      </c>
      <c r="CU152" s="25" t="s">
        <v>121</v>
      </c>
      <c r="CV152" s="25" t="s">
        <v>121</v>
      </c>
      <c r="CW152" s="25" t="s">
        <v>121</v>
      </c>
      <c r="CX152" s="25" t="s">
        <v>121</v>
      </c>
      <c r="CY152" s="25" t="s">
        <v>121</v>
      </c>
      <c r="CZ152" s="25" t="s">
        <v>121</v>
      </c>
      <c r="DA152" s="25" t="s">
        <v>121</v>
      </c>
      <c r="DB152" s="25" t="s">
        <v>121</v>
      </c>
      <c r="DC152" s="25" t="s">
        <v>121</v>
      </c>
      <c r="DD152" s="25" t="s">
        <v>121</v>
      </c>
      <c r="DE152" s="25" t="s">
        <v>121</v>
      </c>
      <c r="DF152" s="25" t="s">
        <v>121</v>
      </c>
      <c r="DG152" s="25" t="s">
        <v>121</v>
      </c>
      <c r="DH152" s="25" t="s">
        <v>121</v>
      </c>
      <c r="DI152" s="25" t="s">
        <v>121</v>
      </c>
      <c r="DJ152" s="25" t="s">
        <v>121</v>
      </c>
      <c r="DK152" s="25" t="s">
        <v>121</v>
      </c>
      <c r="DL152" s="25" t="s">
        <v>121</v>
      </c>
      <c r="DM152" s="25" t="s">
        <v>121</v>
      </c>
      <c r="DN152" s="25" t="s">
        <v>121</v>
      </c>
      <c r="DO152" s="25" t="s">
        <v>121</v>
      </c>
      <c r="DP152" s="25" t="s">
        <v>121</v>
      </c>
      <c r="DQ152" s="25" t="s">
        <v>121</v>
      </c>
      <c r="DR152" s="25" t="s">
        <v>121</v>
      </c>
      <c r="DS152" s="25" t="s">
        <v>121</v>
      </c>
      <c r="DT152" s="25" t="s">
        <v>121</v>
      </c>
      <c r="DU152" s="25" t="s">
        <v>121</v>
      </c>
      <c r="DV152" s="25" t="s">
        <v>121</v>
      </c>
      <c r="DW152" s="25" t="s">
        <v>121</v>
      </c>
      <c r="DX152" s="25" t="s">
        <v>121</v>
      </c>
      <c r="DY152" s="25" t="s">
        <v>121</v>
      </c>
      <c r="DZ152" s="25" t="s">
        <v>121</v>
      </c>
      <c r="EA152" s="25" t="s">
        <v>121</v>
      </c>
      <c r="EB152" s="25" t="s">
        <v>121</v>
      </c>
      <c r="EC152" s="25" t="s">
        <v>121</v>
      </c>
      <c r="ED152" s="25" t="s">
        <v>121</v>
      </c>
      <c r="EE152" s="25" t="s">
        <v>121</v>
      </c>
      <c r="EF152" s="25" t="s">
        <v>121</v>
      </c>
      <c r="EG152" s="25" t="s">
        <v>121</v>
      </c>
      <c r="EH152" s="25" t="s">
        <v>121</v>
      </c>
      <c r="EI152" s="25" t="s">
        <v>121</v>
      </c>
      <c r="EJ152" s="25" t="s">
        <v>121</v>
      </c>
      <c r="EK152" s="25" t="s">
        <v>121</v>
      </c>
      <c r="EL152" s="25" t="s">
        <v>121</v>
      </c>
      <c r="EM152" s="25" t="s">
        <v>121</v>
      </c>
      <c r="EN152" s="25" t="s">
        <v>121</v>
      </c>
      <c r="EO152" s="25" t="s">
        <v>121</v>
      </c>
      <c r="EP152" s="25" t="s">
        <v>121</v>
      </c>
      <c r="EQ152" s="25" t="s">
        <v>121</v>
      </c>
      <c r="ER152" s="25" t="s">
        <v>121</v>
      </c>
      <c r="ES152" s="25" t="s">
        <v>121</v>
      </c>
      <c r="ET152" s="25" t="s">
        <v>121</v>
      </c>
      <c r="EU152" s="25" t="s">
        <v>121</v>
      </c>
      <c r="EV152" s="25" t="s">
        <v>121</v>
      </c>
      <c r="EW152" s="25" t="s">
        <v>121</v>
      </c>
      <c r="EX152" s="25" t="s">
        <v>121</v>
      </c>
    </row>
    <row r="153" spans="1:154" s="25" customFormat="1" x14ac:dyDescent="0.25">
      <c r="A153" s="72">
        <v>153</v>
      </c>
      <c r="B153" s="68" t="s">
        <v>196</v>
      </c>
      <c r="C153" s="91">
        <f ca="1">OFFSET($E$7,$A153-$A$7,1,1,1)/OFFSET($E$7,$A153-$A$7,2,1,1)-1</f>
        <v>-3.967123287671237E-2</v>
      </c>
      <c r="D153" s="86"/>
      <c r="E153" s="92">
        <f ca="1">OFFSET($E$7,$A153-$A$7,1,1,1)/OFFSET($E$7,$A153-$A$7,5,1,1)-1</f>
        <v>-0.33928975344944579</v>
      </c>
      <c r="F153" s="170">
        <f t="shared" ref="F153:P153" si="16">F109</f>
        <v>8763</v>
      </c>
      <c r="G153" s="170">
        <f t="shared" si="16"/>
        <v>9125</v>
      </c>
      <c r="H153" s="170">
        <f t="shared" si="16"/>
        <v>15527</v>
      </c>
      <c r="I153" s="170">
        <f t="shared" si="16"/>
        <v>13209</v>
      </c>
      <c r="J153" s="170">
        <f t="shared" si="16"/>
        <v>13263</v>
      </c>
      <c r="K153" s="170">
        <f t="shared" si="16"/>
        <v>11287</v>
      </c>
      <c r="L153" s="170">
        <f t="shared" si="16"/>
        <v>13020</v>
      </c>
      <c r="M153" s="170">
        <f t="shared" si="16"/>
        <v>10435</v>
      </c>
      <c r="N153" s="170">
        <f t="shared" si="16"/>
        <v>8525</v>
      </c>
      <c r="O153" s="170">
        <f t="shared" si="16"/>
        <v>13734</v>
      </c>
      <c r="P153" s="170">
        <f t="shared" si="16"/>
        <v>14621</v>
      </c>
      <c r="Q153" s="405"/>
      <c r="R153" s="405"/>
      <c r="S153" s="405"/>
      <c r="T153" s="405"/>
      <c r="U153" s="170">
        <v>6677</v>
      </c>
      <c r="V153" s="170">
        <v>4137</v>
      </c>
      <c r="W153" s="170">
        <v>4876</v>
      </c>
      <c r="X153" s="170">
        <v>2393</v>
      </c>
      <c r="Y153" s="170">
        <v>4478.4600000000028</v>
      </c>
      <c r="Z153" s="170">
        <v>2750.243999999996</v>
      </c>
      <c r="AA153" s="170">
        <v>2017.1330000000016</v>
      </c>
      <c r="AB153" s="170">
        <v>1581.1629999999996</v>
      </c>
      <c r="AC153" s="170">
        <v>2403.8070000000016</v>
      </c>
      <c r="AD153" s="170">
        <v>2030.4070000000024</v>
      </c>
      <c r="AE153" s="170">
        <v>2190.0229999999988</v>
      </c>
      <c r="AF153" s="170">
        <v>1281.6540000000005</v>
      </c>
      <c r="AG153" s="170">
        <v>2574.9790000000066</v>
      </c>
      <c r="AH153" s="170">
        <v>2081.9969999999948</v>
      </c>
      <c r="AI153" s="170">
        <v>2542.8809999999994</v>
      </c>
      <c r="AJ153" s="170">
        <v>2199.5059999999989</v>
      </c>
      <c r="AK153" s="70">
        <v>2118.8319999999949</v>
      </c>
      <c r="AL153" s="70">
        <v>2129.0549999999994</v>
      </c>
      <c r="AM153" s="70">
        <v>2147.1739999999982</v>
      </c>
      <c r="AN153" s="70">
        <v>1672.844000000001</v>
      </c>
      <c r="AO153" s="70">
        <v>1422.6719999999991</v>
      </c>
      <c r="AP153" s="70">
        <v>1315.956000000001</v>
      </c>
      <c r="AQ153" s="70">
        <v>1051.0119999999981</v>
      </c>
      <c r="AR153" s="70">
        <v>1178.8510000000006</v>
      </c>
      <c r="AS153" s="70">
        <v>1168.1830000000027</v>
      </c>
      <c r="AT153" s="70">
        <v>1420.6899999999951</v>
      </c>
      <c r="AU153" s="70">
        <v>1020.4610000000013</v>
      </c>
      <c r="AV153" s="70">
        <v>862.88799999999969</v>
      </c>
      <c r="AW153" s="70">
        <v>1068.0550000000035</v>
      </c>
      <c r="AX153" s="70">
        <v>1489.8400000000011</v>
      </c>
      <c r="AY153" s="70">
        <v>1207.4859999999996</v>
      </c>
      <c r="AZ153" s="70">
        <v>2012.5230000000004</v>
      </c>
      <c r="BA153" s="70">
        <v>1434.4760000000019</v>
      </c>
      <c r="BB153" s="70">
        <v>1327.7309999999998</v>
      </c>
      <c r="BC153" s="70">
        <v>1207.0020000000009</v>
      </c>
      <c r="BD153" s="70">
        <v>1338.2549999999997</v>
      </c>
      <c r="BE153" s="70">
        <v>637.1570000000014</v>
      </c>
      <c r="BF153" s="70">
        <v>918.65500000000054</v>
      </c>
      <c r="BG153" s="70">
        <v>438.58499999999981</v>
      </c>
      <c r="BH153" s="70">
        <v>452.20899999999972</v>
      </c>
      <c r="BI153" s="70">
        <v>846.86499999999978</v>
      </c>
      <c r="BJ153" s="70">
        <v>1049.6539999999998</v>
      </c>
      <c r="BK153" s="70">
        <v>1712.17</v>
      </c>
      <c r="BL153" s="70">
        <v>2257.8780000000006</v>
      </c>
      <c r="BM153" s="25">
        <v>1976.3860000000006</v>
      </c>
      <c r="BN153" s="25">
        <v>1316.1240000000005</v>
      </c>
      <c r="BO153" s="25">
        <v>918.89900000000057</v>
      </c>
      <c r="BP153" s="25">
        <v>469.16200000000026</v>
      </c>
      <c r="BQ153" s="25" t="s">
        <v>121</v>
      </c>
      <c r="BR153" s="25" t="s">
        <v>121</v>
      </c>
      <c r="BS153" s="25" t="s">
        <v>121</v>
      </c>
      <c r="BT153" s="25" t="s">
        <v>121</v>
      </c>
      <c r="BU153" s="25" t="s">
        <v>121</v>
      </c>
      <c r="BV153" s="25" t="s">
        <v>121</v>
      </c>
      <c r="BW153" s="25" t="s">
        <v>121</v>
      </c>
      <c r="BX153" s="25" t="s">
        <v>121</v>
      </c>
      <c r="BY153" s="25" t="s">
        <v>121</v>
      </c>
      <c r="BZ153" s="25" t="s">
        <v>121</v>
      </c>
      <c r="CA153" s="25" t="s">
        <v>121</v>
      </c>
      <c r="CB153" s="25" t="s">
        <v>121</v>
      </c>
      <c r="CC153" s="25" t="s">
        <v>121</v>
      </c>
      <c r="CD153" s="25" t="s">
        <v>121</v>
      </c>
      <c r="CE153" s="25" t="s">
        <v>121</v>
      </c>
      <c r="CF153" s="25" t="s">
        <v>121</v>
      </c>
      <c r="CG153" s="25" t="s">
        <v>121</v>
      </c>
      <c r="CH153" s="25" t="s">
        <v>121</v>
      </c>
      <c r="CI153" s="25" t="s">
        <v>121</v>
      </c>
      <c r="CJ153" s="25" t="s">
        <v>121</v>
      </c>
      <c r="CK153" s="25" t="s">
        <v>121</v>
      </c>
      <c r="CL153" s="25" t="s">
        <v>121</v>
      </c>
      <c r="CM153" s="25" t="s">
        <v>121</v>
      </c>
      <c r="CN153" s="25" t="s">
        <v>121</v>
      </c>
      <c r="CO153" s="25" t="s">
        <v>121</v>
      </c>
      <c r="CP153" s="25" t="s">
        <v>121</v>
      </c>
      <c r="CQ153" s="25" t="s">
        <v>121</v>
      </c>
      <c r="CR153" s="25" t="s">
        <v>121</v>
      </c>
      <c r="CS153" s="25" t="s">
        <v>121</v>
      </c>
      <c r="CT153" s="25" t="s">
        <v>121</v>
      </c>
      <c r="CU153" s="25" t="s">
        <v>121</v>
      </c>
      <c r="CV153" s="25" t="s">
        <v>121</v>
      </c>
      <c r="CW153" s="25" t="s">
        <v>121</v>
      </c>
      <c r="CX153" s="25" t="s">
        <v>121</v>
      </c>
      <c r="CY153" s="25" t="s">
        <v>121</v>
      </c>
      <c r="CZ153" s="25" t="s">
        <v>121</v>
      </c>
      <c r="DA153" s="25" t="s">
        <v>121</v>
      </c>
      <c r="DB153" s="25" t="s">
        <v>121</v>
      </c>
      <c r="DC153" s="25" t="s">
        <v>121</v>
      </c>
      <c r="DD153" s="25" t="s">
        <v>121</v>
      </c>
      <c r="DE153" s="25" t="s">
        <v>121</v>
      </c>
      <c r="DF153" s="25" t="s">
        <v>121</v>
      </c>
      <c r="DG153" s="25" t="s">
        <v>121</v>
      </c>
      <c r="DH153" s="25" t="s">
        <v>121</v>
      </c>
      <c r="DI153" s="25" t="s">
        <v>121</v>
      </c>
      <c r="DJ153" s="25" t="s">
        <v>121</v>
      </c>
      <c r="DK153" s="25" t="s">
        <v>121</v>
      </c>
      <c r="DL153" s="25" t="s">
        <v>121</v>
      </c>
      <c r="DM153" s="25" t="s">
        <v>121</v>
      </c>
      <c r="DN153" s="25" t="s">
        <v>121</v>
      </c>
      <c r="DO153" s="25" t="s">
        <v>121</v>
      </c>
      <c r="DP153" s="25" t="s">
        <v>121</v>
      </c>
      <c r="DQ153" s="25" t="s">
        <v>121</v>
      </c>
      <c r="DR153" s="25" t="s">
        <v>121</v>
      </c>
      <c r="DS153" s="25" t="s">
        <v>121</v>
      </c>
      <c r="DT153" s="25" t="s">
        <v>121</v>
      </c>
      <c r="DU153" s="25" t="s">
        <v>121</v>
      </c>
      <c r="DV153" s="25" t="s">
        <v>121</v>
      </c>
      <c r="DW153" s="25" t="s">
        <v>121</v>
      </c>
      <c r="DX153" s="25" t="s">
        <v>121</v>
      </c>
      <c r="DY153" s="25" t="s">
        <v>121</v>
      </c>
      <c r="DZ153" s="25" t="s">
        <v>121</v>
      </c>
      <c r="EA153" s="25" t="s">
        <v>121</v>
      </c>
      <c r="EB153" s="25" t="s">
        <v>121</v>
      </c>
      <c r="EC153" s="25" t="s">
        <v>121</v>
      </c>
      <c r="ED153" s="25" t="s">
        <v>121</v>
      </c>
      <c r="EE153" s="25" t="s">
        <v>121</v>
      </c>
      <c r="EF153" s="25" t="s">
        <v>121</v>
      </c>
      <c r="EG153" s="25" t="s">
        <v>121</v>
      </c>
      <c r="EH153" s="25" t="s">
        <v>121</v>
      </c>
      <c r="EI153" s="25" t="s">
        <v>121</v>
      </c>
      <c r="EJ153" s="25" t="s">
        <v>121</v>
      </c>
      <c r="EK153" s="25" t="s">
        <v>121</v>
      </c>
      <c r="EL153" s="25" t="s">
        <v>121</v>
      </c>
      <c r="EM153" s="25" t="s">
        <v>121</v>
      </c>
      <c r="EN153" s="25" t="s">
        <v>121</v>
      </c>
      <c r="EO153" s="25" t="s">
        <v>121</v>
      </c>
      <c r="EP153" s="25" t="s">
        <v>121</v>
      </c>
      <c r="EQ153" s="25" t="s">
        <v>121</v>
      </c>
      <c r="ER153" s="25" t="s">
        <v>121</v>
      </c>
      <c r="ES153" s="25" t="s">
        <v>121</v>
      </c>
      <c r="ET153" s="25" t="s">
        <v>121</v>
      </c>
      <c r="EU153" s="25" t="s">
        <v>121</v>
      </c>
      <c r="EV153" s="25" t="s">
        <v>121</v>
      </c>
      <c r="EW153" s="25" t="s">
        <v>121</v>
      </c>
      <c r="EX153" s="25" t="s">
        <v>121</v>
      </c>
    </row>
    <row r="154" spans="1:154" ht="15" customHeight="1" x14ac:dyDescent="0.25">
      <c r="A154" s="72">
        <v>154</v>
      </c>
      <c r="B154" s="1" t="s">
        <v>121</v>
      </c>
      <c r="C154" s="1" t="s">
        <v>121</v>
      </c>
      <c r="D154" s="1" t="s">
        <v>121</v>
      </c>
      <c r="E154" s="1" t="s">
        <v>121</v>
      </c>
      <c r="F154" s="331" t="s">
        <v>121</v>
      </c>
      <c r="G154" s="331" t="s">
        <v>121</v>
      </c>
      <c r="H154" s="331" t="s">
        <v>121</v>
      </c>
      <c r="I154" s="331" t="s">
        <v>121</v>
      </c>
      <c r="J154" s="331" t="s">
        <v>121</v>
      </c>
      <c r="K154" s="331" t="s">
        <v>121</v>
      </c>
      <c r="L154" s="331" t="s">
        <v>121</v>
      </c>
      <c r="M154" s="331" t="s">
        <v>121</v>
      </c>
      <c r="N154" s="331" t="s">
        <v>121</v>
      </c>
      <c r="O154" s="331" t="s">
        <v>121</v>
      </c>
      <c r="P154" s="331" t="s">
        <v>121</v>
      </c>
      <c r="Q154" s="331" t="s">
        <v>121</v>
      </c>
      <c r="R154" s="25" t="s">
        <v>121</v>
      </c>
      <c r="S154" s="25" t="s">
        <v>121</v>
      </c>
      <c r="T154" s="25" t="s">
        <v>121</v>
      </c>
      <c r="U154" s="1" t="s">
        <v>121</v>
      </c>
      <c r="V154" s="1" t="s">
        <v>121</v>
      </c>
      <c r="W154" s="1" t="s">
        <v>121</v>
      </c>
      <c r="X154" s="1" t="s">
        <v>121</v>
      </c>
      <c r="Y154" s="25" t="s">
        <v>121</v>
      </c>
      <c r="Z154" s="1" t="s">
        <v>121</v>
      </c>
      <c r="AA154" s="1" t="s">
        <v>121</v>
      </c>
      <c r="AB154" s="283" t="s">
        <v>121</v>
      </c>
      <c r="AC154" s="1" t="s">
        <v>121</v>
      </c>
      <c r="AD154" s="1" t="s">
        <v>121</v>
      </c>
      <c r="AE154" s="1" t="s">
        <v>121</v>
      </c>
      <c r="AF154" s="1" t="s">
        <v>121</v>
      </c>
      <c r="AG154" s="1" t="s">
        <v>121</v>
      </c>
      <c r="AH154" s="1" t="s">
        <v>121</v>
      </c>
      <c r="AI154" s="1" t="s">
        <v>121</v>
      </c>
      <c r="AJ154" s="1" t="s">
        <v>121</v>
      </c>
      <c r="AK154" s="1" t="s">
        <v>121</v>
      </c>
      <c r="AL154" s="1" t="s">
        <v>121</v>
      </c>
      <c r="AM154" s="1" t="s">
        <v>121</v>
      </c>
      <c r="AN154" s="1" t="s">
        <v>121</v>
      </c>
      <c r="AO154" s="1" t="s">
        <v>121</v>
      </c>
      <c r="AP154" s="1" t="s">
        <v>121</v>
      </c>
      <c r="AQ154" s="1" t="s">
        <v>121</v>
      </c>
      <c r="AR154" s="1" t="s">
        <v>121</v>
      </c>
      <c r="AS154" s="1" t="s">
        <v>121</v>
      </c>
      <c r="AT154" s="25" t="s">
        <v>121</v>
      </c>
      <c r="AU154" s="25" t="s">
        <v>121</v>
      </c>
      <c r="AV154" s="1" t="s">
        <v>121</v>
      </c>
      <c r="AW154" s="1" t="s">
        <v>121</v>
      </c>
      <c r="AX154" s="1" t="s">
        <v>121</v>
      </c>
      <c r="AY154" s="1" t="s">
        <v>121</v>
      </c>
      <c r="AZ154" s="27" t="s">
        <v>121</v>
      </c>
      <c r="BA154" s="1" t="s">
        <v>121</v>
      </c>
      <c r="BB154" s="1" t="s">
        <v>121</v>
      </c>
      <c r="BC154" s="1" t="s">
        <v>121</v>
      </c>
      <c r="BD154" s="1" t="s">
        <v>121</v>
      </c>
      <c r="BE154" s="1" t="s">
        <v>121</v>
      </c>
      <c r="BF154" s="1" t="s">
        <v>121</v>
      </c>
      <c r="BG154" s="1" t="s">
        <v>121</v>
      </c>
      <c r="BH154" s="1" t="s">
        <v>121</v>
      </c>
      <c r="BI154" s="1" t="s">
        <v>121</v>
      </c>
      <c r="BJ154" s="1" t="s">
        <v>121</v>
      </c>
      <c r="BK154" s="1" t="s">
        <v>121</v>
      </c>
      <c r="BL154" s="1" t="s">
        <v>121</v>
      </c>
      <c r="BM154" s="1" t="s">
        <v>121</v>
      </c>
      <c r="BN154" s="1" t="s">
        <v>121</v>
      </c>
      <c r="BO154" s="1" t="s">
        <v>121</v>
      </c>
      <c r="BP154" s="1" t="s">
        <v>121</v>
      </c>
      <c r="BQ154" s="1" t="s">
        <v>121</v>
      </c>
      <c r="BR154" s="1" t="s">
        <v>121</v>
      </c>
      <c r="BS154" s="1" t="s">
        <v>121</v>
      </c>
      <c r="BT154" s="1" t="s">
        <v>121</v>
      </c>
      <c r="BU154" s="1" t="s">
        <v>121</v>
      </c>
      <c r="BV154" s="1" t="s">
        <v>121</v>
      </c>
      <c r="BW154" s="1" t="s">
        <v>121</v>
      </c>
      <c r="BX154" s="1" t="s">
        <v>121</v>
      </c>
      <c r="BY154" s="1" t="s">
        <v>121</v>
      </c>
      <c r="BZ154" s="1" t="s">
        <v>121</v>
      </c>
      <c r="CA154" s="1" t="s">
        <v>121</v>
      </c>
      <c r="CB154" s="1" t="s">
        <v>121</v>
      </c>
      <c r="CC154" s="1" t="s">
        <v>121</v>
      </c>
      <c r="CD154" s="1" t="s">
        <v>121</v>
      </c>
      <c r="CE154" s="1" t="s">
        <v>121</v>
      </c>
      <c r="CF154" s="1" t="s">
        <v>121</v>
      </c>
      <c r="CG154" s="1" t="s">
        <v>121</v>
      </c>
      <c r="CH154" s="1" t="s">
        <v>121</v>
      </c>
      <c r="CI154" s="1" t="s">
        <v>121</v>
      </c>
      <c r="CJ154" s="1" t="s">
        <v>121</v>
      </c>
      <c r="CK154" s="1" t="s">
        <v>121</v>
      </c>
      <c r="CL154" s="1" t="s">
        <v>121</v>
      </c>
      <c r="CM154" s="1" t="s">
        <v>121</v>
      </c>
      <c r="CN154" s="1" t="s">
        <v>121</v>
      </c>
      <c r="CO154" s="1" t="s">
        <v>121</v>
      </c>
      <c r="CP154" s="1" t="s">
        <v>121</v>
      </c>
      <c r="CQ154" s="1" t="s">
        <v>121</v>
      </c>
      <c r="CR154" s="1" t="s">
        <v>121</v>
      </c>
      <c r="CS154" s="1" t="s">
        <v>121</v>
      </c>
      <c r="CT154" s="1" t="s">
        <v>121</v>
      </c>
      <c r="CU154" s="1" t="s">
        <v>121</v>
      </c>
      <c r="CV154" s="1" t="s">
        <v>121</v>
      </c>
      <c r="CW154" s="1" t="s">
        <v>121</v>
      </c>
      <c r="CX154" s="1" t="s">
        <v>121</v>
      </c>
      <c r="CY154" s="1" t="s">
        <v>121</v>
      </c>
      <c r="CZ154" s="1" t="s">
        <v>121</v>
      </c>
      <c r="DA154" s="1" t="s">
        <v>121</v>
      </c>
      <c r="DB154" s="1" t="s">
        <v>121</v>
      </c>
      <c r="DC154" s="1" t="s">
        <v>121</v>
      </c>
      <c r="DD154" s="1" t="s">
        <v>121</v>
      </c>
      <c r="DE154" s="1" t="s">
        <v>121</v>
      </c>
      <c r="DF154" s="1" t="s">
        <v>121</v>
      </c>
      <c r="DG154" s="1" t="s">
        <v>121</v>
      </c>
      <c r="DH154" s="1" t="s">
        <v>121</v>
      </c>
      <c r="DI154" s="1" t="s">
        <v>121</v>
      </c>
      <c r="DJ154" s="1" t="s">
        <v>121</v>
      </c>
      <c r="DK154" s="1" t="s">
        <v>121</v>
      </c>
      <c r="DL154" s="1" t="s">
        <v>121</v>
      </c>
      <c r="DM154" s="1" t="s">
        <v>121</v>
      </c>
      <c r="DN154" s="1" t="s">
        <v>121</v>
      </c>
      <c r="DO154" s="1" t="s">
        <v>121</v>
      </c>
      <c r="DP154" s="1" t="s">
        <v>121</v>
      </c>
      <c r="DQ154" s="1" t="s">
        <v>121</v>
      </c>
      <c r="DR154" s="1" t="s">
        <v>121</v>
      </c>
      <c r="DS154" s="1" t="s">
        <v>121</v>
      </c>
      <c r="DT154" s="1" t="s">
        <v>121</v>
      </c>
      <c r="DU154" s="1" t="s">
        <v>121</v>
      </c>
      <c r="DV154" s="1" t="s">
        <v>121</v>
      </c>
      <c r="DW154" s="1" t="s">
        <v>121</v>
      </c>
      <c r="DX154" s="1" t="s">
        <v>121</v>
      </c>
      <c r="DY154" s="1" t="s">
        <v>121</v>
      </c>
      <c r="DZ154" s="1" t="s">
        <v>121</v>
      </c>
      <c r="EA154" s="1" t="s">
        <v>121</v>
      </c>
      <c r="EB154" s="1" t="s">
        <v>121</v>
      </c>
      <c r="EC154" s="1" t="s">
        <v>121</v>
      </c>
      <c r="ED154" s="1" t="s">
        <v>121</v>
      </c>
      <c r="EE154" s="1" t="s">
        <v>121</v>
      </c>
      <c r="EF154" s="1" t="s">
        <v>121</v>
      </c>
      <c r="EG154" s="1" t="s">
        <v>121</v>
      </c>
      <c r="EH154" s="1" t="s">
        <v>121</v>
      </c>
      <c r="EI154" s="1" t="s">
        <v>121</v>
      </c>
      <c r="EJ154" s="1" t="s">
        <v>121</v>
      </c>
      <c r="EK154" s="1" t="s">
        <v>121</v>
      </c>
      <c r="EL154" s="1" t="s">
        <v>121</v>
      </c>
      <c r="EM154" s="1" t="s">
        <v>121</v>
      </c>
      <c r="EN154" s="1" t="s">
        <v>121</v>
      </c>
      <c r="EO154" s="1" t="s">
        <v>121</v>
      </c>
      <c r="EP154" s="1" t="s">
        <v>121</v>
      </c>
      <c r="EQ154" s="1" t="s">
        <v>121</v>
      </c>
      <c r="ER154" s="1" t="s">
        <v>121</v>
      </c>
      <c r="ES154" s="1" t="s">
        <v>121</v>
      </c>
      <c r="ET154" s="1" t="s">
        <v>121</v>
      </c>
      <c r="EU154" s="1" t="s">
        <v>121</v>
      </c>
      <c r="EV154" s="1" t="s">
        <v>121</v>
      </c>
      <c r="EW154" s="1" t="s">
        <v>121</v>
      </c>
      <c r="EX154" s="1" t="s">
        <v>121</v>
      </c>
    </row>
    <row r="155" spans="1:154" x14ac:dyDescent="0.25">
      <c r="A155" s="72">
        <v>155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</row>
    <row r="156" spans="1:154" x14ac:dyDescent="0.25">
      <c r="A156" s="72">
        <v>156</v>
      </c>
      <c r="AZ156" s="27"/>
    </row>
    <row r="157" spans="1:154" x14ac:dyDescent="0.25">
      <c r="A157" s="72">
        <v>157</v>
      </c>
      <c r="B157" s="426" t="s">
        <v>244</v>
      </c>
      <c r="C157" s="436" t="s">
        <v>121</v>
      </c>
      <c r="D157" s="215" t="s">
        <v>121</v>
      </c>
      <c r="E157" s="434" t="s">
        <v>265</v>
      </c>
      <c r="F157" s="416" t="s">
        <v>129</v>
      </c>
      <c r="G157" s="416" t="s">
        <v>130</v>
      </c>
      <c r="H157" s="416" t="s">
        <v>131</v>
      </c>
      <c r="I157" s="416" t="s">
        <v>132</v>
      </c>
      <c r="J157" s="416" t="s">
        <v>133</v>
      </c>
      <c r="K157" s="416" t="s">
        <v>134</v>
      </c>
      <c r="L157" s="416" t="s">
        <v>135</v>
      </c>
      <c r="M157" s="416" t="s">
        <v>136</v>
      </c>
      <c r="N157" s="416" t="s">
        <v>137</v>
      </c>
      <c r="O157" s="416" t="s">
        <v>138</v>
      </c>
      <c r="P157" s="416" t="s">
        <v>139</v>
      </c>
      <c r="Q157" s="416" t="s">
        <v>140</v>
      </c>
      <c r="R157" s="416" t="s">
        <v>141</v>
      </c>
      <c r="S157" s="416" t="s">
        <v>142</v>
      </c>
      <c r="T157" s="416" t="s">
        <v>143</v>
      </c>
      <c r="U157" s="416" t="s">
        <v>144</v>
      </c>
      <c r="V157" s="416" t="s">
        <v>145</v>
      </c>
      <c r="W157" s="416" t="s">
        <v>146</v>
      </c>
      <c r="X157" s="416" t="s">
        <v>147</v>
      </c>
      <c r="Y157" s="416" t="s">
        <v>148</v>
      </c>
      <c r="Z157" s="416" t="s">
        <v>149</v>
      </c>
      <c r="AA157" s="416" t="s">
        <v>150</v>
      </c>
      <c r="AB157" s="416" t="s">
        <v>151</v>
      </c>
      <c r="AC157" s="416" t="s">
        <v>152</v>
      </c>
      <c r="AD157" s="416" t="s">
        <v>153</v>
      </c>
      <c r="AE157" s="416" t="s">
        <v>154</v>
      </c>
      <c r="AF157" s="416" t="s">
        <v>155</v>
      </c>
      <c r="AG157" s="416" t="s">
        <v>156</v>
      </c>
      <c r="AH157" s="416" t="s">
        <v>157</v>
      </c>
      <c r="AI157" s="416" t="s">
        <v>158</v>
      </c>
      <c r="AJ157" s="416" t="s">
        <v>159</v>
      </c>
      <c r="AK157" s="416" t="s">
        <v>160</v>
      </c>
      <c r="AL157" s="416" t="s">
        <v>161</v>
      </c>
      <c r="AM157" s="416" t="s">
        <v>162</v>
      </c>
      <c r="AN157" s="416" t="s">
        <v>163</v>
      </c>
      <c r="AO157" s="416" t="s">
        <v>164</v>
      </c>
      <c r="AP157" s="416" t="s">
        <v>165</v>
      </c>
      <c r="AQ157" s="416" t="s">
        <v>166</v>
      </c>
      <c r="AR157" s="416" t="s">
        <v>167</v>
      </c>
      <c r="AS157" s="416" t="s">
        <v>168</v>
      </c>
      <c r="AT157" s="416" t="s">
        <v>169</v>
      </c>
      <c r="AU157" s="416" t="s">
        <v>170</v>
      </c>
      <c r="AV157" s="416" t="s">
        <v>171</v>
      </c>
      <c r="AW157" s="416" t="s">
        <v>172</v>
      </c>
      <c r="AX157" s="416" t="s">
        <v>173</v>
      </c>
      <c r="AY157" s="416" t="s">
        <v>174</v>
      </c>
      <c r="AZ157" s="416" t="s">
        <v>175</v>
      </c>
      <c r="BA157" s="416" t="s">
        <v>176</v>
      </c>
      <c r="BB157" s="416" t="s">
        <v>177</v>
      </c>
      <c r="BC157" s="416" t="s">
        <v>178</v>
      </c>
      <c r="BD157" s="416" t="s">
        <v>179</v>
      </c>
      <c r="BE157" s="416" t="s">
        <v>180</v>
      </c>
      <c r="BF157" s="416" t="s">
        <v>181</v>
      </c>
      <c r="BG157" s="416" t="s">
        <v>182</v>
      </c>
      <c r="BH157" s="416" t="s">
        <v>183</v>
      </c>
      <c r="BI157" s="416" t="s">
        <v>184</v>
      </c>
      <c r="BJ157" s="416" t="s">
        <v>185</v>
      </c>
      <c r="BK157" s="416" t="s">
        <v>186</v>
      </c>
      <c r="BL157" s="416" t="s">
        <v>187</v>
      </c>
      <c r="BM157" s="1" t="s">
        <v>188</v>
      </c>
      <c r="BN157" s="1" t="s">
        <v>189</v>
      </c>
      <c r="BO157" s="1" t="s">
        <v>190</v>
      </c>
      <c r="BP157" s="1" t="s">
        <v>191</v>
      </c>
      <c r="BQ157" s="1" t="s">
        <v>121</v>
      </c>
      <c r="BR157" s="1" t="s">
        <v>121</v>
      </c>
      <c r="BS157" s="1" t="s">
        <v>121</v>
      </c>
      <c r="BT157" s="1" t="s">
        <v>121</v>
      </c>
      <c r="BU157" s="1" t="s">
        <v>121</v>
      </c>
      <c r="BV157" s="1" t="s">
        <v>121</v>
      </c>
      <c r="BW157" s="1" t="s">
        <v>121</v>
      </c>
      <c r="BX157" s="1" t="s">
        <v>121</v>
      </c>
      <c r="BY157" s="1" t="s">
        <v>121</v>
      </c>
      <c r="BZ157" s="1" t="s">
        <v>121</v>
      </c>
      <c r="CA157" s="1" t="s">
        <v>121</v>
      </c>
      <c r="CB157" s="1" t="s">
        <v>121</v>
      </c>
      <c r="CC157" s="1" t="s">
        <v>121</v>
      </c>
      <c r="CD157" s="1" t="s">
        <v>121</v>
      </c>
      <c r="CE157" s="1" t="s">
        <v>121</v>
      </c>
      <c r="CF157" s="1" t="s">
        <v>121</v>
      </c>
      <c r="CG157" s="1" t="s">
        <v>121</v>
      </c>
      <c r="CH157" s="1" t="s">
        <v>121</v>
      </c>
      <c r="CI157" s="1" t="s">
        <v>121</v>
      </c>
      <c r="CJ157" s="1" t="s">
        <v>121</v>
      </c>
      <c r="CK157" s="1" t="s">
        <v>121</v>
      </c>
      <c r="CL157" s="1" t="s">
        <v>121</v>
      </c>
      <c r="CM157" s="1" t="s">
        <v>121</v>
      </c>
      <c r="CN157" s="1" t="s">
        <v>121</v>
      </c>
      <c r="CO157" s="1" t="s">
        <v>121</v>
      </c>
      <c r="CP157" s="1" t="s">
        <v>121</v>
      </c>
      <c r="CQ157" s="1" t="s">
        <v>121</v>
      </c>
      <c r="CR157" s="1" t="s">
        <v>121</v>
      </c>
      <c r="CS157" s="1" t="s">
        <v>121</v>
      </c>
      <c r="CT157" s="1" t="s">
        <v>121</v>
      </c>
      <c r="CU157" s="1" t="s">
        <v>121</v>
      </c>
      <c r="CV157" s="1" t="s">
        <v>121</v>
      </c>
      <c r="CW157" s="1" t="s">
        <v>121</v>
      </c>
      <c r="CX157" s="1" t="s">
        <v>121</v>
      </c>
      <c r="CY157" s="1" t="s">
        <v>121</v>
      </c>
      <c r="CZ157" s="1" t="s">
        <v>121</v>
      </c>
      <c r="DA157" s="1" t="s">
        <v>121</v>
      </c>
      <c r="DB157" s="1" t="s">
        <v>121</v>
      </c>
      <c r="DC157" s="1" t="s">
        <v>121</v>
      </c>
      <c r="DD157" s="1" t="s">
        <v>121</v>
      </c>
      <c r="DE157" s="1" t="s">
        <v>121</v>
      </c>
      <c r="DF157" s="1" t="s">
        <v>121</v>
      </c>
      <c r="DG157" s="1" t="s">
        <v>121</v>
      </c>
      <c r="DH157" s="1" t="s">
        <v>121</v>
      </c>
      <c r="DI157" s="1" t="s">
        <v>121</v>
      </c>
      <c r="DJ157" s="1" t="s">
        <v>121</v>
      </c>
      <c r="DK157" s="1" t="s">
        <v>121</v>
      </c>
      <c r="DL157" s="1" t="s">
        <v>121</v>
      </c>
      <c r="DM157" s="1" t="s">
        <v>121</v>
      </c>
      <c r="DN157" s="1" t="s">
        <v>121</v>
      </c>
      <c r="DO157" s="1" t="s">
        <v>121</v>
      </c>
      <c r="DP157" s="1" t="s">
        <v>121</v>
      </c>
      <c r="DQ157" s="1" t="s">
        <v>121</v>
      </c>
      <c r="DR157" s="1" t="s">
        <v>121</v>
      </c>
      <c r="DS157" s="1" t="s">
        <v>121</v>
      </c>
      <c r="DT157" s="1" t="s">
        <v>121</v>
      </c>
      <c r="DU157" s="1" t="s">
        <v>121</v>
      </c>
      <c r="DV157" s="1" t="s">
        <v>121</v>
      </c>
      <c r="DW157" s="1" t="s">
        <v>121</v>
      </c>
      <c r="DX157" s="1" t="s">
        <v>121</v>
      </c>
      <c r="DY157" s="1" t="s">
        <v>121</v>
      </c>
      <c r="DZ157" s="1" t="s">
        <v>121</v>
      </c>
      <c r="EA157" s="1" t="s">
        <v>121</v>
      </c>
      <c r="EB157" s="1" t="s">
        <v>121</v>
      </c>
      <c r="EC157" s="1" t="s">
        <v>121</v>
      </c>
      <c r="ED157" s="1" t="s">
        <v>121</v>
      </c>
      <c r="EE157" s="1" t="s">
        <v>121</v>
      </c>
      <c r="EF157" s="1" t="s">
        <v>121</v>
      </c>
      <c r="EG157" s="1" t="s">
        <v>121</v>
      </c>
      <c r="EH157" s="1" t="s">
        <v>121</v>
      </c>
      <c r="EI157" s="1" t="s">
        <v>121</v>
      </c>
      <c r="EJ157" s="1" t="s">
        <v>121</v>
      </c>
      <c r="EK157" s="1" t="s">
        <v>121</v>
      </c>
      <c r="EL157" s="1" t="s">
        <v>121</v>
      </c>
      <c r="EM157" s="1" t="s">
        <v>121</v>
      </c>
      <c r="EN157" s="1" t="s">
        <v>121</v>
      </c>
      <c r="EO157" s="1" t="s">
        <v>121</v>
      </c>
      <c r="EP157" s="1" t="s">
        <v>121</v>
      </c>
      <c r="EQ157" s="1" t="s">
        <v>121</v>
      </c>
      <c r="ER157" s="1" t="s">
        <v>121</v>
      </c>
      <c r="ES157" s="1" t="s">
        <v>121</v>
      </c>
      <c r="ET157" s="1" t="s">
        <v>121</v>
      </c>
      <c r="EU157" s="1" t="s">
        <v>121</v>
      </c>
      <c r="EV157" s="1" t="s">
        <v>121</v>
      </c>
      <c r="EW157" s="1" t="s">
        <v>121</v>
      </c>
      <c r="EX157" s="1" t="s">
        <v>121</v>
      </c>
    </row>
    <row r="158" spans="1:154" x14ac:dyDescent="0.25">
      <c r="A158" s="72">
        <v>158</v>
      </c>
      <c r="B158" s="427"/>
      <c r="C158" s="437"/>
      <c r="D158" s="258"/>
      <c r="E158" s="444"/>
      <c r="F158" s="417"/>
      <c r="G158" s="417"/>
      <c r="H158" s="418"/>
      <c r="I158" s="417"/>
      <c r="J158" s="417"/>
      <c r="K158" s="417"/>
      <c r="L158" s="418"/>
      <c r="M158" s="417"/>
      <c r="N158" s="417"/>
      <c r="O158" s="417"/>
      <c r="P158" s="418"/>
      <c r="Q158" s="418"/>
      <c r="R158" s="417"/>
      <c r="S158" s="417"/>
      <c r="T158" s="418"/>
      <c r="U158" s="418"/>
      <c r="V158" s="418"/>
      <c r="W158" s="417"/>
      <c r="X158" s="417"/>
      <c r="Y158" s="418"/>
      <c r="Z158" s="418"/>
      <c r="AA158" s="417"/>
      <c r="AB158" s="417"/>
      <c r="AC158" s="417"/>
      <c r="AD158" s="417"/>
      <c r="AE158" s="417"/>
      <c r="AF158" s="418"/>
      <c r="AG158" s="417"/>
      <c r="AH158" s="417"/>
      <c r="AI158" s="417"/>
      <c r="AJ158" s="418"/>
      <c r="AK158" s="417"/>
      <c r="AL158" s="417"/>
      <c r="AM158" s="417"/>
      <c r="AN158" s="418"/>
      <c r="AO158" s="418"/>
      <c r="AP158" s="418"/>
      <c r="AQ158" s="417"/>
      <c r="AR158" s="417"/>
      <c r="AS158" s="417"/>
      <c r="AT158" s="417"/>
      <c r="AU158" s="417"/>
      <c r="AV158" s="417"/>
      <c r="AW158" s="417"/>
      <c r="AX158" s="417"/>
      <c r="AY158" s="417"/>
      <c r="AZ158" s="417"/>
      <c r="BA158" s="417"/>
      <c r="BB158" s="417"/>
      <c r="BC158" s="417"/>
      <c r="BD158" s="417"/>
      <c r="BE158" s="417"/>
      <c r="BF158" s="417"/>
      <c r="BG158" s="417"/>
      <c r="BH158" s="417"/>
      <c r="BI158" s="417"/>
      <c r="BJ158" s="417"/>
      <c r="BK158" s="417"/>
      <c r="BL158" s="417"/>
    </row>
    <row r="159" spans="1:154" ht="8.1" customHeight="1" x14ac:dyDescent="0.25">
      <c r="A159" s="72">
        <v>159</v>
      </c>
      <c r="B159" s="8" t="s">
        <v>245</v>
      </c>
      <c r="C159" s="87" t="s">
        <v>121</v>
      </c>
      <c r="D159" s="56" t="s">
        <v>121</v>
      </c>
      <c r="E159" s="88" t="s">
        <v>121</v>
      </c>
      <c r="F159" s="56" t="s">
        <v>121</v>
      </c>
      <c r="G159" s="56" t="s">
        <v>121</v>
      </c>
      <c r="H159" s="56" t="s">
        <v>121</v>
      </c>
      <c r="I159" s="56" t="s">
        <v>121</v>
      </c>
      <c r="J159" s="56" t="s">
        <v>121</v>
      </c>
      <c r="K159" s="56" t="s">
        <v>121</v>
      </c>
      <c r="L159" s="56" t="s">
        <v>121</v>
      </c>
      <c r="M159" s="56" t="s">
        <v>121</v>
      </c>
      <c r="N159" s="56" t="s">
        <v>121</v>
      </c>
      <c r="O159" s="56" t="s">
        <v>121</v>
      </c>
      <c r="P159" s="56" t="s">
        <v>121</v>
      </c>
      <c r="Q159" s="56" t="s">
        <v>121</v>
      </c>
      <c r="R159" s="56" t="s">
        <v>121</v>
      </c>
      <c r="S159" s="56" t="s">
        <v>121</v>
      </c>
      <c r="T159" s="56" t="s">
        <v>121</v>
      </c>
      <c r="U159" s="56" t="s">
        <v>121</v>
      </c>
      <c r="V159" s="56" t="s">
        <v>121</v>
      </c>
      <c r="W159" s="56" t="s">
        <v>121</v>
      </c>
      <c r="X159" s="56" t="s">
        <v>121</v>
      </c>
      <c r="Y159" s="56" t="s">
        <v>121</v>
      </c>
      <c r="Z159" s="56" t="s">
        <v>121</v>
      </c>
      <c r="AA159" s="56" t="s">
        <v>121</v>
      </c>
      <c r="AB159" s="56" t="s">
        <v>121</v>
      </c>
      <c r="AC159" s="56" t="s">
        <v>121</v>
      </c>
      <c r="AD159" s="56" t="s">
        <v>121</v>
      </c>
      <c r="AE159" s="56" t="s">
        <v>121</v>
      </c>
      <c r="AF159" s="56" t="s">
        <v>121</v>
      </c>
      <c r="AG159" s="56" t="s">
        <v>121</v>
      </c>
      <c r="AH159" s="56" t="s">
        <v>121</v>
      </c>
      <c r="AI159" s="56" t="s">
        <v>121</v>
      </c>
      <c r="AJ159" s="56" t="s">
        <v>121</v>
      </c>
      <c r="AK159" s="56" t="s">
        <v>121</v>
      </c>
      <c r="AL159" s="56" t="s">
        <v>121</v>
      </c>
      <c r="AM159" s="56" t="s">
        <v>121</v>
      </c>
      <c r="AN159" s="56" t="s">
        <v>121</v>
      </c>
      <c r="AO159" s="56" t="s">
        <v>121</v>
      </c>
      <c r="AP159" s="56" t="s">
        <v>121</v>
      </c>
      <c r="AQ159" s="56" t="s">
        <v>121</v>
      </c>
      <c r="AR159" s="56" t="s">
        <v>121</v>
      </c>
      <c r="AS159" s="56" t="s">
        <v>121</v>
      </c>
      <c r="AT159" s="56" t="s">
        <v>121</v>
      </c>
      <c r="AU159" s="56" t="s">
        <v>121</v>
      </c>
      <c r="AV159" s="56" t="s">
        <v>121</v>
      </c>
      <c r="AW159" s="56" t="s">
        <v>121</v>
      </c>
      <c r="AX159" s="56" t="s">
        <v>121</v>
      </c>
      <c r="AY159" s="56" t="s">
        <v>121</v>
      </c>
      <c r="AZ159" s="8" t="s">
        <v>121</v>
      </c>
      <c r="BA159" s="1" t="s">
        <v>121</v>
      </c>
      <c r="BB159" s="1" t="s">
        <v>121</v>
      </c>
      <c r="BC159" s="1" t="s">
        <v>121</v>
      </c>
      <c r="BD159" s="1" t="s">
        <v>121</v>
      </c>
      <c r="BE159" s="1" t="s">
        <v>121</v>
      </c>
      <c r="BF159" s="1" t="s">
        <v>121</v>
      </c>
      <c r="BG159" s="1" t="s">
        <v>121</v>
      </c>
      <c r="BH159" s="1" t="s">
        <v>121</v>
      </c>
      <c r="BI159" s="1" t="s">
        <v>121</v>
      </c>
      <c r="BJ159" s="1" t="s">
        <v>121</v>
      </c>
      <c r="BK159" s="1" t="s">
        <v>121</v>
      </c>
      <c r="BL159" s="1" t="s">
        <v>121</v>
      </c>
      <c r="BM159" s="1" t="s">
        <v>121</v>
      </c>
      <c r="BN159" s="1" t="s">
        <v>121</v>
      </c>
      <c r="BO159" s="1" t="s">
        <v>121</v>
      </c>
      <c r="BP159" s="1" t="s">
        <v>121</v>
      </c>
      <c r="BQ159" s="1" t="s">
        <v>121</v>
      </c>
      <c r="BR159" s="1" t="s">
        <v>121</v>
      </c>
      <c r="BS159" s="1" t="s">
        <v>121</v>
      </c>
      <c r="BT159" s="1" t="s">
        <v>121</v>
      </c>
      <c r="BU159" s="1" t="s">
        <v>121</v>
      </c>
      <c r="BV159" s="1" t="s">
        <v>121</v>
      </c>
      <c r="BW159" s="1" t="s">
        <v>121</v>
      </c>
      <c r="BX159" s="1" t="s">
        <v>121</v>
      </c>
      <c r="BY159" s="1" t="s">
        <v>121</v>
      </c>
      <c r="BZ159" s="1" t="s">
        <v>121</v>
      </c>
      <c r="CA159" s="1" t="s">
        <v>121</v>
      </c>
      <c r="CB159" s="1" t="s">
        <v>121</v>
      </c>
      <c r="CC159" s="1" t="s">
        <v>121</v>
      </c>
      <c r="CD159" s="1" t="s">
        <v>121</v>
      </c>
      <c r="CE159" s="1" t="s">
        <v>121</v>
      </c>
      <c r="CF159" s="1" t="s">
        <v>121</v>
      </c>
      <c r="CG159" s="1" t="s">
        <v>121</v>
      </c>
      <c r="CH159" s="1" t="s">
        <v>121</v>
      </c>
      <c r="CI159" s="1" t="s">
        <v>121</v>
      </c>
      <c r="CJ159" s="1" t="s">
        <v>121</v>
      </c>
      <c r="CK159" s="1" t="s">
        <v>121</v>
      </c>
      <c r="CL159" s="1" t="s">
        <v>121</v>
      </c>
      <c r="CM159" s="1" t="s">
        <v>121</v>
      </c>
      <c r="CN159" s="1" t="s">
        <v>121</v>
      </c>
      <c r="CO159" s="1" t="s">
        <v>121</v>
      </c>
      <c r="CP159" s="1" t="s">
        <v>121</v>
      </c>
      <c r="CQ159" s="1" t="s">
        <v>121</v>
      </c>
      <c r="CR159" s="1" t="s">
        <v>121</v>
      </c>
      <c r="CS159" s="1" t="s">
        <v>121</v>
      </c>
      <c r="CT159" s="1" t="s">
        <v>121</v>
      </c>
      <c r="CU159" s="1" t="s">
        <v>121</v>
      </c>
      <c r="CV159" s="1" t="s">
        <v>121</v>
      </c>
      <c r="CW159" s="1" t="s">
        <v>121</v>
      </c>
      <c r="CX159" s="1" t="s">
        <v>121</v>
      </c>
      <c r="CY159" s="1" t="s">
        <v>121</v>
      </c>
      <c r="CZ159" s="1" t="s">
        <v>121</v>
      </c>
      <c r="DA159" s="1" t="s">
        <v>121</v>
      </c>
      <c r="DB159" s="1" t="s">
        <v>121</v>
      </c>
      <c r="DC159" s="1" t="s">
        <v>121</v>
      </c>
      <c r="DD159" s="1" t="s">
        <v>121</v>
      </c>
      <c r="DE159" s="1" t="s">
        <v>121</v>
      </c>
      <c r="DF159" s="1" t="s">
        <v>121</v>
      </c>
      <c r="DG159" s="1" t="s">
        <v>121</v>
      </c>
      <c r="DH159" s="1" t="s">
        <v>121</v>
      </c>
      <c r="DI159" s="1" t="s">
        <v>121</v>
      </c>
      <c r="DJ159" s="1" t="s">
        <v>121</v>
      </c>
      <c r="DK159" s="1" t="s">
        <v>121</v>
      </c>
      <c r="DL159" s="1" t="s">
        <v>121</v>
      </c>
      <c r="DM159" s="1" t="s">
        <v>121</v>
      </c>
      <c r="DN159" s="1" t="s">
        <v>121</v>
      </c>
      <c r="DO159" s="1" t="s">
        <v>121</v>
      </c>
      <c r="DP159" s="1" t="s">
        <v>121</v>
      </c>
      <c r="DQ159" s="1" t="s">
        <v>121</v>
      </c>
      <c r="DR159" s="1" t="s">
        <v>121</v>
      </c>
      <c r="DS159" s="1" t="s">
        <v>121</v>
      </c>
      <c r="DT159" s="1" t="s">
        <v>121</v>
      </c>
      <c r="DU159" s="1" t="s">
        <v>121</v>
      </c>
      <c r="DV159" s="1" t="s">
        <v>121</v>
      </c>
      <c r="DW159" s="1" t="s">
        <v>121</v>
      </c>
      <c r="DX159" s="1" t="s">
        <v>121</v>
      </c>
      <c r="DY159" s="1" t="s">
        <v>121</v>
      </c>
      <c r="DZ159" s="1" t="s">
        <v>121</v>
      </c>
      <c r="EA159" s="1" t="s">
        <v>121</v>
      </c>
      <c r="EB159" s="1" t="s">
        <v>121</v>
      </c>
      <c r="EC159" s="1" t="s">
        <v>121</v>
      </c>
      <c r="ED159" s="1" t="s">
        <v>121</v>
      </c>
      <c r="EE159" s="1" t="s">
        <v>121</v>
      </c>
      <c r="EF159" s="1" t="s">
        <v>121</v>
      </c>
      <c r="EG159" s="1" t="s">
        <v>121</v>
      </c>
      <c r="EH159" s="1" t="s">
        <v>121</v>
      </c>
      <c r="EI159" s="1" t="s">
        <v>121</v>
      </c>
      <c r="EJ159" s="1" t="s">
        <v>121</v>
      </c>
      <c r="EK159" s="1" t="s">
        <v>121</v>
      </c>
      <c r="EL159" s="1" t="s">
        <v>121</v>
      </c>
      <c r="EM159" s="1" t="s">
        <v>121</v>
      </c>
      <c r="EN159" s="1" t="s">
        <v>121</v>
      </c>
      <c r="EO159" s="1" t="s">
        <v>121</v>
      </c>
      <c r="EP159" s="1" t="s">
        <v>121</v>
      </c>
      <c r="EQ159" s="1" t="s">
        <v>121</v>
      </c>
      <c r="ER159" s="1" t="s">
        <v>121</v>
      </c>
      <c r="ES159" s="1" t="s">
        <v>121</v>
      </c>
      <c r="ET159" s="1" t="s">
        <v>121</v>
      </c>
      <c r="EU159" s="1" t="s">
        <v>121</v>
      </c>
      <c r="EV159" s="1" t="s">
        <v>121</v>
      </c>
      <c r="EW159" s="1" t="s">
        <v>121</v>
      </c>
      <c r="EX159" s="1" t="s">
        <v>121</v>
      </c>
    </row>
    <row r="160" spans="1:154" s="284" customFormat="1" x14ac:dyDescent="0.25">
      <c r="A160" s="72">
        <v>160</v>
      </c>
      <c r="B160" s="344" t="s">
        <v>246</v>
      </c>
      <c r="C160" s="345" t="s">
        <v>121</v>
      </c>
      <c r="D160" s="275" t="s">
        <v>121</v>
      </c>
      <c r="E160" s="270">
        <f ca="1">OFFSET($E$7,$A160-$A$7,1,1,1)-OFFSET($E$7,$A160-$A$7,5,1,1)</f>
        <v>2.5973319393141625E-3</v>
      </c>
      <c r="F160" s="243">
        <v>7.1599999999999997E-2</v>
      </c>
      <c r="G160" s="243">
        <v>7.4323384984518043E-2</v>
      </c>
      <c r="H160" s="243">
        <v>7.631658359504738E-2</v>
      </c>
      <c r="I160" s="243">
        <v>7.0152088987617711E-2</v>
      </c>
      <c r="J160" s="243">
        <v>6.9002668060685834E-2</v>
      </c>
      <c r="K160" s="243">
        <v>6.912224725097646E-2</v>
      </c>
      <c r="L160" s="243">
        <v>6.9295130393284735E-2</v>
      </c>
      <c r="M160" s="243">
        <v>5.8897017108796121E-2</v>
      </c>
      <c r="N160" s="243">
        <v>5.6111813151518801E-2</v>
      </c>
      <c r="O160" s="243">
        <v>5.5351175524950391E-2</v>
      </c>
      <c r="P160" s="243">
        <v>5.6125913319225174E-2</v>
      </c>
      <c r="Q160" s="405"/>
      <c r="R160" s="405"/>
      <c r="S160" s="405"/>
      <c r="T160" s="405"/>
      <c r="U160" s="243">
        <v>3.9399999999999998E-2</v>
      </c>
      <c r="V160" s="243">
        <v>3.8397617846329342E-2</v>
      </c>
      <c r="W160" s="243">
        <v>3.7987883612481413E-2</v>
      </c>
      <c r="X160" s="243">
        <v>3.8534518789598189E-2</v>
      </c>
      <c r="Y160" s="243">
        <v>3.9199999999999999E-2</v>
      </c>
      <c r="Z160" s="243">
        <v>3.7659324212404401E-2</v>
      </c>
      <c r="AA160" s="243">
        <v>4.0104915550283934E-2</v>
      </c>
      <c r="AB160" s="243">
        <v>4.0538711410975439E-2</v>
      </c>
      <c r="AC160" s="243">
        <v>3.7072526401586085E-2</v>
      </c>
      <c r="AD160" s="243">
        <v>3.6900000000000002E-2</v>
      </c>
      <c r="AE160" s="243">
        <v>3.6200000000000003E-2</v>
      </c>
      <c r="AF160" s="243">
        <v>3.8176583175730756E-2</v>
      </c>
      <c r="AG160" s="243">
        <v>3.6330349910235746E-2</v>
      </c>
      <c r="AH160" s="243">
        <v>3.6900000000000002E-2</v>
      </c>
      <c r="AI160" s="243">
        <v>3.6499999999999998E-2</v>
      </c>
      <c r="AJ160" s="243">
        <v>3.5799999999999998E-2</v>
      </c>
      <c r="AK160" s="243">
        <v>3.4799999999999998E-2</v>
      </c>
      <c r="AL160" s="243">
        <v>3.4299999999999997E-2</v>
      </c>
      <c r="AM160" s="243">
        <v>3.3000000000000002E-2</v>
      </c>
      <c r="AN160" s="243">
        <v>3.3399999999999999E-2</v>
      </c>
      <c r="AO160" s="243">
        <v>3.9199999999999999E-2</v>
      </c>
      <c r="AP160" s="243">
        <v>3.9300000000000002E-2</v>
      </c>
      <c r="AQ160" s="243">
        <v>3.8100000000000002E-2</v>
      </c>
      <c r="AR160" s="243">
        <v>3.6600000000000001E-2</v>
      </c>
      <c r="AS160" s="243">
        <v>3.39E-2</v>
      </c>
      <c r="AT160" s="243">
        <v>3.3700000000000001E-2</v>
      </c>
      <c r="AU160" s="243">
        <v>3.4099999999999998E-2</v>
      </c>
      <c r="AV160" s="243">
        <v>3.4599999999999999E-2</v>
      </c>
      <c r="AW160" s="243">
        <v>4.2999999999999997E-2</v>
      </c>
      <c r="AX160" s="243">
        <v>4.2700000000000002E-2</v>
      </c>
      <c r="AY160" s="243">
        <v>4.2799999999999998E-2</v>
      </c>
      <c r="AZ160" s="243">
        <v>4.1000000000000002E-2</v>
      </c>
      <c r="BA160" s="243">
        <v>3.7400000000000003E-2</v>
      </c>
      <c r="BB160" s="243">
        <v>3.6400000000000002E-2</v>
      </c>
      <c r="BC160" s="243">
        <v>3.6400000000000002E-2</v>
      </c>
      <c r="BD160" s="243">
        <v>3.5900000000000001E-2</v>
      </c>
      <c r="BE160" s="243">
        <v>3.85E-2</v>
      </c>
      <c r="BF160" s="243">
        <v>3.9100000000000003E-2</v>
      </c>
      <c r="BG160" s="243">
        <v>3.8399999999999997E-2</v>
      </c>
      <c r="BH160" s="243">
        <v>3.6499999999999998E-2</v>
      </c>
      <c r="BI160" s="243">
        <v>4.7800000000000002E-2</v>
      </c>
      <c r="BJ160" s="243">
        <v>0.05</v>
      </c>
      <c r="BK160" s="243">
        <v>5.0700000000000002E-2</v>
      </c>
      <c r="BL160" s="243">
        <v>0.05</v>
      </c>
      <c r="BM160" s="284">
        <v>4.9399999999999999E-2</v>
      </c>
      <c r="BN160" s="284">
        <v>5.21E-2</v>
      </c>
      <c r="BO160" s="284">
        <v>5.5399999999999998E-2</v>
      </c>
      <c r="BP160" s="284">
        <v>5.57E-2</v>
      </c>
      <c r="BQ160" s="284" t="s">
        <v>121</v>
      </c>
      <c r="BR160" s="284" t="s">
        <v>121</v>
      </c>
      <c r="BS160" s="284" t="s">
        <v>121</v>
      </c>
      <c r="BT160" s="284" t="s">
        <v>121</v>
      </c>
      <c r="BU160" s="284" t="s">
        <v>121</v>
      </c>
      <c r="BV160" s="284" t="s">
        <v>121</v>
      </c>
      <c r="BW160" s="284" t="s">
        <v>121</v>
      </c>
      <c r="BX160" s="284" t="s">
        <v>121</v>
      </c>
      <c r="BY160" s="284" t="s">
        <v>121</v>
      </c>
      <c r="BZ160" s="284" t="s">
        <v>121</v>
      </c>
      <c r="CA160" s="284" t="s">
        <v>121</v>
      </c>
      <c r="CB160" s="284" t="s">
        <v>121</v>
      </c>
      <c r="CC160" s="284" t="s">
        <v>121</v>
      </c>
      <c r="CD160" s="284" t="s">
        <v>121</v>
      </c>
      <c r="CE160" s="284" t="s">
        <v>121</v>
      </c>
      <c r="CF160" s="284" t="s">
        <v>121</v>
      </c>
      <c r="CG160" s="284" t="s">
        <v>121</v>
      </c>
      <c r="CH160" s="284" t="s">
        <v>121</v>
      </c>
      <c r="CI160" s="284" t="s">
        <v>121</v>
      </c>
      <c r="CJ160" s="284" t="s">
        <v>121</v>
      </c>
      <c r="CK160" s="284" t="s">
        <v>121</v>
      </c>
      <c r="CL160" s="284" t="s">
        <v>121</v>
      </c>
      <c r="CM160" s="284" t="s">
        <v>121</v>
      </c>
      <c r="CN160" s="284" t="s">
        <v>121</v>
      </c>
      <c r="CO160" s="284" t="s">
        <v>121</v>
      </c>
      <c r="CP160" s="284" t="s">
        <v>121</v>
      </c>
      <c r="CQ160" s="284" t="s">
        <v>121</v>
      </c>
      <c r="CR160" s="284" t="s">
        <v>121</v>
      </c>
      <c r="CS160" s="284" t="s">
        <v>121</v>
      </c>
      <c r="CT160" s="284" t="s">
        <v>121</v>
      </c>
      <c r="CU160" s="284" t="s">
        <v>121</v>
      </c>
      <c r="CV160" s="284" t="s">
        <v>121</v>
      </c>
      <c r="CW160" s="284" t="s">
        <v>121</v>
      </c>
      <c r="CX160" s="284" t="s">
        <v>121</v>
      </c>
      <c r="CY160" s="284" t="s">
        <v>121</v>
      </c>
      <c r="CZ160" s="284" t="s">
        <v>121</v>
      </c>
      <c r="DA160" s="284" t="s">
        <v>121</v>
      </c>
      <c r="DB160" s="284" t="s">
        <v>121</v>
      </c>
      <c r="DC160" s="284" t="s">
        <v>121</v>
      </c>
      <c r="DD160" s="284" t="s">
        <v>121</v>
      </c>
      <c r="DE160" s="284" t="s">
        <v>121</v>
      </c>
      <c r="DF160" s="284" t="s">
        <v>121</v>
      </c>
      <c r="DG160" s="284" t="s">
        <v>121</v>
      </c>
      <c r="DH160" s="284" t="s">
        <v>121</v>
      </c>
      <c r="DI160" s="284" t="s">
        <v>121</v>
      </c>
      <c r="DJ160" s="284" t="s">
        <v>121</v>
      </c>
      <c r="DK160" s="284" t="s">
        <v>121</v>
      </c>
      <c r="DL160" s="284" t="s">
        <v>121</v>
      </c>
      <c r="DM160" s="284" t="s">
        <v>121</v>
      </c>
      <c r="DN160" s="284" t="s">
        <v>121</v>
      </c>
      <c r="DO160" s="284" t="s">
        <v>121</v>
      </c>
      <c r="DP160" s="284" t="s">
        <v>121</v>
      </c>
      <c r="DQ160" s="284" t="s">
        <v>121</v>
      </c>
      <c r="DR160" s="284" t="s">
        <v>121</v>
      </c>
      <c r="DS160" s="284" t="s">
        <v>121</v>
      </c>
      <c r="DT160" s="284" t="s">
        <v>121</v>
      </c>
      <c r="DU160" s="284" t="s">
        <v>121</v>
      </c>
      <c r="DV160" s="284" t="s">
        <v>121</v>
      </c>
      <c r="DW160" s="284" t="s">
        <v>121</v>
      </c>
      <c r="DX160" s="284" t="s">
        <v>121</v>
      </c>
      <c r="DY160" s="284" t="s">
        <v>121</v>
      </c>
      <c r="DZ160" s="284" t="s">
        <v>121</v>
      </c>
      <c r="EA160" s="284" t="s">
        <v>121</v>
      </c>
      <c r="EB160" s="284" t="s">
        <v>121</v>
      </c>
      <c r="EC160" s="284" t="s">
        <v>121</v>
      </c>
      <c r="ED160" s="284" t="s">
        <v>121</v>
      </c>
      <c r="EE160" s="284" t="s">
        <v>121</v>
      </c>
      <c r="EF160" s="284" t="s">
        <v>121</v>
      </c>
      <c r="EG160" s="284" t="s">
        <v>121</v>
      </c>
      <c r="EH160" s="284" t="s">
        <v>121</v>
      </c>
      <c r="EI160" s="284" t="s">
        <v>121</v>
      </c>
      <c r="EJ160" s="284" t="s">
        <v>121</v>
      </c>
      <c r="EK160" s="284" t="s">
        <v>121</v>
      </c>
      <c r="EL160" s="284" t="s">
        <v>121</v>
      </c>
      <c r="EM160" s="284" t="s">
        <v>121</v>
      </c>
      <c r="EN160" s="284" t="s">
        <v>121</v>
      </c>
      <c r="EO160" s="284" t="s">
        <v>121</v>
      </c>
      <c r="EP160" s="284" t="s">
        <v>121</v>
      </c>
      <c r="EQ160" s="284" t="s">
        <v>121</v>
      </c>
      <c r="ER160" s="284" t="s">
        <v>121</v>
      </c>
      <c r="ES160" s="284" t="s">
        <v>121</v>
      </c>
      <c r="ET160" s="284" t="s">
        <v>121</v>
      </c>
      <c r="EU160" s="284" t="s">
        <v>121</v>
      </c>
      <c r="EV160" s="284" t="s">
        <v>121</v>
      </c>
      <c r="EW160" s="284" t="s">
        <v>121</v>
      </c>
      <c r="EX160" s="284" t="s">
        <v>121</v>
      </c>
    </row>
    <row r="161" spans="1:154" s="284" customFormat="1" x14ac:dyDescent="0.25">
      <c r="A161" s="72">
        <v>161</v>
      </c>
      <c r="B161" s="344" t="s">
        <v>247</v>
      </c>
      <c r="C161" s="345" t="s">
        <v>121</v>
      </c>
      <c r="D161" s="275" t="s">
        <v>121</v>
      </c>
      <c r="E161" s="270">
        <f ca="1">OFFSET($E$7,$A161-$A$7,1,1,1)-OFFSET($E$7,$A161-$A$7,5,1,1)</f>
        <v>-3.4764913456384328E-3</v>
      </c>
      <c r="F161" s="243">
        <f t="shared" ref="F161:P161" si="17">-F136/(F135)</f>
        <v>0.26035479263718514</v>
      </c>
      <c r="G161" s="243">
        <f t="shared" si="17"/>
        <v>0.24254363500256096</v>
      </c>
      <c r="H161" s="243">
        <f t="shared" si="17"/>
        <v>0.22512408414086504</v>
      </c>
      <c r="I161" s="243">
        <f t="shared" si="17"/>
        <v>0.27485454487648237</v>
      </c>
      <c r="J161" s="243">
        <f t="shared" si="17"/>
        <v>0.26383128398282357</v>
      </c>
      <c r="K161" s="243">
        <f t="shared" si="17"/>
        <v>0.25669612813495446</v>
      </c>
      <c r="L161" s="243">
        <f t="shared" si="17"/>
        <v>0.26776911356099309</v>
      </c>
      <c r="M161" s="243">
        <f t="shared" si="17"/>
        <v>0.31660097069155069</v>
      </c>
      <c r="N161" s="243">
        <f t="shared" si="17"/>
        <v>0.33839917070823</v>
      </c>
      <c r="O161" s="243">
        <f t="shared" si="17"/>
        <v>0.3266699437435141</v>
      </c>
      <c r="P161" s="243">
        <f t="shared" si="17"/>
        <v>0.2891323147881234</v>
      </c>
      <c r="Q161" s="405"/>
      <c r="R161" s="405"/>
      <c r="S161" s="405"/>
      <c r="T161" s="405"/>
      <c r="U161" s="243">
        <v>0.37740183707954195</v>
      </c>
      <c r="V161" s="243">
        <v>0.37392391308462863</v>
      </c>
      <c r="W161" s="243">
        <v>0.38854686010915418</v>
      </c>
      <c r="X161" s="243">
        <v>0.45567702132265397</v>
      </c>
      <c r="Y161" s="243">
        <v>0.41022390072835174</v>
      </c>
      <c r="Z161" s="243">
        <v>0.422639110235903</v>
      </c>
      <c r="AA161" s="243">
        <v>0.45483316789920519</v>
      </c>
      <c r="AB161" s="243">
        <v>0.50242630291773838</v>
      </c>
      <c r="AC161" s="243">
        <v>0.44215866024678135</v>
      </c>
      <c r="AD161" s="243">
        <v>0.44746623147791337</v>
      </c>
      <c r="AE161" s="243">
        <v>0.45188272533729745</v>
      </c>
      <c r="AF161" s="243">
        <v>0.47975213092272506</v>
      </c>
      <c r="AG161" s="243">
        <v>0.39782714087437587</v>
      </c>
      <c r="AH161" s="243">
        <v>0.42198846970071235</v>
      </c>
      <c r="AI161" s="243">
        <v>0.43149360020049421</v>
      </c>
      <c r="AJ161" s="243">
        <v>0.41014424300786728</v>
      </c>
      <c r="AK161" s="243">
        <v>0.38526910045198154</v>
      </c>
      <c r="AL161" s="243">
        <v>0.38169784053666467</v>
      </c>
      <c r="AM161" s="243">
        <v>0.38009654732850312</v>
      </c>
      <c r="AN161" s="243">
        <v>0.37791856444394856</v>
      </c>
      <c r="AO161" s="243">
        <v>0.3944274268643298</v>
      </c>
      <c r="AP161" s="243">
        <v>0.37723243128058193</v>
      </c>
      <c r="AQ161" s="243">
        <v>0.37635677158993602</v>
      </c>
      <c r="AR161" s="243">
        <v>0.36666651277031892</v>
      </c>
      <c r="AS161" s="243">
        <v>0.37337404433991356</v>
      </c>
      <c r="AT161" s="243">
        <v>0.36283287882566051</v>
      </c>
      <c r="AU161" s="243">
        <v>0.38012117740766255</v>
      </c>
      <c r="AV161" s="243">
        <v>0.3937246640847854</v>
      </c>
      <c r="AW161" s="243">
        <v>0.40608940696875728</v>
      </c>
      <c r="AX161" s="243">
        <v>0.40370452167154602</v>
      </c>
      <c r="AY161" s="243">
        <v>0.39775118438544155</v>
      </c>
      <c r="AZ161" s="243">
        <v>0.37653602786360518</v>
      </c>
      <c r="BA161" s="243">
        <v>0.36113133797544428</v>
      </c>
      <c r="BB161" s="243">
        <v>0.39280821179737746</v>
      </c>
      <c r="BC161" s="243">
        <v>0.40529679900302829</v>
      </c>
      <c r="BD161" s="243">
        <v>0.38417749703658105</v>
      </c>
      <c r="BE161" s="243">
        <v>0.46360508187495264</v>
      </c>
      <c r="BF161" s="243">
        <v>0.4513575122654831</v>
      </c>
      <c r="BG161" s="243">
        <v>0.46867465674720038</v>
      </c>
      <c r="BH161" s="243">
        <v>0.45235097959479298</v>
      </c>
      <c r="BI161" s="243">
        <v>0.34981206313296265</v>
      </c>
      <c r="BJ161" s="243">
        <v>0.31461873602745577</v>
      </c>
      <c r="BK161" s="243">
        <v>0.27677755286010025</v>
      </c>
      <c r="BL161" s="243">
        <v>0.26211023689947943</v>
      </c>
      <c r="BM161" s="284">
        <v>0.28807890855507873</v>
      </c>
      <c r="BN161" s="284">
        <v>0.26924417936354683</v>
      </c>
      <c r="BO161" s="284">
        <v>0.22776692591844877</v>
      </c>
      <c r="BP161" s="284">
        <v>0.18748033913870638</v>
      </c>
      <c r="BQ161" s="284" t="s">
        <v>121</v>
      </c>
      <c r="BR161" s="284" t="s">
        <v>121</v>
      </c>
      <c r="BS161" s="284" t="s">
        <v>121</v>
      </c>
      <c r="BT161" s="284" t="s">
        <v>121</v>
      </c>
      <c r="BU161" s="284" t="s">
        <v>121</v>
      </c>
      <c r="BV161" s="284" t="s">
        <v>121</v>
      </c>
      <c r="BW161" s="284" t="s">
        <v>121</v>
      </c>
      <c r="BX161" s="284" t="s">
        <v>121</v>
      </c>
      <c r="BY161" s="284" t="s">
        <v>121</v>
      </c>
      <c r="BZ161" s="284" t="s">
        <v>121</v>
      </c>
      <c r="CA161" s="284" t="s">
        <v>121</v>
      </c>
      <c r="CB161" s="284" t="s">
        <v>121</v>
      </c>
      <c r="CC161" s="284" t="s">
        <v>121</v>
      </c>
      <c r="CD161" s="284" t="s">
        <v>121</v>
      </c>
      <c r="CE161" s="284" t="s">
        <v>121</v>
      </c>
      <c r="CF161" s="284" t="s">
        <v>121</v>
      </c>
      <c r="CG161" s="284" t="s">
        <v>121</v>
      </c>
      <c r="CH161" s="284" t="s">
        <v>121</v>
      </c>
      <c r="CI161" s="284" t="s">
        <v>121</v>
      </c>
      <c r="CJ161" s="284" t="s">
        <v>121</v>
      </c>
      <c r="CK161" s="284" t="s">
        <v>121</v>
      </c>
      <c r="CL161" s="284" t="s">
        <v>121</v>
      </c>
      <c r="CM161" s="284" t="s">
        <v>121</v>
      </c>
      <c r="CN161" s="284" t="s">
        <v>121</v>
      </c>
      <c r="CO161" s="284" t="s">
        <v>121</v>
      </c>
      <c r="CP161" s="284" t="s">
        <v>121</v>
      </c>
      <c r="CQ161" s="284" t="s">
        <v>121</v>
      </c>
      <c r="CR161" s="284" t="s">
        <v>121</v>
      </c>
      <c r="CS161" s="284" t="s">
        <v>121</v>
      </c>
      <c r="CT161" s="284" t="s">
        <v>121</v>
      </c>
      <c r="CU161" s="284" t="s">
        <v>121</v>
      </c>
      <c r="CV161" s="284" t="s">
        <v>121</v>
      </c>
      <c r="CW161" s="284" t="s">
        <v>121</v>
      </c>
      <c r="CX161" s="284" t="s">
        <v>121</v>
      </c>
      <c r="CY161" s="284" t="s">
        <v>121</v>
      </c>
      <c r="CZ161" s="284" t="s">
        <v>121</v>
      </c>
      <c r="DA161" s="284" t="s">
        <v>121</v>
      </c>
      <c r="DB161" s="284" t="s">
        <v>121</v>
      </c>
      <c r="DC161" s="284" t="s">
        <v>121</v>
      </c>
      <c r="DD161" s="284" t="s">
        <v>121</v>
      </c>
      <c r="DE161" s="284" t="s">
        <v>121</v>
      </c>
      <c r="DF161" s="284" t="s">
        <v>121</v>
      </c>
      <c r="DG161" s="284" t="s">
        <v>121</v>
      </c>
      <c r="DH161" s="284" t="s">
        <v>121</v>
      </c>
      <c r="DI161" s="284" t="s">
        <v>121</v>
      </c>
      <c r="DJ161" s="284" t="s">
        <v>121</v>
      </c>
      <c r="DK161" s="284" t="s">
        <v>121</v>
      </c>
      <c r="DL161" s="284" t="s">
        <v>121</v>
      </c>
      <c r="DM161" s="284" t="s">
        <v>121</v>
      </c>
      <c r="DN161" s="284" t="s">
        <v>121</v>
      </c>
      <c r="DO161" s="284" t="s">
        <v>121</v>
      </c>
      <c r="DP161" s="284" t="s">
        <v>121</v>
      </c>
      <c r="DQ161" s="284" t="s">
        <v>121</v>
      </c>
      <c r="DR161" s="284" t="s">
        <v>121</v>
      </c>
      <c r="DS161" s="284" t="s">
        <v>121</v>
      </c>
      <c r="DT161" s="284" t="s">
        <v>121</v>
      </c>
      <c r="DU161" s="284" t="s">
        <v>121</v>
      </c>
      <c r="DV161" s="284" t="s">
        <v>121</v>
      </c>
      <c r="DW161" s="284" t="s">
        <v>121</v>
      </c>
      <c r="DX161" s="284" t="s">
        <v>121</v>
      </c>
      <c r="DY161" s="284" t="s">
        <v>121</v>
      </c>
      <c r="DZ161" s="284" t="s">
        <v>121</v>
      </c>
      <c r="EA161" s="284" t="s">
        <v>121</v>
      </c>
      <c r="EB161" s="284" t="s">
        <v>121</v>
      </c>
      <c r="EC161" s="284" t="s">
        <v>121</v>
      </c>
      <c r="ED161" s="284" t="s">
        <v>121</v>
      </c>
      <c r="EE161" s="284" t="s">
        <v>121</v>
      </c>
      <c r="EF161" s="284" t="s">
        <v>121</v>
      </c>
      <c r="EG161" s="284" t="s">
        <v>121</v>
      </c>
      <c r="EH161" s="284" t="s">
        <v>121</v>
      </c>
      <c r="EI161" s="284" t="s">
        <v>121</v>
      </c>
      <c r="EJ161" s="284" t="s">
        <v>121</v>
      </c>
      <c r="EK161" s="284" t="s">
        <v>121</v>
      </c>
      <c r="EL161" s="284" t="s">
        <v>121</v>
      </c>
      <c r="EM161" s="284" t="s">
        <v>121</v>
      </c>
      <c r="EN161" s="284" t="s">
        <v>121</v>
      </c>
      <c r="EO161" s="284" t="s">
        <v>121</v>
      </c>
      <c r="EP161" s="284" t="s">
        <v>121</v>
      </c>
      <c r="EQ161" s="284" t="s">
        <v>121</v>
      </c>
      <c r="ER161" s="284" t="s">
        <v>121</v>
      </c>
      <c r="ES161" s="284" t="s">
        <v>121</v>
      </c>
      <c r="ET161" s="284" t="s">
        <v>121</v>
      </c>
      <c r="EU161" s="284" t="s">
        <v>121</v>
      </c>
      <c r="EV161" s="284" t="s">
        <v>121</v>
      </c>
      <c r="EW161" s="284" t="s">
        <v>121</v>
      </c>
      <c r="EX161" s="284" t="s">
        <v>121</v>
      </c>
    </row>
    <row r="162" spans="1:154" s="284" customFormat="1" x14ac:dyDescent="0.25">
      <c r="A162" s="72">
        <v>162</v>
      </c>
      <c r="B162" s="344" t="s">
        <v>443</v>
      </c>
      <c r="C162" s="345" t="s">
        <v>121</v>
      </c>
      <c r="D162" s="275" t="s">
        <v>121</v>
      </c>
      <c r="E162" s="270">
        <f ca="1">OFFSET($E$7,$A162-$A$7,1,1,1)-OFFSET($E$7,$A162-$A$7,5,1,1)</f>
        <v>-1.2034156142698683E-2</v>
      </c>
      <c r="F162" s="243">
        <f>F139/(('Assets and Liabili-s structure'!F29+'Assets and Liabili-s structure'!I29)/2)/((IF(LEFT(F157,2)="1Q",DATE(RIGHT(F157,4),3,31),IF(LEFT(F157,2)="1H",DATE(RIGHT(F157,4),6,30),IF(LEFT(F157,2)="9M",DATE(RIGHT(F157,4),9,30),DATE(RIGHT(F157,4),12,31))))-DATE(RIGHT(F157,4)-1,12,31))/(DATE(RIGHT(F157,4),12,31)-DATE(RIGHT(F157,4)-1,12,31)))</f>
        <v>3.5873101316850523E-2</v>
      </c>
      <c r="G162" s="243">
        <f>G139/(('Assets and Liabili-s structure'!G29+'Assets and Liabili-s structure'!I29)/2)/((IF(LEFT(G157,2)="1Q",DATE(RIGHT(G157,4),3,31),IF(LEFT(G157,2)="1H",DATE(RIGHT(G157,4),6,30),IF(LEFT(G157,2)="9M",DATE(RIGHT(G157,4),9,30),DATE(RIGHT(G157,4),12,31))))-DATE(RIGHT(G157,4)-1,12,31))/(DATE(RIGHT(G157,4),12,31)-DATE(RIGHT(G157,4)-1,12,31)))</f>
        <v>4.1599228714004025E-2</v>
      </c>
      <c r="H162" s="243">
        <f>H139/(('Assets and Liabili-s structure'!H29+'Assets and Liabili-s structure'!I29)/2)/((IF(LEFT(H157,2)="1Q",DATE(RIGHT(H157,4),3,31),IF(LEFT(H157,2)="1H",DATE(RIGHT(H157,4),6,30),IF(LEFT(H157,2)="9M",DATE(RIGHT(H157,4),9,30),DATE(RIGHT(H157,4),12,31))))-DATE(RIGHT(H157,4)-1,12,31))/(DATE(RIGHT(H157,4),12,31)-DATE(RIGHT(H157,4)-1,12,31)))</f>
        <v>5.5219213952525367E-2</v>
      </c>
      <c r="I162" s="243">
        <f>I139/(('Assets and Liabili-s structure'!I29+'Assets and Liabili-s structure'!M29)/2)/((IF(LEFT(I157,2)="1Q",DATE(RIGHT(I157,4),3,31),IF(LEFT(I157,2)="1H",DATE(RIGHT(I157,4),6,30),IF(LEFT(I157,2)="9M",DATE(RIGHT(I157,4),9,30),DATE(RIGHT(I157,4),12,31))))-DATE(RIGHT(I157,4)-1,12,31))/(DATE(RIGHT(I157,4),12,31)-DATE(RIGHT(I157,4)-1,12,31)))</f>
        <v>4.6273489179098695E-2</v>
      </c>
      <c r="J162" s="243">
        <f>J139/(('Assets and Liabili-s structure'!J29+'Assets and Liabili-s structure'!M29)/2)/((IF(LEFT(J157,2)="1Q",DATE(RIGHT(J157,4),3,31),IF(LEFT(J157,2)="1H",DATE(RIGHT(J157,4),6,30),IF(LEFT(J157,2)="9M",DATE(RIGHT(J157,4),9,30),DATE(RIGHT(J157,4),12,31))))-DATE(RIGHT(J157,4)-1,12,31))/(DATE(RIGHT(J157,4),12,31)-DATE(RIGHT(J157,4)-1,12,31)))</f>
        <v>4.7907257459549206E-2</v>
      </c>
      <c r="K162" s="243">
        <f>K139/(('Assets and Liabili-s structure'!K29+'Assets and Liabili-s structure'!M29)/2)/((IF(LEFT(K157,2)="1Q",DATE(RIGHT(K157,4),3,31),IF(LEFT(K157,2)="1H",DATE(RIGHT(K157,4),6,30),IF(LEFT(K157,2)="9M",DATE(RIGHT(K157,4),9,30),DATE(RIGHT(K157,4),12,31))))-DATE(RIGHT(K157,4)-1,12,31))/(DATE(RIGHT(K157,4),12,31)-DATE(RIGHT(K157,4)-1,12,31)))</f>
        <v>4.5852506015293719E-2</v>
      </c>
      <c r="L162" s="243">
        <f>L139/(('Assets and Liabili-s structure'!L29+'Assets and Liabili-s structure'!M29)/2)/((IF(LEFT(L157,2)="1Q",DATE(RIGHT(L157,4),3,31),IF(LEFT(L157,2)="1H",DATE(RIGHT(L157,4),6,30),IF(LEFT(L157,2)="9M",DATE(RIGHT(L157,4),9,30),DATE(RIGHT(L157,4),12,31))))-DATE(RIGHT(L157,4)-1,12,31))/(DATE(RIGHT(L157,4),12,31)-DATE(RIGHT(L157,4)-1,12,31)))</f>
        <v>5.0599473238047421E-2</v>
      </c>
      <c r="M162" s="243">
        <f>M139/(('Assets and Liabili-s structure'!M29+'Assets and Liabili-s structure'!Q29)/2)/((IF(LEFT(M157,2)="1Q",DATE(RIGHT(M157,4),3,31),IF(LEFT(M157,2)="1H",DATE(RIGHT(M157,4),6,30),IF(LEFT(M157,2)="9M",DATE(RIGHT(M157,4),9,30),DATE(RIGHT(M157,4),12,31))))-DATE(RIGHT(M157,4)-1,12,31))/(DATE(RIGHT(M157,4),12,31)-DATE(RIGHT(M157,4)-1,12,31)))</f>
        <v>4.9893732623794505E-2</v>
      </c>
      <c r="N162" s="243">
        <f>N139/(('Assets and Liabili-s structure'!N29+'Assets and Liabili-s structure'!Q29)/2)/((IF(LEFT(N157,2)="1Q",DATE(RIGHT(N157,4),3,31),IF(LEFT(N157,2)="1H",DATE(RIGHT(N157,4),6,30),IF(LEFT(N157,2)="9M",DATE(RIGHT(N157,4),9,30),DATE(RIGHT(N157,4),12,31))))-DATE(RIGHT(N157,4)-1,12,31))/(DATE(RIGHT(N157,4),12,31)-DATE(RIGHT(N157,4)-1,12,31)))</f>
        <v>5.4625992110413066E-2</v>
      </c>
      <c r="O162" s="243">
        <f>O139/(('Assets and Liabili-s structure'!O29+'Assets and Liabili-s structure'!Q29)/2)/((IF(LEFT(O157,2)="1Q",DATE(RIGHT(O157,4),3,31),IF(LEFT(O157,2)="1H",DATE(RIGHT(O157,4),6,30),IF(LEFT(O157,2)="9M",DATE(RIGHT(O157,4),9,30),DATE(RIGHT(O157,4),12,31))))-DATE(RIGHT(O157,4)-1,12,31))/(DATE(RIGHT(O157,4),12,31)-DATE(RIGHT(O157,4)-1,12,31)))</f>
        <v>6.7246149339552183E-2</v>
      </c>
      <c r="P162" s="243">
        <f>P139/(('Assets and Liabili-s structure'!P29+'Assets and Liabili-s structure'!Q29)/2)/((IF(LEFT(P157,2)="1Q",DATE(RIGHT(P157,4),3,31),IF(LEFT(P157,2)="1H",DATE(RIGHT(P157,4),6,30),IF(LEFT(P157,2)="9M",DATE(RIGHT(P157,4),9,30),DATE(RIGHT(P157,4),12,31))))-DATE(RIGHT(P157,4)-1,12,31))/(DATE(RIGHT(P157,4),12,31)-DATE(RIGHT(P157,4)-1,12,31)))</f>
        <v>7.0759323576896849E-2</v>
      </c>
      <c r="Q162" s="405"/>
      <c r="R162" s="405"/>
      <c r="S162" s="405"/>
      <c r="T162" s="405"/>
      <c r="U162" s="243">
        <v>2.3687699111334674E-2</v>
      </c>
      <c r="V162" s="243">
        <v>2.0317984964178946E-2</v>
      </c>
      <c r="W162" s="243">
        <v>1.9970843501399289E-2</v>
      </c>
      <c r="X162" s="243">
        <v>1.3283230873773111E-2</v>
      </c>
      <c r="Y162" s="243">
        <v>1.5424414156065163E-2</v>
      </c>
      <c r="Z162" s="243">
        <v>1.2163018249778607E-2</v>
      </c>
      <c r="AA162" s="243">
        <v>1.0759913037874871E-2</v>
      </c>
      <c r="AB162" s="243">
        <v>9.4753657391389978E-3</v>
      </c>
      <c r="AC162" s="243">
        <v>1.1738039443990895E-2</v>
      </c>
      <c r="AD162" s="243">
        <v>1.1067470204105404E-2</v>
      </c>
      <c r="AE162" s="243">
        <v>1.0520139963968734E-2</v>
      </c>
      <c r="AF162" s="243">
        <v>7.8502075087644538E-3</v>
      </c>
      <c r="AG162" s="243">
        <v>1.4132922671833187E-2</v>
      </c>
      <c r="AH162" s="243">
        <v>1.4186257794545604E-2</v>
      </c>
      <c r="AI162" s="243">
        <v>1.4644695766052939E-2</v>
      </c>
      <c r="AJ162" s="243">
        <v>1.2386195580978834E-2</v>
      </c>
      <c r="AK162" s="243">
        <v>1.2620268067568049E-2</v>
      </c>
      <c r="AL162" s="243">
        <v>1.3304634052472656E-2</v>
      </c>
      <c r="AM162" s="243">
        <v>1.176069234352887E-2</v>
      </c>
      <c r="AN162" s="243">
        <v>1.0570077458800488E-2</v>
      </c>
      <c r="AO162" s="243">
        <v>7.4863970778527907E-3</v>
      </c>
      <c r="AP162" s="243">
        <v>7.2991708271228917E-3</v>
      </c>
      <c r="AQ162" s="243">
        <v>7.0592070969761889E-3</v>
      </c>
      <c r="AR162" s="243">
        <v>8.3691403888480845E-3</v>
      </c>
      <c r="AS162" s="243">
        <v>6.6753972789909445E-3</v>
      </c>
      <c r="AT162" s="243">
        <v>6.8497105537993867E-3</v>
      </c>
      <c r="AU162" s="243">
        <v>6.068465211520711E-3</v>
      </c>
      <c r="AV162" s="243">
        <v>4.4252434532044043E-3</v>
      </c>
      <c r="AW162" s="243">
        <v>1.0301951155165957E-2</v>
      </c>
      <c r="AX162" s="243">
        <v>1.2796193009664126E-2</v>
      </c>
      <c r="AY162" s="243">
        <v>1.3867102341102295E-2</v>
      </c>
      <c r="AZ162" s="243">
        <v>1.6212634857267792E-2</v>
      </c>
      <c r="BA162" s="243">
        <v>1.7600851070640199E-2</v>
      </c>
      <c r="BB162" s="243">
        <v>1.281112516297969E-2</v>
      </c>
      <c r="BC162" s="243">
        <v>1.11340183059644E-2</v>
      </c>
      <c r="BD162" s="243">
        <v>1.2509510839569976E-2</v>
      </c>
      <c r="BE162" s="243">
        <v>3.8259483155533135E-3</v>
      </c>
      <c r="BF162" s="243">
        <v>3.8395844632074217E-3</v>
      </c>
      <c r="BG162" s="243">
        <v>1.4234991722859955E-3</v>
      </c>
      <c r="BH162" s="243">
        <v>1.4785261230835353E-3</v>
      </c>
      <c r="BI162" s="243">
        <v>1.9532261165725262E-2</v>
      </c>
      <c r="BJ162" s="243">
        <v>2.4575301605172635E-2</v>
      </c>
      <c r="BK162" s="243">
        <v>3.2109072023143746E-2</v>
      </c>
      <c r="BL162" s="243">
        <v>3.0547826201331594E-2</v>
      </c>
      <c r="BM162" s="284">
        <v>1.6192924979538042E-2</v>
      </c>
      <c r="BN162" s="284">
        <v>1.2732250408904751E-2</v>
      </c>
      <c r="BO162" s="284">
        <v>9.5687806454200323E-3</v>
      </c>
      <c r="BP162" s="284">
        <v>6.0680186531512671E-3</v>
      </c>
      <c r="BQ162" s="284" t="s">
        <v>121</v>
      </c>
      <c r="BR162" s="284" t="s">
        <v>121</v>
      </c>
      <c r="BS162" s="284" t="s">
        <v>121</v>
      </c>
      <c r="BT162" s="284" t="s">
        <v>121</v>
      </c>
      <c r="BU162" s="284" t="s">
        <v>121</v>
      </c>
      <c r="BV162" s="284" t="s">
        <v>121</v>
      </c>
      <c r="BW162" s="284" t="s">
        <v>121</v>
      </c>
      <c r="BX162" s="284" t="s">
        <v>121</v>
      </c>
      <c r="BY162" s="284" t="s">
        <v>121</v>
      </c>
      <c r="BZ162" s="284" t="s">
        <v>121</v>
      </c>
      <c r="CA162" s="284" t="s">
        <v>121</v>
      </c>
      <c r="CB162" s="284" t="s">
        <v>121</v>
      </c>
      <c r="CC162" s="284" t="s">
        <v>121</v>
      </c>
      <c r="CD162" s="284" t="s">
        <v>121</v>
      </c>
      <c r="CE162" s="284" t="s">
        <v>121</v>
      </c>
      <c r="CF162" s="284" t="s">
        <v>121</v>
      </c>
      <c r="CG162" s="284" t="s">
        <v>121</v>
      </c>
      <c r="CH162" s="284" t="s">
        <v>121</v>
      </c>
      <c r="CI162" s="284" t="s">
        <v>121</v>
      </c>
      <c r="CJ162" s="284" t="s">
        <v>121</v>
      </c>
      <c r="CK162" s="284" t="s">
        <v>121</v>
      </c>
      <c r="CL162" s="284" t="s">
        <v>121</v>
      </c>
      <c r="CM162" s="284" t="s">
        <v>121</v>
      </c>
      <c r="CN162" s="284" t="s">
        <v>121</v>
      </c>
      <c r="CO162" s="284" t="s">
        <v>121</v>
      </c>
      <c r="CP162" s="284" t="s">
        <v>121</v>
      </c>
      <c r="CQ162" s="284" t="s">
        <v>121</v>
      </c>
      <c r="CR162" s="284" t="s">
        <v>121</v>
      </c>
      <c r="CS162" s="284" t="s">
        <v>121</v>
      </c>
      <c r="CT162" s="284" t="s">
        <v>121</v>
      </c>
      <c r="CU162" s="284" t="s">
        <v>121</v>
      </c>
      <c r="CV162" s="284" t="s">
        <v>121</v>
      </c>
      <c r="CW162" s="284" t="s">
        <v>121</v>
      </c>
      <c r="CX162" s="284" t="s">
        <v>121</v>
      </c>
      <c r="CY162" s="284" t="s">
        <v>121</v>
      </c>
      <c r="CZ162" s="284" t="s">
        <v>121</v>
      </c>
      <c r="DA162" s="284" t="s">
        <v>121</v>
      </c>
      <c r="DB162" s="284" t="s">
        <v>121</v>
      </c>
      <c r="DC162" s="284" t="s">
        <v>121</v>
      </c>
      <c r="DD162" s="284" t="s">
        <v>121</v>
      </c>
      <c r="DE162" s="284" t="s">
        <v>121</v>
      </c>
      <c r="DF162" s="284" t="s">
        <v>121</v>
      </c>
      <c r="DG162" s="284" t="s">
        <v>121</v>
      </c>
      <c r="DH162" s="284" t="s">
        <v>121</v>
      </c>
      <c r="DI162" s="284" t="s">
        <v>121</v>
      </c>
      <c r="DJ162" s="284" t="s">
        <v>121</v>
      </c>
      <c r="DK162" s="284" t="s">
        <v>121</v>
      </c>
      <c r="DL162" s="284" t="s">
        <v>121</v>
      </c>
      <c r="DM162" s="284" t="s">
        <v>121</v>
      </c>
      <c r="DN162" s="284" t="s">
        <v>121</v>
      </c>
      <c r="DO162" s="284" t="s">
        <v>121</v>
      </c>
      <c r="DP162" s="284" t="s">
        <v>121</v>
      </c>
      <c r="DQ162" s="284" t="s">
        <v>121</v>
      </c>
      <c r="DR162" s="284" t="s">
        <v>121</v>
      </c>
      <c r="DS162" s="284" t="s">
        <v>121</v>
      </c>
      <c r="DT162" s="284" t="s">
        <v>121</v>
      </c>
      <c r="DU162" s="284" t="s">
        <v>121</v>
      </c>
      <c r="DV162" s="284" t="s">
        <v>121</v>
      </c>
      <c r="DW162" s="284" t="s">
        <v>121</v>
      </c>
      <c r="DX162" s="284" t="s">
        <v>121</v>
      </c>
      <c r="DY162" s="284" t="s">
        <v>121</v>
      </c>
      <c r="DZ162" s="284" t="s">
        <v>121</v>
      </c>
      <c r="EA162" s="284" t="s">
        <v>121</v>
      </c>
      <c r="EB162" s="284" t="s">
        <v>121</v>
      </c>
      <c r="EC162" s="284" t="s">
        <v>121</v>
      </c>
      <c r="ED162" s="284" t="s">
        <v>121</v>
      </c>
      <c r="EE162" s="284" t="s">
        <v>121</v>
      </c>
      <c r="EF162" s="284" t="s">
        <v>121</v>
      </c>
      <c r="EG162" s="284" t="s">
        <v>121</v>
      </c>
      <c r="EH162" s="284" t="s">
        <v>121</v>
      </c>
      <c r="EI162" s="284" t="s">
        <v>121</v>
      </c>
      <c r="EJ162" s="284" t="s">
        <v>121</v>
      </c>
      <c r="EK162" s="284" t="s">
        <v>121</v>
      </c>
      <c r="EL162" s="284" t="s">
        <v>121</v>
      </c>
      <c r="EM162" s="284" t="s">
        <v>121</v>
      </c>
      <c r="EN162" s="284" t="s">
        <v>121</v>
      </c>
      <c r="EO162" s="284" t="s">
        <v>121</v>
      </c>
      <c r="EP162" s="284" t="s">
        <v>121</v>
      </c>
      <c r="EQ162" s="284" t="s">
        <v>121</v>
      </c>
      <c r="ER162" s="284" t="s">
        <v>121</v>
      </c>
      <c r="ES162" s="284" t="s">
        <v>121</v>
      </c>
      <c r="ET162" s="284" t="s">
        <v>121</v>
      </c>
      <c r="EU162" s="284" t="s">
        <v>121</v>
      </c>
      <c r="EV162" s="284" t="s">
        <v>121</v>
      </c>
      <c r="EW162" s="284" t="s">
        <v>121</v>
      </c>
      <c r="EX162" s="284" t="s">
        <v>121</v>
      </c>
    </row>
    <row r="163" spans="1:154" s="284" customFormat="1" x14ac:dyDescent="0.25">
      <c r="A163" s="72">
        <v>163</v>
      </c>
      <c r="B163" s="344" t="s">
        <v>248</v>
      </c>
      <c r="C163" s="345" t="s">
        <v>121</v>
      </c>
      <c r="D163" s="275" t="s">
        <v>121</v>
      </c>
      <c r="E163" s="270">
        <f ca="1">OFFSET($E$7,$A163-$A$7,1,1,1)-OFFSET($E$7,$A163-$A$7,5,1,1)</f>
        <v>-5.6725503842611436E-2</v>
      </c>
      <c r="F163" s="243">
        <f>F139/(('Assets and Liabili-s structure'!F58+'Assets and Liabili-s structure'!I58)/2)/((IF(LEFT(F157,2)="1Q",DATE(RIGHT(F157,4),3,31),IF(LEFT(F157,2)="1H",DATE(RIGHT(F157,4),6,30),IF(LEFT(F157,2)="9M",DATE(RIGHT(F157,4),9,30),DATE(RIGHT(F157,4),12,31))))-DATE(RIGHT(F157,4)-1,12,31))/(DATE(RIGHT(F157,4),12,31)-DATE(RIGHT(F157,4)-1,12,31)))</f>
        <v>0.21120082351952707</v>
      </c>
      <c r="G163" s="243">
        <f>G139/(('Assets and Liabili-s structure'!G58+'Assets and Liabili-s structure'!I58)/2)/((IF(LEFT(G157,2)="1Q",DATE(RIGHT(G157,4),3,31),IF(LEFT(G157,2)="1H",DATE(RIGHT(G157,4),6,30),IF(LEFT(G157,2)="9M",DATE(RIGHT(G157,4),9,30),DATE(RIGHT(G157,4),12,31))))-DATE(RIGHT(G157,4)-1,12,31))/(DATE(RIGHT(G157,4),12,31)-DATE(RIGHT(G157,4)-1,12,31)))</f>
        <v>0.23997372391228394</v>
      </c>
      <c r="H163" s="243">
        <f>H139/(('Assets and Liabili-s structure'!H58+'Assets and Liabili-s structure'!I58)/2)/((IF(LEFT(H157,2)="1Q",DATE(RIGHT(H157,4),3,31),IF(LEFT(H157,2)="1H",DATE(RIGHT(H157,4),6,30),IF(LEFT(H157,2)="9M",DATE(RIGHT(H157,4),9,30),DATE(RIGHT(H157,4),12,31))))-DATE(RIGHT(H157,4)-1,12,31))/(DATE(RIGHT(H157,4),12,31)-DATE(RIGHT(H157,4)-1,12,31)))</f>
        <v>0.30099307684933579</v>
      </c>
      <c r="I163" s="243">
        <f>I139/(('Assets and Liabili-s structure'!I58+'Assets and Liabili-s structure'!M58)/2)/((IF(LEFT(I157,2)="1Q",DATE(RIGHT(I157,4),3,31),IF(LEFT(I157,2)="1H",DATE(RIGHT(I157,4),6,30),IF(LEFT(I157,2)="9M",DATE(RIGHT(I157,4),9,30),DATE(RIGHT(I157,4),12,31))))-DATE(RIGHT(I157,4)-1,12,31))/(DATE(RIGHT(I157,4),12,31)-DATE(RIGHT(I157,4)-1,12,31)))</f>
        <v>0.27057817374785859</v>
      </c>
      <c r="J163" s="243">
        <f>J139/(('Assets and Liabili-s structure'!J58+'Assets and Liabili-s structure'!M58)/2)/((IF(LEFT(J157,2)="1Q",DATE(RIGHT(J157,4),3,31),IF(LEFT(J157,2)="1H",DATE(RIGHT(J157,4),6,30),IF(LEFT(J157,2)="9M",DATE(RIGHT(J157,4),9,30),DATE(RIGHT(J157,4),12,31))))-DATE(RIGHT(J157,4)-1,12,31))/(DATE(RIGHT(J157,4),12,31)-DATE(RIGHT(J157,4)-1,12,31)))</f>
        <v>0.26792632736213851</v>
      </c>
      <c r="K163" s="243">
        <f>K139/(('Assets and Liabili-s structure'!K58+'Assets and Liabili-s structure'!M58)/2)/((IF(LEFT(K157,2)="1Q",DATE(RIGHT(K157,4),3,31),IF(LEFT(K157,2)="1H",DATE(RIGHT(K157,4),6,30),IF(LEFT(K157,2)="9M",DATE(RIGHT(K157,4),9,30),DATE(RIGHT(K157,4),12,31))))-DATE(RIGHT(K157,4)-1,12,31))/(DATE(RIGHT(K157,4),12,31)-DATE(RIGHT(K157,4)-1,12,31)))</f>
        <v>0.2703130256073189</v>
      </c>
      <c r="L163" s="243">
        <f>L139/(('Assets and Liabili-s structure'!L58+'Assets and Liabili-s structure'!M58)/2)/((IF(LEFT(L157,2)="1Q",DATE(RIGHT(L157,4),3,31),IF(LEFT(L157,2)="1H",DATE(RIGHT(L157,4),6,30),IF(LEFT(L157,2)="9M",DATE(RIGHT(L157,4),9,30),DATE(RIGHT(L157,4),12,31))))-DATE(RIGHT(L157,4)-1,12,31))/(DATE(RIGHT(L157,4),12,31)-DATE(RIGHT(L157,4)-1,12,31)))</f>
        <v>0.29027721013053653</v>
      </c>
      <c r="M163" s="243">
        <f>M139/(('Assets and Liabili-s structure'!M58+'Assets and Liabili-s structure'!Q58)/2)/((IF(LEFT(M157,2)="1Q",DATE(RIGHT(M157,4),3,31),IF(LEFT(M157,2)="1H",DATE(RIGHT(M157,4),6,30),IF(LEFT(M157,2)="9M",DATE(RIGHT(M157,4),9,30),DATE(RIGHT(M157,4),12,31))))-DATE(RIGHT(M157,4)-1,12,31))/(DATE(RIGHT(M157,4),12,31)-DATE(RIGHT(M157,4)-1,12,31)))</f>
        <v>0.29695109705276901</v>
      </c>
      <c r="N163" s="243">
        <f>N139/(('Assets and Liabili-s structure'!N58+'Assets and Liabili-s structure'!Q58)/2)/((IF(LEFT(N157,2)="1Q",DATE(RIGHT(N157,4),3,31),IF(LEFT(N157,2)="1H",DATE(RIGHT(N157,4),6,30),IF(LEFT(N157,2)="9M",DATE(RIGHT(N157,4),9,30),DATE(RIGHT(N157,4),12,31))))-DATE(RIGHT(N157,4)-1,12,31))/(DATE(RIGHT(N157,4),12,31)-DATE(RIGHT(N157,4)-1,12,31)))</f>
        <v>0.31233661288865111</v>
      </c>
      <c r="O163" s="243">
        <f>O139/(('Assets and Liabili-s structure'!O58+'Assets and Liabili-s structure'!Q58)/2)/((IF(LEFT(O157,2)="1Q",DATE(RIGHT(O157,4),3,31),IF(LEFT(O157,2)="1H",DATE(RIGHT(O157,4),6,30),IF(LEFT(O157,2)="9M",DATE(RIGHT(O157,4),9,30),DATE(RIGHT(O157,4),12,31))))-DATE(RIGHT(O157,4)-1,12,31))/(DATE(RIGHT(O157,4),12,31)-DATE(RIGHT(O157,4)-1,12,31)))</f>
        <v>0.37153857444056781</v>
      </c>
      <c r="P163" s="243">
        <f>P139/(('Assets and Liabili-s structure'!P58+'Assets and Liabili-s structure'!Q58)/2)/((IF(LEFT(P157,2)="1Q",DATE(RIGHT(P157,4),3,31),IF(LEFT(P157,2)="1H",DATE(RIGHT(P157,4),6,30),IF(LEFT(P157,2)="9M",DATE(RIGHT(P157,4),9,30),DATE(RIGHT(P157,4),12,31))))-DATE(RIGHT(P157,4)-1,12,31))/(DATE(RIGHT(P157,4),12,31)-DATE(RIGHT(P157,4)-1,12,31)))</f>
        <v>0.38998137296383256</v>
      </c>
      <c r="Q163" s="405"/>
      <c r="R163" s="405"/>
      <c r="S163" s="405"/>
      <c r="T163" s="405"/>
      <c r="U163" s="243">
        <v>0.18781775975155668</v>
      </c>
      <c r="V163" s="243">
        <v>0.16333073526382463</v>
      </c>
      <c r="W163" s="243">
        <v>0.16055917123672081</v>
      </c>
      <c r="X163" s="243">
        <v>0.10795009738694469</v>
      </c>
      <c r="Y163" s="243">
        <v>0.12884433497984821</v>
      </c>
      <c r="Z163" s="243">
        <v>0.10222752868589831</v>
      </c>
      <c r="AA163" s="243">
        <v>8.8757702931344593E-2</v>
      </c>
      <c r="AB163" s="243">
        <v>7.8991798038913222E-2</v>
      </c>
      <c r="AC163" s="243">
        <v>0.10199575455202489</v>
      </c>
      <c r="AD163" s="243">
        <v>9.5242034986420782E-2</v>
      </c>
      <c r="AE163" s="243">
        <v>9.1894703398758174E-2</v>
      </c>
      <c r="AF163" s="243">
        <v>6.8539449037305675E-2</v>
      </c>
      <c r="AG163" s="243">
        <v>0.1234537994734088</v>
      </c>
      <c r="AH163" s="243">
        <v>0.11934582726516552</v>
      </c>
      <c r="AI163" s="243">
        <v>0.12386489199605519</v>
      </c>
      <c r="AJ163" s="243">
        <v>0.10597028227810167</v>
      </c>
      <c r="AK163" s="243">
        <v>0.11369111314658814</v>
      </c>
      <c r="AL163" s="243">
        <v>0.11800196501895097</v>
      </c>
      <c r="AM163" s="243">
        <v>0.10732294518291832</v>
      </c>
      <c r="AN163" s="243">
        <v>9.7304911493946766E-2</v>
      </c>
      <c r="AO163" s="243">
        <v>7.2719437631770537E-2</v>
      </c>
      <c r="AP163" s="243">
        <v>6.919125258360681E-2</v>
      </c>
      <c r="AQ163" s="243">
        <v>6.9261728387360069E-2</v>
      </c>
      <c r="AR163" s="243">
        <v>8.2008180857696303E-2</v>
      </c>
      <c r="AS163" s="243">
        <v>6.6961284611343666E-2</v>
      </c>
      <c r="AT163" s="243">
        <v>6.7141495997156159E-2</v>
      </c>
      <c r="AU163" s="243">
        <v>5.9802301331310502E-2</v>
      </c>
      <c r="AV163" s="243">
        <v>4.4142210961831144E-2</v>
      </c>
      <c r="AW163" s="243">
        <v>9.6911380360022475E-2</v>
      </c>
      <c r="AX163" s="243">
        <v>0.11074071298747204</v>
      </c>
      <c r="AY163" s="243">
        <v>0.12026409688763311</v>
      </c>
      <c r="AZ163" s="243">
        <v>0.14018038042065534</v>
      </c>
      <c r="BA163" s="243">
        <v>0.15217465864382779</v>
      </c>
      <c r="BB163" s="243">
        <v>0.11200697729874706</v>
      </c>
      <c r="BC163" s="243">
        <v>9.8879942708356747E-2</v>
      </c>
      <c r="BD163" s="243">
        <v>0.10752452125804554</v>
      </c>
      <c r="BE163" s="243">
        <v>3.2449063372161906E-2</v>
      </c>
      <c r="BF163" s="243">
        <v>3.0977266655838626E-2</v>
      </c>
      <c r="BG163" s="243">
        <v>1.2002682020686543E-2</v>
      </c>
      <c r="BH163" s="243">
        <v>1.236966089315512E-2</v>
      </c>
      <c r="BI163" s="243">
        <v>0.17162088438490711</v>
      </c>
      <c r="BJ163" s="243">
        <v>0.21969531730076175</v>
      </c>
      <c r="BK163" s="243">
        <v>0.29804324376642333</v>
      </c>
      <c r="BL163" s="243">
        <v>0.28631290069607296</v>
      </c>
      <c r="BM163" s="284">
        <v>0.1528259461192441</v>
      </c>
      <c r="BN163" s="284">
        <v>0.11819090629793297</v>
      </c>
      <c r="BO163" s="284">
        <v>8.9375497178823204E-2</v>
      </c>
      <c r="BP163" s="284">
        <v>5.5733394568311861E-2</v>
      </c>
      <c r="BQ163" s="284" t="s">
        <v>121</v>
      </c>
      <c r="BR163" s="284" t="s">
        <v>121</v>
      </c>
      <c r="BS163" s="284" t="s">
        <v>121</v>
      </c>
      <c r="BT163" s="284" t="s">
        <v>121</v>
      </c>
      <c r="BU163" s="284" t="s">
        <v>121</v>
      </c>
      <c r="BV163" s="284" t="s">
        <v>121</v>
      </c>
      <c r="BW163" s="284" t="s">
        <v>121</v>
      </c>
      <c r="BX163" s="284" t="s">
        <v>121</v>
      </c>
      <c r="BY163" s="284" t="s">
        <v>121</v>
      </c>
      <c r="BZ163" s="284" t="s">
        <v>121</v>
      </c>
      <c r="CA163" s="284" t="s">
        <v>121</v>
      </c>
      <c r="CB163" s="284" t="s">
        <v>121</v>
      </c>
      <c r="CC163" s="284" t="s">
        <v>121</v>
      </c>
      <c r="CD163" s="284" t="s">
        <v>121</v>
      </c>
      <c r="CE163" s="284" t="s">
        <v>121</v>
      </c>
      <c r="CF163" s="284" t="s">
        <v>121</v>
      </c>
      <c r="CG163" s="284" t="s">
        <v>121</v>
      </c>
      <c r="CH163" s="284" t="s">
        <v>121</v>
      </c>
      <c r="CI163" s="284" t="s">
        <v>121</v>
      </c>
      <c r="CJ163" s="284" t="s">
        <v>121</v>
      </c>
      <c r="CK163" s="284" t="s">
        <v>121</v>
      </c>
      <c r="CL163" s="284" t="s">
        <v>121</v>
      </c>
      <c r="CM163" s="284" t="s">
        <v>121</v>
      </c>
      <c r="CN163" s="284" t="s">
        <v>121</v>
      </c>
      <c r="CO163" s="284" t="s">
        <v>121</v>
      </c>
      <c r="CP163" s="284" t="s">
        <v>121</v>
      </c>
      <c r="CQ163" s="284" t="s">
        <v>121</v>
      </c>
      <c r="CR163" s="284" t="s">
        <v>121</v>
      </c>
      <c r="CS163" s="284" t="s">
        <v>121</v>
      </c>
      <c r="CT163" s="284" t="s">
        <v>121</v>
      </c>
      <c r="CU163" s="284" t="s">
        <v>121</v>
      </c>
      <c r="CV163" s="284" t="s">
        <v>121</v>
      </c>
      <c r="CW163" s="284" t="s">
        <v>121</v>
      </c>
      <c r="CX163" s="284" t="s">
        <v>121</v>
      </c>
      <c r="CY163" s="284" t="s">
        <v>121</v>
      </c>
      <c r="CZ163" s="284" t="s">
        <v>121</v>
      </c>
      <c r="DA163" s="284" t="s">
        <v>121</v>
      </c>
      <c r="DB163" s="284" t="s">
        <v>121</v>
      </c>
      <c r="DC163" s="284" t="s">
        <v>121</v>
      </c>
      <c r="DD163" s="284" t="s">
        <v>121</v>
      </c>
      <c r="DE163" s="284" t="s">
        <v>121</v>
      </c>
      <c r="DF163" s="284" t="s">
        <v>121</v>
      </c>
      <c r="DG163" s="284" t="s">
        <v>121</v>
      </c>
      <c r="DH163" s="284" t="s">
        <v>121</v>
      </c>
      <c r="DI163" s="284" t="s">
        <v>121</v>
      </c>
      <c r="DJ163" s="284" t="s">
        <v>121</v>
      </c>
      <c r="DK163" s="284" t="s">
        <v>121</v>
      </c>
      <c r="DL163" s="284" t="s">
        <v>121</v>
      </c>
      <c r="DM163" s="284" t="s">
        <v>121</v>
      </c>
      <c r="DN163" s="284" t="s">
        <v>121</v>
      </c>
      <c r="DO163" s="284" t="s">
        <v>121</v>
      </c>
      <c r="DP163" s="284" t="s">
        <v>121</v>
      </c>
      <c r="DQ163" s="284" t="s">
        <v>121</v>
      </c>
      <c r="DR163" s="284" t="s">
        <v>121</v>
      </c>
      <c r="DS163" s="284" t="s">
        <v>121</v>
      </c>
      <c r="DT163" s="284" t="s">
        <v>121</v>
      </c>
      <c r="DU163" s="284" t="s">
        <v>121</v>
      </c>
      <c r="DV163" s="284" t="s">
        <v>121</v>
      </c>
      <c r="DW163" s="284" t="s">
        <v>121</v>
      </c>
      <c r="DX163" s="284" t="s">
        <v>121</v>
      </c>
      <c r="DY163" s="284" t="s">
        <v>121</v>
      </c>
      <c r="DZ163" s="284" t="s">
        <v>121</v>
      </c>
      <c r="EA163" s="284" t="s">
        <v>121</v>
      </c>
      <c r="EB163" s="284" t="s">
        <v>121</v>
      </c>
      <c r="EC163" s="284" t="s">
        <v>121</v>
      </c>
      <c r="ED163" s="284" t="s">
        <v>121</v>
      </c>
      <c r="EE163" s="284" t="s">
        <v>121</v>
      </c>
      <c r="EF163" s="284" t="s">
        <v>121</v>
      </c>
      <c r="EG163" s="284" t="s">
        <v>121</v>
      </c>
      <c r="EH163" s="284" t="s">
        <v>121</v>
      </c>
      <c r="EI163" s="284" t="s">
        <v>121</v>
      </c>
      <c r="EJ163" s="284" t="s">
        <v>121</v>
      </c>
      <c r="EK163" s="284" t="s">
        <v>121</v>
      </c>
      <c r="EL163" s="284" t="s">
        <v>121</v>
      </c>
      <c r="EM163" s="284" t="s">
        <v>121</v>
      </c>
      <c r="EN163" s="284" t="s">
        <v>121</v>
      </c>
      <c r="EO163" s="284" t="s">
        <v>121</v>
      </c>
      <c r="EP163" s="284" t="s">
        <v>121</v>
      </c>
      <c r="EQ163" s="284" t="s">
        <v>121</v>
      </c>
      <c r="ER163" s="284" t="s">
        <v>121</v>
      </c>
      <c r="ES163" s="284" t="s">
        <v>121</v>
      </c>
      <c r="ET163" s="284" t="s">
        <v>121</v>
      </c>
      <c r="EU163" s="284" t="s">
        <v>121</v>
      </c>
      <c r="EV163" s="284" t="s">
        <v>121</v>
      </c>
      <c r="EW163" s="284" t="s">
        <v>121</v>
      </c>
      <c r="EX163" s="284" t="s">
        <v>121</v>
      </c>
    </row>
    <row r="164" spans="1:154" s="284" customFormat="1" x14ac:dyDescent="0.25">
      <c r="A164" s="72">
        <v>164</v>
      </c>
      <c r="B164" s="346" t="s">
        <v>444</v>
      </c>
      <c r="C164" s="345" t="s">
        <v>121</v>
      </c>
      <c r="D164" s="275" t="s">
        <v>121</v>
      </c>
      <c r="E164" s="270">
        <f ca="1">OFFSET($E$7,$A164-$A$7,1,1,1)-OFFSET($E$7,$A164-$A$7,5,1,1)</f>
        <v>1.1085174921206548E-2</v>
      </c>
      <c r="F164" s="243">
        <f>(-F137)/AVERAGE('Loan Portfolio IFRS 9'!F55,'Loan Portfolio IFRS 9'!I55)/((IF(LEFT(F157,2)="1Q",DATE(RIGHT(F157,4),3,31),IF(LEFT(F157,2)="1H",DATE(RIGHT(F157,4),6,30),IF(LEFT(F157,2)="9M",DATE(RIGHT(F157,4),9,30),DATE(RIGHT(F157,4),12,31))))-DATE(RIGHT(F157,4)-1,12,31))/(DATE(RIGHT(F157,4),12,31)-DATE(RIGHT(F157,4)-1,12,31)))</f>
        <v>1.9058708638619457E-2</v>
      </c>
      <c r="G164" s="243">
        <f>(-G137)/AVERAGE('Loan Portfolio IFRS 9'!G55,'Loan Portfolio IFRS 9'!I55)/((IF(LEFT(G157,2)="1Q",DATE(RIGHT(G157,4),3,31),IF(LEFT(G157,2)="1H",DATE(RIGHT(G157,4),6,30),IF(LEFT(G157,2)="9M",DATE(RIGHT(G157,4),9,30),DATE(RIGHT(G157,4),12,31))))-DATE(RIGHT(G157,4)-1,12,31))/(DATE(RIGHT(G157,4),12,31)-DATE(RIGHT(G157,4)-1,12,31)))</f>
        <v>1.7129385003948682E-2</v>
      </c>
      <c r="H164" s="243">
        <f>(-H137)/AVERAGE('Loan Portfolio IFRS 9'!H55,'Loan Portfolio IFRS 9'!I55)/((IF(LEFT(H157,2)="1Q",DATE(RIGHT(H157,4),3,31),IF(LEFT(H157,2)="1H",DATE(RIGHT(H157,4),6,30),IF(LEFT(H157,2)="9M",DATE(RIGHT(H157,4),9,30),DATE(RIGHT(H157,4),12,31))))-DATE(RIGHT(H157,4)-1,12,31))/(DATE(RIGHT(H157,4),12,31)-DATE(RIGHT(H157,4)-1,12,31)))</f>
        <v>-2.3075646217336274E-4</v>
      </c>
      <c r="I164" s="243">
        <f>(-I137)/AVERAGE('Loan Portfolio IFRS 9'!I55,'Loan Portfolio IFRS 9'!M55)/((IF(LEFT(I157,2)="1Q",DATE(RIGHT(I157,4),3,31),IF(LEFT(I157,2)="1H",DATE(RIGHT(I157,4),6,30),IF(LEFT(I157,2)="9M",DATE(RIGHT(I157,4),9,30),DATE(RIGHT(I157,4),12,31))))-DATE(RIGHT(I157,4)-1,12,31))/(DATE(RIGHT(I157,4),12,31)-DATE(RIGHT(I157,4)-1,12,31)))</f>
        <v>8.4766811260961975E-3</v>
      </c>
      <c r="J164" s="243">
        <f>(-J137)/AVERAGE('Loan Portfolio IFRS 9'!J55,'Loan Portfolio IFRS 9'!M55)/((IF(LEFT(J157,2)="1Q",DATE(RIGHT(J157,4),3,31),IF(LEFT(J157,2)="1H",DATE(RIGHT(J157,4),6,30),IF(LEFT(J157,2)="9M",DATE(RIGHT(J157,4),9,30),DATE(RIGHT(J157,4),12,31))))-DATE(RIGHT(J157,4)-1,12,31))/(DATE(RIGHT(J157,4),12,31)-DATE(RIGHT(J157,4)-1,12,31)))</f>
        <v>7.9735337174129083E-3</v>
      </c>
      <c r="K164" s="243">
        <f>(-K137)/AVERAGE('Loan Portfolio IFRS 9'!K55,'Loan Portfolio IFRS 9'!M55)/((IF(LEFT(K157,2)="1Q",DATE(RIGHT(K157,4),3,31),IF(LEFT(K157,2)="1H",DATE(RIGHT(K157,4),6,30),IF(LEFT(K157,2)="9M",DATE(RIGHT(K157,4),9,30),DATE(RIGHT(K157,4),12,31))))-DATE(RIGHT(K157,4)-1,12,31))/(DATE(RIGHT(K157,4),12,31)-DATE(RIGHT(K157,4)-1,12,31)))</f>
        <v>8.877506918003094E-3</v>
      </c>
      <c r="L164" s="243">
        <f>(-L137)/AVERAGE('Loan Portfolio IFRS 9'!L55,'Loan Portfolio IFRS 9'!M55)/((IF(LEFT(L157,2)="1Q",DATE(RIGHT(L157,4),3,31),IF(LEFT(L157,2)="1H",DATE(RIGHT(L157,4),6,30),IF(LEFT(L157,2)="9M",DATE(RIGHT(L157,4),9,30),DATE(RIGHT(L157,4),12,31))))-DATE(RIGHT(L157,4)-1,12,31))/(DATE(RIGHT(L157,4),12,31)-DATE(RIGHT(L157,4)-1,12,31)))</f>
        <v>1.2076970914952035E-3</v>
      </c>
      <c r="M164" s="243">
        <f>(-M137)/AVERAGE('Loan Portfolio IFRS 9'!M55,'Loan Portfolio IFRS 9'!Q55)/((IF(LEFT(M157,2)="1Q",DATE(RIGHT(M157,4),3,31),IF(LEFT(M157,2)="1H",DATE(RIGHT(M157,4),6,30),IF(LEFT(M157,2)="9M",DATE(RIGHT(M157,4),9,30),DATE(RIGHT(M157,4),12,31))))-DATE(RIGHT(M157,4)-1,12,31))/(DATE(RIGHT(M157,4),12,31)-DATE(RIGHT(M157,4)-1,12,31)))</f>
        <v>-5.2340745325140355E-3</v>
      </c>
      <c r="N164" s="243">
        <f>(-N137)/AVERAGE('Loan Portfolio IFRS 9'!N55,'Loan Portfolio IFRS 9'!Q55)/((IF(LEFT(N157,2)="1Q",DATE(RIGHT(N157,4),3,31),IF(LEFT(N157,2)="1H",DATE(RIGHT(N157,4),6,30),IF(LEFT(N157,2)="9M",DATE(RIGHT(N157,4),9,30),DATE(RIGHT(N157,4),12,31))))-DATE(RIGHT(N157,4)-1,12,31))/(DATE(RIGHT(N157,4),12,31)-DATE(RIGHT(N157,4)-1,12,31)))</f>
        <v>-8.5874032054274064E-3</v>
      </c>
      <c r="O164" s="243">
        <f>(-O137)/AVERAGE('Loan Portfolio IFRS 9'!O55,'Loan Portfolio IFRS 9'!Q55)/((IF(LEFT(O157,2)="1Q",DATE(RIGHT(O157,4),3,31),IF(LEFT(O157,2)="1H",DATE(RIGHT(O157,4),6,30),IF(LEFT(O157,2)="9M",DATE(RIGHT(O157,4),9,30),DATE(RIGHT(O157,4),12,31))))-DATE(RIGHT(O157,4)-1,12,31))/(DATE(RIGHT(O157,4),12,31)-DATE(RIGHT(O157,4)-1,12,31)))</f>
        <v>-1.5419463576160069E-2</v>
      </c>
      <c r="P164" s="243">
        <f>(-P137)/AVERAGE('Loan Portfolio IFRS 9'!P55,'Loan Portfolio IFRS 9'!Q55)/((IF(LEFT(P157,2)="1Q",DATE(RIGHT(P157,4),3,31),IF(LEFT(P157,2)="1H",DATE(RIGHT(P157,4),6,30),IF(LEFT(P157,2)="9M",DATE(RIGHT(P157,4),9,30),DATE(RIGHT(P157,4),12,31))))-DATE(RIGHT(P157,4)-1,12,31))/(DATE(RIGHT(P157,4),12,31)-DATE(RIGHT(P157,4)-1,12,31)))</f>
        <v>-2.6542526577578374E-2</v>
      </c>
      <c r="Q164" s="405"/>
      <c r="R164" s="405"/>
      <c r="S164" s="405"/>
      <c r="T164" s="405"/>
      <c r="U164" s="243">
        <v>9.4452597060624699E-3</v>
      </c>
      <c r="V164" s="243">
        <v>1.3998536323850038E-2</v>
      </c>
      <c r="W164" s="243">
        <v>1.747879217901159E-2</v>
      </c>
      <c r="X164" s="243">
        <v>1.8754387829805749E-2</v>
      </c>
      <c r="Y164" s="243">
        <v>2.087325103452484E-2</v>
      </c>
      <c r="Z164" s="243">
        <v>2.2121736853475897E-2</v>
      </c>
      <c r="AA164" s="243">
        <v>2.5602611917634056E-2</v>
      </c>
      <c r="AB164" s="243">
        <v>2.5168914857075467E-2</v>
      </c>
      <c r="AC164" s="243">
        <v>2.0434379841631094E-2</v>
      </c>
      <c r="AD164" s="243">
        <v>2.0563304239020287E-2</v>
      </c>
      <c r="AE164" s="243">
        <v>2.2414313943504034E-2</v>
      </c>
      <c r="AF164" s="243">
        <v>2.4622488803916046E-2</v>
      </c>
      <c r="AG164" s="243">
        <v>1.9055999066050978E-2</v>
      </c>
      <c r="AH164" s="243">
        <v>1.8895144548393677E-2</v>
      </c>
      <c r="AI164" s="243">
        <v>1.8669075090083545E-2</v>
      </c>
      <c r="AJ164" s="243">
        <v>2.0277461024959496E-2</v>
      </c>
      <c r="AK164" s="243">
        <v>2.6894682738172176E-2</v>
      </c>
      <c r="AL164" s="243">
        <v>2.738849898888546E-2</v>
      </c>
      <c r="AM164" s="243">
        <v>2.9579787107209456E-2</v>
      </c>
      <c r="AN164" s="243">
        <v>3.0684068539311056E-2</v>
      </c>
      <c r="AO164" s="243">
        <v>3.4475409684253611E-2</v>
      </c>
      <c r="AP164" s="243">
        <v>3.4509882036681525E-2</v>
      </c>
      <c r="AQ164" s="243">
        <v>3.3371635264169738E-2</v>
      </c>
      <c r="AR164" s="243">
        <v>3.2096367330480283E-2</v>
      </c>
      <c r="AS164" s="243">
        <v>3.4434052799749482E-2</v>
      </c>
      <c r="AT164" s="243">
        <v>3.4097645514837863E-2</v>
      </c>
      <c r="AU164" s="243">
        <v>3.3269590897752083E-2</v>
      </c>
      <c r="AV164" s="243">
        <v>3.040671721980049E-2</v>
      </c>
      <c r="AW164" s="243">
        <v>2.3481098472268293E-2</v>
      </c>
      <c r="AX164" s="243">
        <v>2.0186708124532368E-2</v>
      </c>
      <c r="AY164" s="243">
        <v>1.9869150032684094E-2</v>
      </c>
      <c r="AZ164" s="243">
        <v>1.7360313750256609E-2</v>
      </c>
      <c r="BA164" s="243">
        <v>1.7178525952309072E-2</v>
      </c>
      <c r="BB164" s="243">
        <v>1.6816112969751183E-2</v>
      </c>
      <c r="BC164" s="243">
        <v>1.7483617643392839E-2</v>
      </c>
      <c r="BD164" s="243">
        <v>1.7587944564971279E-2</v>
      </c>
      <c r="BE164" s="243">
        <v>2.6749525541311027E-2</v>
      </c>
      <c r="BF164" s="243">
        <v>2.7486159782335776E-2</v>
      </c>
      <c r="BG164" s="243">
        <v>2.7985071260398557E-2</v>
      </c>
      <c r="BH164" s="243">
        <v>3.0688292132288943E-2</v>
      </c>
      <c r="BI164" s="243">
        <v>1.5878411638342624E-2</v>
      </c>
      <c r="BJ164" s="243">
        <v>1.0533352179705651E-2</v>
      </c>
      <c r="BK164" s="243">
        <v>9.2705799697119003E-3</v>
      </c>
      <c r="BL164" s="243">
        <v>1.3153770158507692E-2</v>
      </c>
      <c r="BM164" s="284">
        <v>2.6624571448044951E-2</v>
      </c>
      <c r="BN164" s="284">
        <v>3.5806599619783532E-2</v>
      </c>
      <c r="BO164" s="284">
        <v>4.5515076345453917E-2</v>
      </c>
      <c r="BP164" s="284">
        <v>6.3897009235987928E-2</v>
      </c>
      <c r="BQ164" s="284" t="s">
        <v>121</v>
      </c>
      <c r="BR164" s="284" t="s">
        <v>121</v>
      </c>
      <c r="BS164" s="284" t="s">
        <v>121</v>
      </c>
      <c r="BT164" s="284" t="s">
        <v>121</v>
      </c>
      <c r="BU164" s="284" t="s">
        <v>121</v>
      </c>
      <c r="BV164" s="284" t="s">
        <v>121</v>
      </c>
      <c r="BW164" s="284" t="s">
        <v>121</v>
      </c>
      <c r="BX164" s="284" t="s">
        <v>121</v>
      </c>
      <c r="BY164" s="284" t="s">
        <v>121</v>
      </c>
      <c r="BZ164" s="284" t="s">
        <v>121</v>
      </c>
      <c r="CA164" s="284" t="s">
        <v>121</v>
      </c>
      <c r="CB164" s="284" t="s">
        <v>121</v>
      </c>
      <c r="CC164" s="284" t="s">
        <v>121</v>
      </c>
      <c r="CD164" s="284" t="s">
        <v>121</v>
      </c>
      <c r="CE164" s="284" t="s">
        <v>121</v>
      </c>
      <c r="CF164" s="284" t="s">
        <v>121</v>
      </c>
      <c r="CG164" s="284" t="s">
        <v>121</v>
      </c>
      <c r="CH164" s="284" t="s">
        <v>121</v>
      </c>
      <c r="CI164" s="284" t="s">
        <v>121</v>
      </c>
      <c r="CJ164" s="284" t="s">
        <v>121</v>
      </c>
      <c r="CK164" s="284" t="s">
        <v>121</v>
      </c>
      <c r="CL164" s="284" t="s">
        <v>121</v>
      </c>
      <c r="CM164" s="284" t="s">
        <v>121</v>
      </c>
      <c r="CN164" s="284" t="s">
        <v>121</v>
      </c>
      <c r="CO164" s="284" t="s">
        <v>121</v>
      </c>
      <c r="CP164" s="284" t="s">
        <v>121</v>
      </c>
      <c r="CQ164" s="284" t="s">
        <v>121</v>
      </c>
      <c r="CR164" s="284" t="s">
        <v>121</v>
      </c>
      <c r="CS164" s="284" t="s">
        <v>121</v>
      </c>
      <c r="CT164" s="284" t="s">
        <v>121</v>
      </c>
      <c r="CU164" s="284" t="s">
        <v>121</v>
      </c>
      <c r="CV164" s="284" t="s">
        <v>121</v>
      </c>
      <c r="CW164" s="284" t="s">
        <v>121</v>
      </c>
      <c r="CX164" s="284" t="s">
        <v>121</v>
      </c>
      <c r="CY164" s="284" t="s">
        <v>121</v>
      </c>
      <c r="CZ164" s="284" t="s">
        <v>121</v>
      </c>
      <c r="DA164" s="284" t="s">
        <v>121</v>
      </c>
      <c r="DB164" s="284" t="s">
        <v>121</v>
      </c>
      <c r="DC164" s="284" t="s">
        <v>121</v>
      </c>
      <c r="DD164" s="284" t="s">
        <v>121</v>
      </c>
      <c r="DE164" s="284" t="s">
        <v>121</v>
      </c>
      <c r="DF164" s="284" t="s">
        <v>121</v>
      </c>
      <c r="DG164" s="284" t="s">
        <v>121</v>
      </c>
      <c r="DH164" s="284" t="s">
        <v>121</v>
      </c>
      <c r="DI164" s="284" t="s">
        <v>121</v>
      </c>
      <c r="DJ164" s="284" t="s">
        <v>121</v>
      </c>
      <c r="DK164" s="284" t="s">
        <v>121</v>
      </c>
      <c r="DL164" s="284" t="s">
        <v>121</v>
      </c>
      <c r="DM164" s="284" t="s">
        <v>121</v>
      </c>
      <c r="DN164" s="284" t="s">
        <v>121</v>
      </c>
      <c r="DO164" s="284" t="s">
        <v>121</v>
      </c>
      <c r="DP164" s="284" t="s">
        <v>121</v>
      </c>
      <c r="DQ164" s="284" t="s">
        <v>121</v>
      </c>
      <c r="DR164" s="284" t="s">
        <v>121</v>
      </c>
      <c r="DS164" s="284" t="s">
        <v>121</v>
      </c>
      <c r="DT164" s="284" t="s">
        <v>121</v>
      </c>
      <c r="DU164" s="284" t="s">
        <v>121</v>
      </c>
      <c r="DV164" s="284" t="s">
        <v>121</v>
      </c>
      <c r="DW164" s="284" t="s">
        <v>121</v>
      </c>
      <c r="DX164" s="284" t="s">
        <v>121</v>
      </c>
      <c r="DY164" s="284" t="s">
        <v>121</v>
      </c>
      <c r="DZ164" s="284" t="s">
        <v>121</v>
      </c>
      <c r="EA164" s="284" t="s">
        <v>121</v>
      </c>
      <c r="EB164" s="284" t="s">
        <v>121</v>
      </c>
      <c r="EC164" s="284" t="s">
        <v>121</v>
      </c>
      <c r="ED164" s="284" t="s">
        <v>121</v>
      </c>
      <c r="EE164" s="284" t="s">
        <v>121</v>
      </c>
      <c r="EF164" s="284" t="s">
        <v>121</v>
      </c>
      <c r="EG164" s="284" t="s">
        <v>121</v>
      </c>
      <c r="EH164" s="284" t="s">
        <v>121</v>
      </c>
      <c r="EI164" s="284" t="s">
        <v>121</v>
      </c>
      <c r="EJ164" s="284" t="s">
        <v>121</v>
      </c>
      <c r="EK164" s="284" t="s">
        <v>121</v>
      </c>
      <c r="EL164" s="284" t="s">
        <v>121</v>
      </c>
      <c r="EM164" s="284" t="s">
        <v>121</v>
      </c>
      <c r="EN164" s="284" t="s">
        <v>121</v>
      </c>
      <c r="EO164" s="284" t="s">
        <v>121</v>
      </c>
      <c r="EP164" s="284" t="s">
        <v>121</v>
      </c>
      <c r="EQ164" s="284" t="s">
        <v>121</v>
      </c>
      <c r="ER164" s="284" t="s">
        <v>121</v>
      </c>
      <c r="ES164" s="284" t="s">
        <v>121</v>
      </c>
      <c r="ET164" s="284" t="s">
        <v>121</v>
      </c>
      <c r="EU164" s="284" t="s">
        <v>121</v>
      </c>
      <c r="EV164" s="284" t="s">
        <v>121</v>
      </c>
      <c r="EW164" s="284" t="s">
        <v>121</v>
      </c>
      <c r="EX164" s="284" t="s">
        <v>121</v>
      </c>
    </row>
    <row r="165" spans="1:154" s="284" customFormat="1" ht="8.1" customHeight="1" x14ac:dyDescent="0.25">
      <c r="A165" s="72">
        <v>165</v>
      </c>
      <c r="B165" s="344" t="s">
        <v>121</v>
      </c>
      <c r="C165" s="344" t="s">
        <v>121</v>
      </c>
      <c r="D165" s="344" t="s">
        <v>121</v>
      </c>
      <c r="E165" s="344" t="s">
        <v>121</v>
      </c>
      <c r="F165" s="344" t="s">
        <v>121</v>
      </c>
      <c r="G165" s="344" t="s">
        <v>121</v>
      </c>
      <c r="H165" s="344" t="s">
        <v>121</v>
      </c>
      <c r="I165" s="344" t="s">
        <v>121</v>
      </c>
      <c r="J165" s="344" t="s">
        <v>121</v>
      </c>
      <c r="K165" s="344" t="s">
        <v>121</v>
      </c>
      <c r="L165" s="344" t="s">
        <v>121</v>
      </c>
      <c r="M165" s="344" t="s">
        <v>121</v>
      </c>
      <c r="N165" s="344" t="s">
        <v>121</v>
      </c>
      <c r="O165" s="344" t="s">
        <v>121</v>
      </c>
      <c r="P165" s="344" t="s">
        <v>121</v>
      </c>
      <c r="Q165" s="344" t="s">
        <v>121</v>
      </c>
      <c r="R165" s="344" t="s">
        <v>121</v>
      </c>
      <c r="S165" s="344" t="s">
        <v>121</v>
      </c>
      <c r="T165" s="344" t="s">
        <v>121</v>
      </c>
      <c r="U165" s="344" t="s">
        <v>121</v>
      </c>
      <c r="V165" s="344" t="s">
        <v>121</v>
      </c>
      <c r="W165" s="344" t="s">
        <v>121</v>
      </c>
      <c r="X165" s="344" t="s">
        <v>121</v>
      </c>
      <c r="Y165" s="344" t="s">
        <v>121</v>
      </c>
      <c r="Z165" s="344" t="s">
        <v>121</v>
      </c>
      <c r="AA165" s="344" t="s">
        <v>121</v>
      </c>
      <c r="AB165" s="344" t="s">
        <v>121</v>
      </c>
      <c r="AC165" s="344" t="s">
        <v>121</v>
      </c>
      <c r="AD165" s="344" t="s">
        <v>121</v>
      </c>
      <c r="AE165" s="344" t="s">
        <v>121</v>
      </c>
      <c r="AF165" s="344" t="s">
        <v>121</v>
      </c>
      <c r="AG165" s="344" t="s">
        <v>121</v>
      </c>
      <c r="AH165" s="344" t="s">
        <v>121</v>
      </c>
      <c r="AI165" s="344" t="s">
        <v>121</v>
      </c>
      <c r="AJ165" s="344" t="s">
        <v>121</v>
      </c>
      <c r="AK165" s="344" t="s">
        <v>121</v>
      </c>
      <c r="AL165" s="344" t="s">
        <v>121</v>
      </c>
      <c r="AM165" s="344" t="s">
        <v>121</v>
      </c>
      <c r="AN165" s="344" t="s">
        <v>121</v>
      </c>
      <c r="AO165" s="344" t="s">
        <v>121</v>
      </c>
      <c r="AP165" s="344" t="s">
        <v>121</v>
      </c>
      <c r="AQ165" s="344" t="s">
        <v>121</v>
      </c>
      <c r="AR165" s="344" t="s">
        <v>121</v>
      </c>
      <c r="AS165" s="344" t="s">
        <v>121</v>
      </c>
      <c r="AT165" s="344" t="s">
        <v>121</v>
      </c>
      <c r="AU165" s="344" t="s">
        <v>121</v>
      </c>
      <c r="AV165" s="344" t="s">
        <v>121</v>
      </c>
      <c r="AW165" s="344" t="s">
        <v>121</v>
      </c>
      <c r="AX165" s="344" t="s">
        <v>121</v>
      </c>
      <c r="AY165" s="344" t="s">
        <v>121</v>
      </c>
      <c r="AZ165" s="344" t="s">
        <v>121</v>
      </c>
      <c r="BA165" s="243" t="s">
        <v>121</v>
      </c>
      <c r="BB165" s="243" t="s">
        <v>121</v>
      </c>
      <c r="BC165" s="243" t="s">
        <v>121</v>
      </c>
      <c r="BD165" s="243" t="s">
        <v>121</v>
      </c>
      <c r="BE165" s="243" t="s">
        <v>121</v>
      </c>
      <c r="BF165" s="243" t="s">
        <v>121</v>
      </c>
      <c r="BG165" s="243" t="s">
        <v>121</v>
      </c>
      <c r="BH165" s="243" t="s">
        <v>121</v>
      </c>
      <c r="BI165" s="243" t="s">
        <v>121</v>
      </c>
      <c r="BJ165" s="243" t="s">
        <v>121</v>
      </c>
      <c r="BK165" s="243" t="s">
        <v>121</v>
      </c>
      <c r="BL165" s="243" t="s">
        <v>121</v>
      </c>
      <c r="BM165" s="284" t="s">
        <v>121</v>
      </c>
      <c r="BN165" s="284" t="s">
        <v>121</v>
      </c>
      <c r="BO165" s="284" t="s">
        <v>121</v>
      </c>
      <c r="BP165" s="284" t="s">
        <v>121</v>
      </c>
      <c r="BQ165" s="284" t="s">
        <v>121</v>
      </c>
      <c r="BR165" s="284" t="s">
        <v>121</v>
      </c>
      <c r="BS165" s="284" t="s">
        <v>121</v>
      </c>
      <c r="BT165" s="284" t="s">
        <v>121</v>
      </c>
      <c r="BU165" s="284" t="s">
        <v>121</v>
      </c>
      <c r="BV165" s="284" t="s">
        <v>121</v>
      </c>
      <c r="BW165" s="284" t="s">
        <v>121</v>
      </c>
      <c r="BX165" s="284" t="s">
        <v>121</v>
      </c>
      <c r="BY165" s="284" t="s">
        <v>121</v>
      </c>
      <c r="BZ165" s="284" t="s">
        <v>121</v>
      </c>
      <c r="CA165" s="284" t="s">
        <v>121</v>
      </c>
      <c r="CB165" s="284" t="s">
        <v>121</v>
      </c>
      <c r="CC165" s="284" t="s">
        <v>121</v>
      </c>
      <c r="CD165" s="284" t="s">
        <v>121</v>
      </c>
      <c r="CE165" s="284" t="s">
        <v>121</v>
      </c>
      <c r="CF165" s="284" t="s">
        <v>121</v>
      </c>
      <c r="CG165" s="284" t="s">
        <v>121</v>
      </c>
      <c r="CH165" s="284" t="s">
        <v>121</v>
      </c>
      <c r="CI165" s="284" t="s">
        <v>121</v>
      </c>
      <c r="CJ165" s="284" t="s">
        <v>121</v>
      </c>
      <c r="CK165" s="284" t="s">
        <v>121</v>
      </c>
      <c r="CL165" s="284" t="s">
        <v>121</v>
      </c>
      <c r="CM165" s="284" t="s">
        <v>121</v>
      </c>
      <c r="CN165" s="284" t="s">
        <v>121</v>
      </c>
      <c r="CO165" s="284" t="s">
        <v>121</v>
      </c>
      <c r="CP165" s="284" t="s">
        <v>121</v>
      </c>
      <c r="CQ165" s="284" t="s">
        <v>121</v>
      </c>
      <c r="CR165" s="284" t="s">
        <v>121</v>
      </c>
      <c r="CS165" s="284" t="s">
        <v>121</v>
      </c>
      <c r="CT165" s="284" t="s">
        <v>121</v>
      </c>
      <c r="CU165" s="284" t="s">
        <v>121</v>
      </c>
      <c r="CV165" s="284" t="s">
        <v>121</v>
      </c>
      <c r="CW165" s="284" t="s">
        <v>121</v>
      </c>
      <c r="CX165" s="284" t="s">
        <v>121</v>
      </c>
      <c r="CY165" s="284" t="s">
        <v>121</v>
      </c>
      <c r="CZ165" s="284" t="s">
        <v>121</v>
      </c>
      <c r="DA165" s="284" t="s">
        <v>121</v>
      </c>
      <c r="DB165" s="284" t="s">
        <v>121</v>
      </c>
      <c r="DC165" s="284" t="s">
        <v>121</v>
      </c>
      <c r="DD165" s="284" t="s">
        <v>121</v>
      </c>
      <c r="DE165" s="284" t="s">
        <v>121</v>
      </c>
      <c r="DF165" s="284" t="s">
        <v>121</v>
      </c>
      <c r="DG165" s="284" t="s">
        <v>121</v>
      </c>
      <c r="DH165" s="284" t="s">
        <v>121</v>
      </c>
      <c r="DI165" s="284" t="s">
        <v>121</v>
      </c>
      <c r="DJ165" s="284" t="s">
        <v>121</v>
      </c>
      <c r="DK165" s="284" t="s">
        <v>121</v>
      </c>
      <c r="DL165" s="284" t="s">
        <v>121</v>
      </c>
      <c r="DM165" s="284" t="s">
        <v>121</v>
      </c>
      <c r="DN165" s="284" t="s">
        <v>121</v>
      </c>
      <c r="DO165" s="284" t="s">
        <v>121</v>
      </c>
      <c r="DP165" s="284" t="s">
        <v>121</v>
      </c>
      <c r="DQ165" s="284" t="s">
        <v>121</v>
      </c>
      <c r="DR165" s="284" t="s">
        <v>121</v>
      </c>
      <c r="DS165" s="284" t="s">
        <v>121</v>
      </c>
      <c r="DT165" s="284" t="s">
        <v>121</v>
      </c>
      <c r="DU165" s="284" t="s">
        <v>121</v>
      </c>
      <c r="DV165" s="284" t="s">
        <v>121</v>
      </c>
      <c r="DW165" s="284" t="s">
        <v>121</v>
      </c>
      <c r="DX165" s="284" t="s">
        <v>121</v>
      </c>
      <c r="DY165" s="284" t="s">
        <v>121</v>
      </c>
      <c r="DZ165" s="284" t="s">
        <v>121</v>
      </c>
      <c r="EA165" s="284" t="s">
        <v>121</v>
      </c>
      <c r="EB165" s="284" t="s">
        <v>121</v>
      </c>
      <c r="EC165" s="284" t="s">
        <v>121</v>
      </c>
      <c r="ED165" s="284" t="s">
        <v>121</v>
      </c>
      <c r="EE165" s="284" t="s">
        <v>121</v>
      </c>
      <c r="EF165" s="284" t="s">
        <v>121</v>
      </c>
      <c r="EG165" s="284" t="s">
        <v>121</v>
      </c>
      <c r="EH165" s="284" t="s">
        <v>121</v>
      </c>
      <c r="EI165" s="284" t="s">
        <v>121</v>
      </c>
      <c r="EJ165" s="284" t="s">
        <v>121</v>
      </c>
      <c r="EK165" s="284" t="s">
        <v>121</v>
      </c>
      <c r="EL165" s="284" t="s">
        <v>121</v>
      </c>
      <c r="EM165" s="284" t="s">
        <v>121</v>
      </c>
      <c r="EN165" s="284" t="s">
        <v>121</v>
      </c>
      <c r="EO165" s="284" t="s">
        <v>121</v>
      </c>
      <c r="EP165" s="284" t="s">
        <v>121</v>
      </c>
      <c r="EQ165" s="284" t="s">
        <v>121</v>
      </c>
      <c r="ER165" s="284" t="s">
        <v>121</v>
      </c>
      <c r="ES165" s="284" t="s">
        <v>121</v>
      </c>
      <c r="ET165" s="284" t="s">
        <v>121</v>
      </c>
      <c r="EU165" s="284" t="s">
        <v>121</v>
      </c>
      <c r="EV165" s="284" t="s">
        <v>121</v>
      </c>
      <c r="EW165" s="284" t="s">
        <v>121</v>
      </c>
      <c r="EX165" s="284" t="s">
        <v>121</v>
      </c>
    </row>
    <row r="166" spans="1:154" s="284" customFormat="1" x14ac:dyDescent="0.25">
      <c r="A166" s="72">
        <v>166</v>
      </c>
      <c r="B166" s="467" t="s">
        <v>121</v>
      </c>
      <c r="C166" s="464" t="s">
        <v>433</v>
      </c>
      <c r="D166" s="347" t="s">
        <v>121</v>
      </c>
      <c r="E166" s="464" t="s">
        <v>434</v>
      </c>
      <c r="F166" s="449" t="s">
        <v>197</v>
      </c>
      <c r="G166" s="416" t="s">
        <v>198</v>
      </c>
      <c r="H166" s="449" t="s">
        <v>131</v>
      </c>
      <c r="I166" s="449" t="s">
        <v>199</v>
      </c>
      <c r="J166" s="449" t="s">
        <v>200</v>
      </c>
      <c r="K166" s="449" t="s">
        <v>201</v>
      </c>
      <c r="L166" s="449" t="s">
        <v>135</v>
      </c>
      <c r="M166" s="449" t="s">
        <v>202</v>
      </c>
      <c r="N166" s="449" t="s">
        <v>203</v>
      </c>
      <c r="O166" s="449" t="s">
        <v>204</v>
      </c>
      <c r="P166" s="449" t="s">
        <v>139</v>
      </c>
      <c r="Q166" s="449" t="s">
        <v>205</v>
      </c>
      <c r="R166" s="449" t="s">
        <v>206</v>
      </c>
      <c r="S166" s="449" t="s">
        <v>435</v>
      </c>
      <c r="T166" s="449" t="s">
        <v>143</v>
      </c>
      <c r="U166" s="449" t="s">
        <v>208</v>
      </c>
      <c r="V166" s="449" t="s">
        <v>209</v>
      </c>
      <c r="W166" s="449" t="s">
        <v>207</v>
      </c>
      <c r="X166" s="460" t="s">
        <v>147</v>
      </c>
      <c r="Y166" s="449" t="s">
        <v>210</v>
      </c>
      <c r="Z166" s="449" t="s">
        <v>211</v>
      </c>
      <c r="AA166" s="449" t="s">
        <v>212</v>
      </c>
      <c r="AB166" s="460" t="s">
        <v>151</v>
      </c>
      <c r="AC166" s="460" t="s">
        <v>213</v>
      </c>
      <c r="AD166" s="449" t="s">
        <v>214</v>
      </c>
      <c r="AE166" s="449" t="s">
        <v>215</v>
      </c>
      <c r="AF166" s="449" t="s">
        <v>155</v>
      </c>
      <c r="AG166" s="460" t="s">
        <v>216</v>
      </c>
      <c r="AH166" s="449" t="s">
        <v>217</v>
      </c>
      <c r="AI166" s="449" t="s">
        <v>218</v>
      </c>
      <c r="AJ166" s="449" t="s">
        <v>159</v>
      </c>
      <c r="AK166" s="449" t="s">
        <v>219</v>
      </c>
      <c r="AL166" s="449" t="s">
        <v>220</v>
      </c>
      <c r="AM166" s="449" t="s">
        <v>221</v>
      </c>
      <c r="AN166" s="449" t="s">
        <v>163</v>
      </c>
      <c r="AO166" s="449" t="s">
        <v>222</v>
      </c>
      <c r="AP166" s="449" t="s">
        <v>223</v>
      </c>
      <c r="AQ166" s="449" t="s">
        <v>224</v>
      </c>
      <c r="AR166" s="449" t="s">
        <v>167</v>
      </c>
      <c r="AS166" s="460" t="s">
        <v>225</v>
      </c>
      <c r="AT166" s="460" t="s">
        <v>226</v>
      </c>
      <c r="AU166" s="460" t="s">
        <v>227</v>
      </c>
      <c r="AV166" s="460" t="s">
        <v>171</v>
      </c>
      <c r="AW166" s="460" t="s">
        <v>228</v>
      </c>
      <c r="AX166" s="449" t="s">
        <v>229</v>
      </c>
      <c r="AY166" s="449" t="s">
        <v>230</v>
      </c>
      <c r="AZ166" s="449" t="s">
        <v>175</v>
      </c>
      <c r="BA166" s="449" t="s">
        <v>231</v>
      </c>
      <c r="BB166" s="449" t="s">
        <v>232</v>
      </c>
      <c r="BC166" s="449" t="s">
        <v>233</v>
      </c>
      <c r="BD166" s="449" t="s">
        <v>179</v>
      </c>
      <c r="BE166" s="449" t="s">
        <v>234</v>
      </c>
      <c r="BF166" s="449" t="s">
        <v>235</v>
      </c>
      <c r="BG166" s="449" t="s">
        <v>236</v>
      </c>
      <c r="BH166" s="449" t="s">
        <v>183</v>
      </c>
      <c r="BI166" s="449" t="s">
        <v>237</v>
      </c>
      <c r="BJ166" s="449" t="s">
        <v>238</v>
      </c>
      <c r="BK166" s="449" t="s">
        <v>239</v>
      </c>
      <c r="BL166" s="449" t="s">
        <v>187</v>
      </c>
      <c r="BM166" s="284" t="s">
        <v>240</v>
      </c>
      <c r="BN166" s="284" t="s">
        <v>241</v>
      </c>
      <c r="BO166" s="284" t="s">
        <v>242</v>
      </c>
      <c r="BP166" s="284" t="s">
        <v>191</v>
      </c>
      <c r="BQ166" s="284" t="s">
        <v>121</v>
      </c>
      <c r="BR166" s="284" t="s">
        <v>121</v>
      </c>
      <c r="BS166" s="284" t="s">
        <v>121</v>
      </c>
      <c r="BT166" s="284" t="s">
        <v>121</v>
      </c>
      <c r="BU166" s="284" t="s">
        <v>121</v>
      </c>
      <c r="BV166" s="284" t="s">
        <v>121</v>
      </c>
      <c r="BW166" s="284" t="s">
        <v>121</v>
      </c>
      <c r="BX166" s="284" t="s">
        <v>121</v>
      </c>
      <c r="BY166" s="284" t="s">
        <v>121</v>
      </c>
      <c r="BZ166" s="284" t="s">
        <v>121</v>
      </c>
      <c r="CA166" s="284" t="s">
        <v>121</v>
      </c>
      <c r="CB166" s="284" t="s">
        <v>121</v>
      </c>
      <c r="CC166" s="284" t="s">
        <v>121</v>
      </c>
      <c r="CD166" s="284" t="s">
        <v>121</v>
      </c>
      <c r="CE166" s="284" t="s">
        <v>121</v>
      </c>
      <c r="CF166" s="284" t="s">
        <v>121</v>
      </c>
      <c r="CG166" s="284" t="s">
        <v>121</v>
      </c>
      <c r="CH166" s="284" t="s">
        <v>121</v>
      </c>
      <c r="CI166" s="284" t="s">
        <v>121</v>
      </c>
      <c r="CJ166" s="284" t="s">
        <v>121</v>
      </c>
      <c r="CK166" s="284" t="s">
        <v>121</v>
      </c>
      <c r="CL166" s="284" t="s">
        <v>121</v>
      </c>
      <c r="CM166" s="284" t="s">
        <v>121</v>
      </c>
      <c r="CN166" s="284" t="s">
        <v>121</v>
      </c>
      <c r="CO166" s="284" t="s">
        <v>121</v>
      </c>
      <c r="CP166" s="284" t="s">
        <v>121</v>
      </c>
      <c r="CQ166" s="284" t="s">
        <v>121</v>
      </c>
      <c r="CR166" s="284" t="s">
        <v>121</v>
      </c>
      <c r="CS166" s="284" t="s">
        <v>121</v>
      </c>
      <c r="CT166" s="284" t="s">
        <v>121</v>
      </c>
      <c r="CU166" s="284" t="s">
        <v>121</v>
      </c>
      <c r="CV166" s="284" t="s">
        <v>121</v>
      </c>
      <c r="CW166" s="284" t="s">
        <v>121</v>
      </c>
      <c r="CX166" s="284" t="s">
        <v>121</v>
      </c>
      <c r="CY166" s="284" t="s">
        <v>121</v>
      </c>
      <c r="CZ166" s="284" t="s">
        <v>121</v>
      </c>
      <c r="DA166" s="284" t="s">
        <v>121</v>
      </c>
      <c r="DB166" s="284" t="s">
        <v>121</v>
      </c>
      <c r="DC166" s="284" t="s">
        <v>121</v>
      </c>
      <c r="DD166" s="284" t="s">
        <v>121</v>
      </c>
      <c r="DE166" s="284" t="s">
        <v>121</v>
      </c>
      <c r="DF166" s="284" t="s">
        <v>121</v>
      </c>
      <c r="DG166" s="284" t="s">
        <v>121</v>
      </c>
      <c r="DH166" s="284" t="s">
        <v>121</v>
      </c>
      <c r="DI166" s="284" t="s">
        <v>121</v>
      </c>
      <c r="DJ166" s="284" t="s">
        <v>121</v>
      </c>
      <c r="DK166" s="284" t="s">
        <v>121</v>
      </c>
      <c r="DL166" s="284" t="s">
        <v>121</v>
      </c>
      <c r="DM166" s="284" t="s">
        <v>121</v>
      </c>
      <c r="DN166" s="284" t="s">
        <v>121</v>
      </c>
      <c r="DO166" s="284" t="s">
        <v>121</v>
      </c>
      <c r="DP166" s="284" t="s">
        <v>121</v>
      </c>
      <c r="DQ166" s="284" t="s">
        <v>121</v>
      </c>
      <c r="DR166" s="284" t="s">
        <v>121</v>
      </c>
      <c r="DS166" s="284" t="s">
        <v>121</v>
      </c>
      <c r="DT166" s="284" t="s">
        <v>121</v>
      </c>
      <c r="DU166" s="284" t="s">
        <v>121</v>
      </c>
      <c r="DV166" s="284" t="s">
        <v>121</v>
      </c>
      <c r="DW166" s="284" t="s">
        <v>121</v>
      </c>
      <c r="DX166" s="284" t="s">
        <v>121</v>
      </c>
      <c r="DY166" s="284" t="s">
        <v>121</v>
      </c>
      <c r="DZ166" s="284" t="s">
        <v>121</v>
      </c>
      <c r="EA166" s="284" t="s">
        <v>121</v>
      </c>
      <c r="EB166" s="284" t="s">
        <v>121</v>
      </c>
      <c r="EC166" s="284" t="s">
        <v>121</v>
      </c>
      <c r="ED166" s="284" t="s">
        <v>121</v>
      </c>
      <c r="EE166" s="284" t="s">
        <v>121</v>
      </c>
      <c r="EF166" s="284" t="s">
        <v>121</v>
      </c>
      <c r="EG166" s="284" t="s">
        <v>121</v>
      </c>
      <c r="EH166" s="284" t="s">
        <v>121</v>
      </c>
      <c r="EI166" s="284" t="s">
        <v>121</v>
      </c>
      <c r="EJ166" s="284" t="s">
        <v>121</v>
      </c>
      <c r="EK166" s="284" t="s">
        <v>121</v>
      </c>
      <c r="EL166" s="284" t="s">
        <v>121</v>
      </c>
      <c r="EM166" s="284" t="s">
        <v>121</v>
      </c>
      <c r="EN166" s="284" t="s">
        <v>121</v>
      </c>
      <c r="EO166" s="284" t="s">
        <v>121</v>
      </c>
      <c r="EP166" s="284" t="s">
        <v>121</v>
      </c>
      <c r="EQ166" s="284" t="s">
        <v>121</v>
      </c>
      <c r="ER166" s="284" t="s">
        <v>121</v>
      </c>
      <c r="ES166" s="284" t="s">
        <v>121</v>
      </c>
      <c r="ET166" s="284" t="s">
        <v>121</v>
      </c>
      <c r="EU166" s="284" t="s">
        <v>121</v>
      </c>
      <c r="EV166" s="284" t="s">
        <v>121</v>
      </c>
      <c r="EW166" s="284" t="s">
        <v>121</v>
      </c>
      <c r="EX166" s="284" t="s">
        <v>121</v>
      </c>
    </row>
    <row r="167" spans="1:154" s="284" customFormat="1" x14ac:dyDescent="0.25">
      <c r="A167" s="72">
        <v>167</v>
      </c>
      <c r="B167" s="467"/>
      <c r="C167" s="465"/>
      <c r="D167" s="348"/>
      <c r="E167" s="465"/>
      <c r="F167" s="459"/>
      <c r="G167" s="417"/>
      <c r="H167" s="450"/>
      <c r="I167" s="459"/>
      <c r="J167" s="459"/>
      <c r="K167" s="459"/>
      <c r="L167" s="450"/>
      <c r="M167" s="459"/>
      <c r="N167" s="459"/>
      <c r="O167" s="459"/>
      <c r="P167" s="450"/>
      <c r="Q167" s="450"/>
      <c r="R167" s="459"/>
      <c r="S167" s="459"/>
      <c r="T167" s="450"/>
      <c r="U167" s="450"/>
      <c r="V167" s="450"/>
      <c r="W167" s="459"/>
      <c r="X167" s="461"/>
      <c r="Y167" s="450"/>
      <c r="Z167" s="450"/>
      <c r="AA167" s="459"/>
      <c r="AB167" s="461"/>
      <c r="AC167" s="461"/>
      <c r="AD167" s="459"/>
      <c r="AE167" s="459"/>
      <c r="AF167" s="459"/>
      <c r="AG167" s="461"/>
      <c r="AH167" s="459"/>
      <c r="AI167" s="459"/>
      <c r="AJ167" s="459"/>
      <c r="AK167" s="459"/>
      <c r="AL167" s="459"/>
      <c r="AM167" s="459"/>
      <c r="AN167" s="459"/>
      <c r="AO167" s="459"/>
      <c r="AP167" s="450"/>
      <c r="AQ167" s="459"/>
      <c r="AR167" s="459"/>
      <c r="AS167" s="461"/>
      <c r="AT167" s="461"/>
      <c r="AU167" s="461"/>
      <c r="AV167" s="461"/>
      <c r="AW167" s="461"/>
      <c r="AX167" s="459"/>
      <c r="AY167" s="459"/>
      <c r="AZ167" s="459"/>
      <c r="BA167" s="459"/>
      <c r="BB167" s="459"/>
      <c r="BC167" s="459"/>
      <c r="BD167" s="459"/>
      <c r="BE167" s="459"/>
      <c r="BF167" s="459"/>
      <c r="BG167" s="459"/>
      <c r="BH167" s="459"/>
      <c r="BI167" s="459"/>
      <c r="BJ167" s="459"/>
      <c r="BK167" s="459"/>
      <c r="BL167" s="459"/>
    </row>
    <row r="168" spans="1:154" s="284" customFormat="1" ht="8.1" customHeight="1" x14ac:dyDescent="0.25">
      <c r="A168" s="72">
        <v>168</v>
      </c>
      <c r="B168" s="349" t="s">
        <v>243</v>
      </c>
      <c r="C168" s="350" t="s">
        <v>121</v>
      </c>
      <c r="D168" s="286" t="s">
        <v>121</v>
      </c>
      <c r="E168" s="351" t="s">
        <v>121</v>
      </c>
      <c r="F168" s="286" t="s">
        <v>121</v>
      </c>
      <c r="G168" s="286" t="s">
        <v>121</v>
      </c>
      <c r="H168" s="286" t="s">
        <v>121</v>
      </c>
      <c r="I168" s="286" t="s">
        <v>121</v>
      </c>
      <c r="J168" s="286" t="s">
        <v>121</v>
      </c>
      <c r="K168" s="286" t="s">
        <v>121</v>
      </c>
      <c r="L168" s="286" t="s">
        <v>121</v>
      </c>
      <c r="M168" s="286" t="s">
        <v>121</v>
      </c>
      <c r="N168" s="286" t="s">
        <v>121</v>
      </c>
      <c r="O168" s="286" t="s">
        <v>121</v>
      </c>
      <c r="P168" s="286" t="s">
        <v>121</v>
      </c>
      <c r="Q168" s="286" t="s">
        <v>121</v>
      </c>
      <c r="R168" s="286" t="s">
        <v>121</v>
      </c>
      <c r="S168" s="286" t="s">
        <v>121</v>
      </c>
      <c r="T168" s="286" t="s">
        <v>121</v>
      </c>
      <c r="U168" s="286" t="s">
        <v>121</v>
      </c>
      <c r="V168" s="286" t="s">
        <v>121</v>
      </c>
      <c r="W168" s="286" t="s">
        <v>121</v>
      </c>
      <c r="X168" s="286" t="s">
        <v>121</v>
      </c>
      <c r="Y168" s="286" t="s">
        <v>121</v>
      </c>
      <c r="Z168" s="286" t="s">
        <v>121</v>
      </c>
      <c r="AA168" s="286" t="s">
        <v>121</v>
      </c>
      <c r="AB168" s="286" t="s">
        <v>121</v>
      </c>
      <c r="AC168" s="286" t="s">
        <v>121</v>
      </c>
      <c r="AD168" s="286" t="s">
        <v>121</v>
      </c>
      <c r="AE168" s="286" t="s">
        <v>121</v>
      </c>
      <c r="AF168" s="286" t="s">
        <v>121</v>
      </c>
      <c r="AG168" s="286" t="s">
        <v>121</v>
      </c>
      <c r="AH168" s="286" t="s">
        <v>121</v>
      </c>
      <c r="AI168" s="286" t="s">
        <v>121</v>
      </c>
      <c r="AJ168" s="286" t="s">
        <v>121</v>
      </c>
      <c r="AK168" s="286" t="s">
        <v>121</v>
      </c>
      <c r="AL168" s="286" t="s">
        <v>121</v>
      </c>
      <c r="AM168" s="286" t="s">
        <v>121</v>
      </c>
      <c r="AN168" s="286" t="s">
        <v>121</v>
      </c>
      <c r="AO168" s="286" t="s">
        <v>121</v>
      </c>
      <c r="AP168" s="286" t="s">
        <v>121</v>
      </c>
      <c r="AQ168" s="286" t="s">
        <v>121</v>
      </c>
      <c r="AR168" s="286" t="s">
        <v>121</v>
      </c>
      <c r="AS168" s="286" t="s">
        <v>121</v>
      </c>
      <c r="AT168" s="286" t="s">
        <v>121</v>
      </c>
      <c r="AU168" s="286" t="s">
        <v>121</v>
      </c>
      <c r="AV168" s="286" t="s">
        <v>121</v>
      </c>
      <c r="AW168" s="286" t="s">
        <v>121</v>
      </c>
      <c r="AX168" s="286" t="s">
        <v>121</v>
      </c>
      <c r="AY168" s="286" t="s">
        <v>121</v>
      </c>
      <c r="AZ168" s="349" t="s">
        <v>121</v>
      </c>
      <c r="BA168" s="284" t="s">
        <v>121</v>
      </c>
      <c r="BB168" s="284" t="s">
        <v>121</v>
      </c>
      <c r="BC168" s="284" t="s">
        <v>121</v>
      </c>
      <c r="BD168" s="284" t="s">
        <v>121</v>
      </c>
      <c r="BE168" s="284" t="s">
        <v>121</v>
      </c>
      <c r="BF168" s="284" t="s">
        <v>121</v>
      </c>
      <c r="BG168" s="284" t="s">
        <v>121</v>
      </c>
      <c r="BH168" s="284" t="s">
        <v>121</v>
      </c>
      <c r="BI168" s="284" t="s">
        <v>121</v>
      </c>
      <c r="BJ168" s="284" t="s">
        <v>121</v>
      </c>
      <c r="BK168" s="284" t="s">
        <v>121</v>
      </c>
      <c r="BL168" s="284" t="s">
        <v>121</v>
      </c>
      <c r="BM168" s="284" t="s">
        <v>121</v>
      </c>
      <c r="BN168" s="284" t="s">
        <v>121</v>
      </c>
      <c r="BO168" s="284" t="s">
        <v>121</v>
      </c>
      <c r="BP168" s="284" t="s">
        <v>121</v>
      </c>
      <c r="BQ168" s="284" t="s">
        <v>121</v>
      </c>
      <c r="BR168" s="284" t="s">
        <v>121</v>
      </c>
      <c r="BS168" s="284" t="s">
        <v>121</v>
      </c>
      <c r="BT168" s="284" t="s">
        <v>121</v>
      </c>
      <c r="BU168" s="284" t="s">
        <v>121</v>
      </c>
      <c r="BV168" s="284" t="s">
        <v>121</v>
      </c>
      <c r="BW168" s="284" t="s">
        <v>121</v>
      </c>
      <c r="BX168" s="284" t="s">
        <v>121</v>
      </c>
      <c r="BY168" s="284" t="s">
        <v>121</v>
      </c>
      <c r="BZ168" s="284" t="s">
        <v>121</v>
      </c>
      <c r="CA168" s="284" t="s">
        <v>121</v>
      </c>
      <c r="CB168" s="284" t="s">
        <v>121</v>
      </c>
      <c r="CC168" s="284" t="s">
        <v>121</v>
      </c>
      <c r="CD168" s="284" t="s">
        <v>121</v>
      </c>
      <c r="CE168" s="284" t="s">
        <v>121</v>
      </c>
      <c r="CF168" s="284" t="s">
        <v>121</v>
      </c>
      <c r="CG168" s="284" t="s">
        <v>121</v>
      </c>
      <c r="CH168" s="284" t="s">
        <v>121</v>
      </c>
      <c r="CI168" s="284" t="s">
        <v>121</v>
      </c>
      <c r="CJ168" s="284" t="s">
        <v>121</v>
      </c>
      <c r="CK168" s="284" t="s">
        <v>121</v>
      </c>
      <c r="CL168" s="284" t="s">
        <v>121</v>
      </c>
      <c r="CM168" s="284" t="s">
        <v>121</v>
      </c>
      <c r="CN168" s="284" t="s">
        <v>121</v>
      </c>
      <c r="CO168" s="284" t="s">
        <v>121</v>
      </c>
      <c r="CP168" s="284" t="s">
        <v>121</v>
      </c>
      <c r="CQ168" s="284" t="s">
        <v>121</v>
      </c>
      <c r="CR168" s="284" t="s">
        <v>121</v>
      </c>
      <c r="CS168" s="284" t="s">
        <v>121</v>
      </c>
      <c r="CT168" s="284" t="s">
        <v>121</v>
      </c>
      <c r="CU168" s="284" t="s">
        <v>121</v>
      </c>
      <c r="CV168" s="284" t="s">
        <v>121</v>
      </c>
      <c r="CW168" s="284" t="s">
        <v>121</v>
      </c>
      <c r="CX168" s="284" t="s">
        <v>121</v>
      </c>
      <c r="CY168" s="284" t="s">
        <v>121</v>
      </c>
      <c r="CZ168" s="284" t="s">
        <v>121</v>
      </c>
      <c r="DA168" s="284" t="s">
        <v>121</v>
      </c>
      <c r="DB168" s="284" t="s">
        <v>121</v>
      </c>
      <c r="DC168" s="284" t="s">
        <v>121</v>
      </c>
      <c r="DD168" s="284" t="s">
        <v>121</v>
      </c>
      <c r="DE168" s="284" t="s">
        <v>121</v>
      </c>
      <c r="DF168" s="284" t="s">
        <v>121</v>
      </c>
      <c r="DG168" s="284" t="s">
        <v>121</v>
      </c>
      <c r="DH168" s="284" t="s">
        <v>121</v>
      </c>
      <c r="DI168" s="284" t="s">
        <v>121</v>
      </c>
      <c r="DJ168" s="284" t="s">
        <v>121</v>
      </c>
      <c r="DK168" s="284" t="s">
        <v>121</v>
      </c>
      <c r="DL168" s="284" t="s">
        <v>121</v>
      </c>
      <c r="DM168" s="284" t="s">
        <v>121</v>
      </c>
      <c r="DN168" s="284" t="s">
        <v>121</v>
      </c>
      <c r="DO168" s="284" t="s">
        <v>121</v>
      </c>
      <c r="DP168" s="284" t="s">
        <v>121</v>
      </c>
      <c r="DQ168" s="284" t="s">
        <v>121</v>
      </c>
      <c r="DR168" s="284" t="s">
        <v>121</v>
      </c>
      <c r="DS168" s="284" t="s">
        <v>121</v>
      </c>
      <c r="DT168" s="284" t="s">
        <v>121</v>
      </c>
      <c r="DU168" s="284" t="s">
        <v>121</v>
      </c>
      <c r="DV168" s="284" t="s">
        <v>121</v>
      </c>
      <c r="DW168" s="284" t="s">
        <v>121</v>
      </c>
      <c r="DX168" s="284" t="s">
        <v>121</v>
      </c>
      <c r="DY168" s="284" t="s">
        <v>121</v>
      </c>
      <c r="DZ168" s="284" t="s">
        <v>121</v>
      </c>
      <c r="EA168" s="284" t="s">
        <v>121</v>
      </c>
      <c r="EB168" s="284" t="s">
        <v>121</v>
      </c>
      <c r="EC168" s="284" t="s">
        <v>121</v>
      </c>
      <c r="ED168" s="284" t="s">
        <v>121</v>
      </c>
      <c r="EE168" s="284" t="s">
        <v>121</v>
      </c>
      <c r="EF168" s="284" t="s">
        <v>121</v>
      </c>
      <c r="EG168" s="284" t="s">
        <v>121</v>
      </c>
      <c r="EH168" s="284" t="s">
        <v>121</v>
      </c>
      <c r="EI168" s="284" t="s">
        <v>121</v>
      </c>
      <c r="EJ168" s="284" t="s">
        <v>121</v>
      </c>
      <c r="EK168" s="284" t="s">
        <v>121</v>
      </c>
      <c r="EL168" s="284" t="s">
        <v>121</v>
      </c>
      <c r="EM168" s="284" t="s">
        <v>121</v>
      </c>
      <c r="EN168" s="284" t="s">
        <v>121</v>
      </c>
      <c r="EO168" s="284" t="s">
        <v>121</v>
      </c>
      <c r="EP168" s="284" t="s">
        <v>121</v>
      </c>
      <c r="EQ168" s="284" t="s">
        <v>121</v>
      </c>
      <c r="ER168" s="284" t="s">
        <v>121</v>
      </c>
      <c r="ES168" s="284" t="s">
        <v>121</v>
      </c>
      <c r="ET168" s="284" t="s">
        <v>121</v>
      </c>
      <c r="EU168" s="284" t="s">
        <v>121</v>
      </c>
      <c r="EV168" s="284" t="s">
        <v>121</v>
      </c>
      <c r="EW168" s="284" t="s">
        <v>121</v>
      </c>
      <c r="EX168" s="284" t="s">
        <v>121</v>
      </c>
    </row>
    <row r="169" spans="1:154" s="284" customFormat="1" x14ac:dyDescent="0.25">
      <c r="A169" s="72">
        <v>169</v>
      </c>
      <c r="B169" s="344" t="s">
        <v>246</v>
      </c>
      <c r="C169" s="345">
        <f ca="1">OFFSET($E$7,$A169-$A$7,1,1,1)-OFFSET($E$7,$A169-$A$7,2,1,1)</f>
        <v>-6.1404677761690007E-3</v>
      </c>
      <c r="D169" s="275"/>
      <c r="E169" s="270">
        <f ca="1">OFFSET($E$7,$A169-$A$7,1,1,1)-OFFSET($E$7,$A169-$A$7,5,1,1)</f>
        <v>-2.5737910822849069E-3</v>
      </c>
      <c r="F169" s="243">
        <v>6.6189718597819719E-2</v>
      </c>
      <c r="G169" s="243">
        <v>7.233018637398872E-2</v>
      </c>
      <c r="H169" s="243">
        <v>7.631658359504738E-2</v>
      </c>
      <c r="I169" s="243">
        <v>7.36003517684133E-2</v>
      </c>
      <c r="J169" s="243">
        <v>6.8763509680104626E-2</v>
      </c>
      <c r="K169" s="243">
        <v>6.8949364108668171E-2</v>
      </c>
      <c r="L169" s="243">
        <v>6.9295130393284735E-2</v>
      </c>
      <c r="M169" s="243">
        <v>6.7252628980628087E-2</v>
      </c>
      <c r="N169" s="243">
        <v>5.7633088404655607E-2</v>
      </c>
      <c r="O169" s="243">
        <v>5.4576437730675609E-2</v>
      </c>
      <c r="P169" s="243">
        <v>5.6125913319225174E-2</v>
      </c>
      <c r="Q169" s="405"/>
      <c r="R169" s="405"/>
      <c r="S169" s="405"/>
      <c r="T169" s="405"/>
      <c r="U169" s="243">
        <v>4.2157110454927794E-2</v>
      </c>
      <c r="V169" s="243">
        <v>3.8828469854305353E-2</v>
      </c>
      <c r="W169" s="243">
        <v>3.8056415117052295E-2</v>
      </c>
      <c r="X169" s="243">
        <v>3.8534518789598189E-2</v>
      </c>
      <c r="Y169" s="243">
        <v>4.2200000000000001E-2</v>
      </c>
      <c r="Z169" s="243">
        <v>3.7400000000000003E-2</v>
      </c>
      <c r="AA169" s="243">
        <v>3.9899999999999998E-2</v>
      </c>
      <c r="AB169" s="243">
        <v>4.0538711410975439E-2</v>
      </c>
      <c r="AC169" s="243">
        <v>4.1531165572022521E-2</v>
      </c>
      <c r="AD169" s="243">
        <v>3.9487000000000001E-2</v>
      </c>
      <c r="AE169" s="243">
        <v>3.543571024231814E-2</v>
      </c>
      <c r="AF169" s="243">
        <v>3.8176583175730756E-2</v>
      </c>
      <c r="AG169" s="243">
        <v>4.0537372341958276E-2</v>
      </c>
      <c r="AH169" s="243">
        <v>3.8354448530376874E-2</v>
      </c>
      <c r="AI169" s="243">
        <v>3.6900000000000002E-2</v>
      </c>
      <c r="AJ169" s="243">
        <v>3.5799999999999998E-2</v>
      </c>
      <c r="AK169" s="243">
        <v>4.1099999999999998E-2</v>
      </c>
      <c r="AL169" s="243">
        <v>3.8300000000000001E-2</v>
      </c>
      <c r="AM169" s="243">
        <v>3.3599999999999998E-2</v>
      </c>
      <c r="AN169" s="243">
        <v>3.3399999999999999E-2</v>
      </c>
      <c r="AO169" s="243">
        <v>4.3200000000000002E-2</v>
      </c>
      <c r="AP169" s="243">
        <v>4.1700000000000001E-2</v>
      </c>
      <c r="AQ169" s="243">
        <v>3.8800000000000001E-2</v>
      </c>
      <c r="AR169" s="243">
        <v>3.6600000000000001E-2</v>
      </c>
      <c r="AS169" s="243">
        <v>3.9E-2</v>
      </c>
      <c r="AT169" s="243">
        <v>3.2300000000000002E-2</v>
      </c>
      <c r="AU169" s="243">
        <v>3.3399999999999999E-2</v>
      </c>
      <c r="AV169" s="243">
        <v>3.4599999999999999E-2</v>
      </c>
      <c r="AW169" s="243">
        <v>4.9099999999999998E-2</v>
      </c>
      <c r="AX169" s="243">
        <v>4.2500000000000003E-2</v>
      </c>
      <c r="AY169" s="243">
        <v>4.2599999999999999E-2</v>
      </c>
      <c r="AZ169" s="243">
        <v>4.1000000000000002E-2</v>
      </c>
      <c r="BA169" s="243">
        <v>0.04</v>
      </c>
      <c r="BB169" s="243">
        <v>3.7199999999999997E-2</v>
      </c>
      <c r="BC169" s="243">
        <v>3.6299999999999999E-2</v>
      </c>
      <c r="BD169" s="243">
        <v>3.5900000000000001E-2</v>
      </c>
      <c r="BE169" s="243">
        <v>0.04</v>
      </c>
      <c r="BF169" s="243">
        <v>3.7499999999999999E-2</v>
      </c>
      <c r="BG169" s="243">
        <v>3.8199999999999998E-2</v>
      </c>
      <c r="BH169" s="243">
        <v>3.7499999999999999E-2</v>
      </c>
      <c r="BI169" s="243">
        <v>4.3799999999999999E-2</v>
      </c>
      <c r="BJ169" s="243">
        <v>4.9799999999999997E-2</v>
      </c>
      <c r="BK169" s="243">
        <v>5.21E-2</v>
      </c>
      <c r="BL169" s="243">
        <v>0.05</v>
      </c>
      <c r="BM169" s="284">
        <v>4.6699999999999998E-2</v>
      </c>
      <c r="BN169" s="284">
        <v>5.0900000000000001E-2</v>
      </c>
      <c r="BO169" s="284">
        <v>5.3800000000000001E-2</v>
      </c>
      <c r="BP169" s="284">
        <v>5.57E-2</v>
      </c>
      <c r="BQ169" s="284" t="s">
        <v>121</v>
      </c>
      <c r="BR169" s="284" t="s">
        <v>121</v>
      </c>
      <c r="BS169" s="284" t="s">
        <v>121</v>
      </c>
      <c r="BT169" s="284" t="s">
        <v>121</v>
      </c>
      <c r="BU169" s="284" t="s">
        <v>121</v>
      </c>
      <c r="BV169" s="284" t="s">
        <v>121</v>
      </c>
      <c r="BW169" s="284" t="s">
        <v>121</v>
      </c>
      <c r="BX169" s="284" t="s">
        <v>121</v>
      </c>
      <c r="BY169" s="284" t="s">
        <v>121</v>
      </c>
      <c r="BZ169" s="284" t="s">
        <v>121</v>
      </c>
      <c r="CA169" s="284" t="s">
        <v>121</v>
      </c>
      <c r="CB169" s="284" t="s">
        <v>121</v>
      </c>
      <c r="CC169" s="284" t="s">
        <v>121</v>
      </c>
      <c r="CD169" s="284" t="s">
        <v>121</v>
      </c>
      <c r="CE169" s="284" t="s">
        <v>121</v>
      </c>
      <c r="CF169" s="284" t="s">
        <v>121</v>
      </c>
      <c r="CG169" s="284" t="s">
        <v>121</v>
      </c>
      <c r="CH169" s="284" t="s">
        <v>121</v>
      </c>
      <c r="CI169" s="284" t="s">
        <v>121</v>
      </c>
      <c r="CJ169" s="284" t="s">
        <v>121</v>
      </c>
      <c r="CK169" s="284" t="s">
        <v>121</v>
      </c>
      <c r="CL169" s="284" t="s">
        <v>121</v>
      </c>
      <c r="CM169" s="284" t="s">
        <v>121</v>
      </c>
      <c r="CN169" s="284" t="s">
        <v>121</v>
      </c>
      <c r="CO169" s="284" t="s">
        <v>121</v>
      </c>
      <c r="CP169" s="284" t="s">
        <v>121</v>
      </c>
      <c r="CQ169" s="284" t="s">
        <v>121</v>
      </c>
      <c r="CR169" s="284" t="s">
        <v>121</v>
      </c>
      <c r="CS169" s="284" t="s">
        <v>121</v>
      </c>
      <c r="CT169" s="284" t="s">
        <v>121</v>
      </c>
      <c r="CU169" s="284" t="s">
        <v>121</v>
      </c>
      <c r="CV169" s="284" t="s">
        <v>121</v>
      </c>
      <c r="CW169" s="284" t="s">
        <v>121</v>
      </c>
      <c r="CX169" s="284" t="s">
        <v>121</v>
      </c>
      <c r="CY169" s="284" t="s">
        <v>121</v>
      </c>
      <c r="CZ169" s="284" t="s">
        <v>121</v>
      </c>
      <c r="DA169" s="284" t="s">
        <v>121</v>
      </c>
      <c r="DB169" s="284" t="s">
        <v>121</v>
      </c>
      <c r="DC169" s="284" t="s">
        <v>121</v>
      </c>
      <c r="DD169" s="284" t="s">
        <v>121</v>
      </c>
      <c r="DE169" s="284" t="s">
        <v>121</v>
      </c>
      <c r="DF169" s="284" t="s">
        <v>121</v>
      </c>
      <c r="DG169" s="284" t="s">
        <v>121</v>
      </c>
      <c r="DH169" s="284" t="s">
        <v>121</v>
      </c>
      <c r="DI169" s="284" t="s">
        <v>121</v>
      </c>
      <c r="DJ169" s="284" t="s">
        <v>121</v>
      </c>
      <c r="DK169" s="284" t="s">
        <v>121</v>
      </c>
      <c r="DL169" s="284" t="s">
        <v>121</v>
      </c>
      <c r="DM169" s="284" t="s">
        <v>121</v>
      </c>
      <c r="DN169" s="284" t="s">
        <v>121</v>
      </c>
      <c r="DO169" s="284" t="s">
        <v>121</v>
      </c>
      <c r="DP169" s="284" t="s">
        <v>121</v>
      </c>
      <c r="DQ169" s="284" t="s">
        <v>121</v>
      </c>
      <c r="DR169" s="284" t="s">
        <v>121</v>
      </c>
      <c r="DS169" s="284" t="s">
        <v>121</v>
      </c>
      <c r="DT169" s="284" t="s">
        <v>121</v>
      </c>
      <c r="DU169" s="284" t="s">
        <v>121</v>
      </c>
      <c r="DV169" s="284" t="s">
        <v>121</v>
      </c>
      <c r="DW169" s="284" t="s">
        <v>121</v>
      </c>
      <c r="DX169" s="284" t="s">
        <v>121</v>
      </c>
      <c r="DY169" s="284" t="s">
        <v>121</v>
      </c>
      <c r="DZ169" s="284" t="s">
        <v>121</v>
      </c>
      <c r="EA169" s="284" t="s">
        <v>121</v>
      </c>
      <c r="EB169" s="284" t="s">
        <v>121</v>
      </c>
      <c r="EC169" s="284" t="s">
        <v>121</v>
      </c>
      <c r="ED169" s="284" t="s">
        <v>121</v>
      </c>
      <c r="EE169" s="284" t="s">
        <v>121</v>
      </c>
      <c r="EF169" s="284" t="s">
        <v>121</v>
      </c>
      <c r="EG169" s="284" t="s">
        <v>121</v>
      </c>
      <c r="EH169" s="284" t="s">
        <v>121</v>
      </c>
      <c r="EI169" s="284" t="s">
        <v>121</v>
      </c>
      <c r="EJ169" s="284" t="s">
        <v>121</v>
      </c>
      <c r="EK169" s="284" t="s">
        <v>121</v>
      </c>
      <c r="EL169" s="284" t="s">
        <v>121</v>
      </c>
      <c r="EM169" s="284" t="s">
        <v>121</v>
      </c>
      <c r="EN169" s="284" t="s">
        <v>121</v>
      </c>
      <c r="EO169" s="284" t="s">
        <v>121</v>
      </c>
      <c r="EP169" s="284" t="s">
        <v>121</v>
      </c>
      <c r="EQ169" s="284" t="s">
        <v>121</v>
      </c>
      <c r="ER169" s="284" t="s">
        <v>121</v>
      </c>
      <c r="ES169" s="284" t="s">
        <v>121</v>
      </c>
      <c r="ET169" s="284" t="s">
        <v>121</v>
      </c>
      <c r="EU169" s="284" t="s">
        <v>121</v>
      </c>
      <c r="EV169" s="284" t="s">
        <v>121</v>
      </c>
      <c r="EW169" s="284" t="s">
        <v>121</v>
      </c>
      <c r="EX169" s="284" t="s">
        <v>121</v>
      </c>
    </row>
    <row r="170" spans="1:154" x14ac:dyDescent="0.25">
      <c r="A170" s="72">
        <v>170</v>
      </c>
      <c r="B170" s="12" t="s">
        <v>247</v>
      </c>
      <c r="C170" s="91">
        <f ca="1">OFFSET($E$7,$A170-$A$7,1,1,1)-OFFSET($E$7,$A170-$A$7,2,1,1)</f>
        <v>3.7815087211298004E-2</v>
      </c>
      <c r="D170" s="86"/>
      <c r="E170" s="92">
        <f ca="1">OFFSET($E$7,$A170-$A$7,1,1,1)-OFFSET($E$7,$A170-$A$7,5,1,1)</f>
        <v>2.0507606475318962E-2</v>
      </c>
      <c r="F170" s="243">
        <f t="shared" ref="F170:P170" si="18">-F150/(F149)</f>
        <v>0.2977851376526599</v>
      </c>
      <c r="G170" s="137">
        <f t="shared" si="18"/>
        <v>0.2599700504413619</v>
      </c>
      <c r="H170" s="137">
        <f t="shared" si="18"/>
        <v>0.22512408414086504</v>
      </c>
      <c r="I170" s="137">
        <f t="shared" si="18"/>
        <v>0.3036438796601087</v>
      </c>
      <c r="J170" s="137">
        <f t="shared" si="18"/>
        <v>0.27727753117734094</v>
      </c>
      <c r="K170" s="137">
        <f t="shared" si="18"/>
        <v>0.24559827524254402</v>
      </c>
      <c r="L170" s="137">
        <f t="shared" si="18"/>
        <v>0.26776911356099309</v>
      </c>
      <c r="M170" s="137">
        <f t="shared" si="18"/>
        <v>0.25933670492122157</v>
      </c>
      <c r="N170" s="137">
        <f t="shared" si="18"/>
        <v>0.36307745345897496</v>
      </c>
      <c r="O170" s="137">
        <f t="shared" si="18"/>
        <v>0.37610731460389774</v>
      </c>
      <c r="P170" s="137">
        <f t="shared" si="18"/>
        <v>0.2891323147881234</v>
      </c>
      <c r="Q170" s="405"/>
      <c r="R170" s="405"/>
      <c r="S170" s="405"/>
      <c r="T170" s="405"/>
      <c r="U170" s="137">
        <v>0.38528075062307582</v>
      </c>
      <c r="V170" s="137">
        <v>0.34669876840448188</v>
      </c>
      <c r="W170" s="137">
        <v>0.33147189441341018</v>
      </c>
      <c r="X170" s="137">
        <v>0.45567702132265397</v>
      </c>
      <c r="Y170" s="137">
        <v>0.38191201130085589</v>
      </c>
      <c r="Z170" s="137">
        <v>0.3644491048788393</v>
      </c>
      <c r="AA170" s="137">
        <v>0.40801877430422551</v>
      </c>
      <c r="AB170" s="137">
        <v>0.50242630291773838</v>
      </c>
      <c r="AC170" s="137">
        <v>0.42854196076842493</v>
      </c>
      <c r="AD170" s="137">
        <v>0.43843212638481155</v>
      </c>
      <c r="AE170" s="137">
        <v>0.42607096190773136</v>
      </c>
      <c r="AF170" s="137">
        <v>0.47975213092272506</v>
      </c>
      <c r="AG170" s="137">
        <v>0.33968377320887327</v>
      </c>
      <c r="AH170" s="137">
        <v>0.40287542605678806</v>
      </c>
      <c r="AI170" s="137">
        <v>0.45007493464748694</v>
      </c>
      <c r="AJ170" s="137">
        <v>0.35573001064369641</v>
      </c>
      <c r="AK170" s="137">
        <v>0.33730251805928896</v>
      </c>
      <c r="AL170" s="137">
        <v>0.3627639927244849</v>
      </c>
      <c r="AM170" s="137">
        <v>0.33540031261724212</v>
      </c>
      <c r="AN170" s="137">
        <v>0.33628684491850119</v>
      </c>
      <c r="AO170" s="137">
        <v>0.3997061360227282</v>
      </c>
      <c r="AP170" s="137">
        <v>0.33243536709089699</v>
      </c>
      <c r="AQ170" s="137">
        <v>0.33866444257066397</v>
      </c>
      <c r="AR170" s="137">
        <v>0.33127891882239008</v>
      </c>
      <c r="AS170" s="137">
        <v>0.35439475518419566</v>
      </c>
      <c r="AT170" s="137">
        <v>0.29038475263882785</v>
      </c>
      <c r="AU170" s="137">
        <v>0.33844746721171137</v>
      </c>
      <c r="AV170" s="137">
        <v>0.33923469686622493</v>
      </c>
      <c r="AW170" s="137">
        <v>0.35322029991788978</v>
      </c>
      <c r="AX170" s="137">
        <v>0.3579936649141538</v>
      </c>
      <c r="AY170" s="137">
        <v>0.38598440905928438</v>
      </c>
      <c r="AZ170" s="137">
        <v>0.32231972300077322</v>
      </c>
      <c r="BA170" s="137">
        <v>0.35473704947725493</v>
      </c>
      <c r="BB170" s="137">
        <v>0.3539466022887075</v>
      </c>
      <c r="BC170" s="137">
        <v>0.35536234435920006</v>
      </c>
      <c r="BD170" s="137">
        <v>0.32019711875917323</v>
      </c>
      <c r="BE170" s="137">
        <v>0.43030841815838078</v>
      </c>
      <c r="BF170" s="137">
        <v>0.35753011060368783</v>
      </c>
      <c r="BG170" s="137">
        <v>0.38926137511163172</v>
      </c>
      <c r="BH170" s="137">
        <v>0.35965576023606888</v>
      </c>
      <c r="BI170" s="137">
        <v>0.39698984570567625</v>
      </c>
      <c r="BJ170" s="137">
        <v>0.3463837797686885</v>
      </c>
      <c r="BK170" s="137">
        <v>0.30639410147161034</v>
      </c>
      <c r="BL170" s="137">
        <v>0.22286186831335897</v>
      </c>
      <c r="BM170" s="1">
        <v>0.30076223891841347</v>
      </c>
      <c r="BN170" s="1">
        <v>0.3149918434295782</v>
      </c>
      <c r="BO170" s="1">
        <v>0.2372240204979052</v>
      </c>
      <c r="BP170" s="1">
        <v>0.1594778732558762</v>
      </c>
      <c r="BQ170" s="1" t="s">
        <v>121</v>
      </c>
      <c r="BR170" s="1" t="s">
        <v>121</v>
      </c>
      <c r="BS170" s="1" t="s">
        <v>121</v>
      </c>
      <c r="BT170" s="1" t="s">
        <v>121</v>
      </c>
      <c r="BU170" s="1" t="s">
        <v>121</v>
      </c>
      <c r="BV170" s="1" t="s">
        <v>121</v>
      </c>
      <c r="BW170" s="1" t="s">
        <v>121</v>
      </c>
      <c r="BX170" s="1" t="s">
        <v>121</v>
      </c>
      <c r="BY170" s="1" t="s">
        <v>121</v>
      </c>
      <c r="BZ170" s="1" t="s">
        <v>121</v>
      </c>
      <c r="CA170" s="1" t="s">
        <v>121</v>
      </c>
      <c r="CB170" s="1" t="s">
        <v>121</v>
      </c>
      <c r="CC170" s="1" t="s">
        <v>121</v>
      </c>
      <c r="CD170" s="1" t="s">
        <v>121</v>
      </c>
      <c r="CE170" s="1" t="s">
        <v>121</v>
      </c>
      <c r="CF170" s="1" t="s">
        <v>121</v>
      </c>
      <c r="CG170" s="1" t="s">
        <v>121</v>
      </c>
      <c r="CH170" s="1" t="s">
        <v>121</v>
      </c>
      <c r="CI170" s="1" t="s">
        <v>121</v>
      </c>
      <c r="CJ170" s="1" t="s">
        <v>121</v>
      </c>
      <c r="CK170" s="1" t="s">
        <v>121</v>
      </c>
      <c r="CL170" s="1" t="s">
        <v>121</v>
      </c>
      <c r="CM170" s="1" t="s">
        <v>121</v>
      </c>
      <c r="CN170" s="1" t="s">
        <v>121</v>
      </c>
      <c r="CO170" s="1" t="s">
        <v>121</v>
      </c>
      <c r="CP170" s="1" t="s">
        <v>121</v>
      </c>
      <c r="CQ170" s="1" t="s">
        <v>121</v>
      </c>
      <c r="CR170" s="1" t="s">
        <v>121</v>
      </c>
      <c r="CS170" s="1" t="s">
        <v>121</v>
      </c>
      <c r="CT170" s="1" t="s">
        <v>121</v>
      </c>
      <c r="CU170" s="1" t="s">
        <v>121</v>
      </c>
      <c r="CV170" s="1" t="s">
        <v>121</v>
      </c>
      <c r="CW170" s="1" t="s">
        <v>121</v>
      </c>
      <c r="CX170" s="1" t="s">
        <v>121</v>
      </c>
      <c r="CY170" s="1" t="s">
        <v>121</v>
      </c>
      <c r="CZ170" s="1" t="s">
        <v>121</v>
      </c>
      <c r="DA170" s="1" t="s">
        <v>121</v>
      </c>
      <c r="DB170" s="1" t="s">
        <v>121</v>
      </c>
      <c r="DC170" s="1" t="s">
        <v>121</v>
      </c>
      <c r="DD170" s="1" t="s">
        <v>121</v>
      </c>
      <c r="DE170" s="1" t="s">
        <v>121</v>
      </c>
      <c r="DF170" s="1" t="s">
        <v>121</v>
      </c>
      <c r="DG170" s="1" t="s">
        <v>121</v>
      </c>
      <c r="DH170" s="1" t="s">
        <v>121</v>
      </c>
      <c r="DI170" s="1" t="s">
        <v>121</v>
      </c>
      <c r="DJ170" s="1" t="s">
        <v>121</v>
      </c>
      <c r="DK170" s="1" t="s">
        <v>121</v>
      </c>
      <c r="DL170" s="1" t="s">
        <v>121</v>
      </c>
      <c r="DM170" s="1" t="s">
        <v>121</v>
      </c>
      <c r="DN170" s="1" t="s">
        <v>121</v>
      </c>
      <c r="DO170" s="1" t="s">
        <v>121</v>
      </c>
      <c r="DP170" s="1" t="s">
        <v>121</v>
      </c>
      <c r="DQ170" s="1" t="s">
        <v>121</v>
      </c>
      <c r="DR170" s="1" t="s">
        <v>121</v>
      </c>
      <c r="DS170" s="1" t="s">
        <v>121</v>
      </c>
      <c r="DT170" s="1" t="s">
        <v>121</v>
      </c>
      <c r="DU170" s="1" t="s">
        <v>121</v>
      </c>
      <c r="DV170" s="1" t="s">
        <v>121</v>
      </c>
      <c r="DW170" s="1" t="s">
        <v>121</v>
      </c>
      <c r="DX170" s="1" t="s">
        <v>121</v>
      </c>
      <c r="DY170" s="1" t="s">
        <v>121</v>
      </c>
      <c r="DZ170" s="1" t="s">
        <v>121</v>
      </c>
      <c r="EA170" s="1" t="s">
        <v>121</v>
      </c>
      <c r="EB170" s="1" t="s">
        <v>121</v>
      </c>
      <c r="EC170" s="1" t="s">
        <v>121</v>
      </c>
      <c r="ED170" s="1" t="s">
        <v>121</v>
      </c>
      <c r="EE170" s="1" t="s">
        <v>121</v>
      </c>
      <c r="EF170" s="1" t="s">
        <v>121</v>
      </c>
      <c r="EG170" s="1" t="s">
        <v>121</v>
      </c>
      <c r="EH170" s="1" t="s">
        <v>121</v>
      </c>
      <c r="EI170" s="1" t="s">
        <v>121</v>
      </c>
      <c r="EJ170" s="1" t="s">
        <v>121</v>
      </c>
      <c r="EK170" s="1" t="s">
        <v>121</v>
      </c>
      <c r="EL170" s="1" t="s">
        <v>121</v>
      </c>
      <c r="EM170" s="1" t="s">
        <v>121</v>
      </c>
      <c r="EN170" s="1" t="s">
        <v>121</v>
      </c>
      <c r="EO170" s="1" t="s">
        <v>121</v>
      </c>
      <c r="EP170" s="1" t="s">
        <v>121</v>
      </c>
      <c r="EQ170" s="1" t="s">
        <v>121</v>
      </c>
      <c r="ER170" s="1" t="s">
        <v>121</v>
      </c>
      <c r="ES170" s="1" t="s">
        <v>121</v>
      </c>
      <c r="ET170" s="1" t="s">
        <v>121</v>
      </c>
      <c r="EU170" s="1" t="s">
        <v>121</v>
      </c>
      <c r="EV170" s="1" t="s">
        <v>121</v>
      </c>
      <c r="EW170" s="1" t="s">
        <v>121</v>
      </c>
      <c r="EX170" s="1" t="s">
        <v>121</v>
      </c>
    </row>
    <row r="171" spans="1:154" x14ac:dyDescent="0.25">
      <c r="A171" s="72">
        <v>171</v>
      </c>
      <c r="B171" s="12" t="s">
        <v>443</v>
      </c>
      <c r="C171" s="91">
        <f ca="1">OFFSET($E$7,$A171-$A$7,1,1,1)-OFFSET($E$7,$A171-$A$7,2,1,1)</f>
        <v>-3.8697080213593374E-3</v>
      </c>
      <c r="D171" s="86"/>
      <c r="E171" s="92">
        <f ca="1">OFFSET($E$7,$A171-$A$7,1,1,1)-OFFSET($E$7,$A171-$A$7,5,1,1)</f>
        <v>-2.3269991093677066E-2</v>
      </c>
      <c r="F171" s="243">
        <f>F153/(('Assets and Liabili-s structure'!F29+'Assets and Liabili-s structure'!G29)/2)/((IF(LEFT(F166,2)="1Q",DATE(RIGHT(F166,4),3,31)-DATE(RIGHT(F166,4)-1,12,31),IF(LEFT(F166,2)="2Q",DATE(RIGHT(F166,4),6,30)-DATE(RIGHT(F166,4),3,31),IF(LEFT(F166,2)="3Q",DATE(RIGHT(F166,4),9,30)-DATE(RIGHT(F166,4),6,30),DATE(RIGHT(F166,4),12,31)-DATE(RIGHT(F166,4),9,30)))))/(DATE(RIGHT(F166,4),12,31)-DATE(RIGHT(F166,4)-1,12,31)))</f>
        <v>2.6681962291258469E-2</v>
      </c>
      <c r="G171" s="137">
        <f>G153/(('Assets and Liabili-s structure'!G29+'Assets and Liabili-s structure'!H29)/2)/((IF(LEFT(G166,2)="1Q",DATE(RIGHT(G166,4),3,31)-DATE(RIGHT(G166,4)-1,12,31),IF(LEFT(G166,2)="2Q",DATE(RIGHT(G166,4),6,30)-DATE(RIGHT(G166,4),3,31),IF(LEFT(G166,2)="3Q",DATE(RIGHT(G166,4),9,30)-DATE(RIGHT(G166,4),6,30),DATE(RIGHT(G166,4),12,31)-DATE(RIGHT(G166,4),9,30)))))/(DATE(RIGHT(G166,4),12,31)-DATE(RIGHT(G166,4)-1,12,31)))</f>
        <v>3.0551670312617806E-2</v>
      </c>
      <c r="H171" s="137">
        <f>H153/(('Assets and Liabili-s structure'!H29+'Assets and Liabili-s structure'!I29)/2)/((IF(LEFT(H166,2)="1Q",DATE(RIGHT(H166,4),3,31)-DATE(RIGHT(H166,4)-1,12,31),IF(LEFT(H166,2)="2Q",DATE(RIGHT(H166,4),6,30)-DATE(RIGHT(H166,4),3,31),IF(LEFT(H166,2)="3Q",DATE(RIGHT(H166,4),9,30)-DATE(RIGHT(H166,4),6,30),DATE(RIGHT(H166,4),12,31)-DATE(RIGHT(H166,4),9,30)))))/(DATE(RIGHT(H166,4),12,31)-DATE(RIGHT(H166,4)-1,12,31)))</f>
        <v>5.5219213952525367E-2</v>
      </c>
      <c r="I171" s="137">
        <f>I153/(('Assets and Liabili-s structure'!I29+'Assets and Liabili-s structure'!J29)/2)/((IF(LEFT(I166,2)="1Q",DATE(RIGHT(I166,4),3,31)-DATE(RIGHT(I166,4)-1,12,31),IF(LEFT(I166,2)="2Q",DATE(RIGHT(I166,4),6,30)-DATE(RIGHT(I166,4),3,31),IF(LEFT(I166,2)="3Q",DATE(RIGHT(I166,4),9,30)-DATE(RIGHT(I166,4),6,30),DATE(RIGHT(I166,4),12,31)-DATE(RIGHT(I166,4),9,30)))))/(DATE(RIGHT(I166,4),12,31)-DATE(RIGHT(I166,4)-1,12,31)))</f>
        <v>4.83161368181972E-2</v>
      </c>
      <c r="J171" s="137">
        <f>J153/(('Assets and Liabili-s structure'!J29+'Assets and Liabili-s structure'!K29)/2)/((IF(LEFT(J166,2)="1Q",DATE(RIGHT(J166,4),3,31)-DATE(RIGHT(J166,4)-1,12,31),IF(LEFT(J166,2)="2Q",DATE(RIGHT(J166,4),6,30)-DATE(RIGHT(J166,4),3,31),IF(LEFT(J166,2)="3Q",DATE(RIGHT(J166,4),9,30)-DATE(RIGHT(J166,4),6,30),DATE(RIGHT(J166,4),12,31)-DATE(RIGHT(J166,4),9,30)))))/(DATE(RIGHT(J166,4),12,31)-DATE(RIGHT(J166,4)-1,12,31)))</f>
        <v>4.9951953384935535E-2</v>
      </c>
      <c r="K171" s="137">
        <f>K153/(('Assets and Liabili-s structure'!K29+'Assets and Liabili-s structure'!L29)/2)/((IF(LEFT(K166,2)="1Q",DATE(RIGHT(K166,4),3,31)-DATE(RIGHT(K166,4)-1,12,31),IF(LEFT(K166,2)="2Q",DATE(RIGHT(K166,4),6,30)-DATE(RIGHT(K166,4),3,31),IF(LEFT(K166,2)="3Q",DATE(RIGHT(K166,4),9,30)-DATE(RIGHT(K166,4),6,30),DATE(RIGHT(K166,4),12,31)-DATE(RIGHT(K166,4),9,30)))))/(DATE(RIGHT(K166,4),12,31)-DATE(RIGHT(K166,4)-1,12,31)))</f>
        <v>4.3496820752719205E-2</v>
      </c>
      <c r="L171" s="137">
        <f>L153/(('Assets and Liabili-s structure'!L29+'Assets and Liabili-s structure'!M29)/2)/((IF(LEFT(L166,2)="1Q",DATE(RIGHT(L166,4),3,31)-DATE(RIGHT(L166,4)-1,12,31),IF(LEFT(L166,2)="2Q",DATE(RIGHT(L166,4),6,30)-DATE(RIGHT(L166,4),3,31),IF(LEFT(L166,2)="3Q",DATE(RIGHT(L166,4),9,30)-DATE(RIGHT(L166,4),6,30),DATE(RIGHT(L166,4),12,31)-DATE(RIGHT(L166,4),9,30)))))/(DATE(RIGHT(L166,4),12,31)-DATE(RIGHT(L166,4)-1,12,31)))</f>
        <v>5.0599473238047421E-2</v>
      </c>
      <c r="M171" s="137">
        <f>M153/(('Assets and Liabili-s structure'!M29+'Assets and Liabili-s structure'!N29)/2)/((IF(LEFT(M166,2)="1Q",DATE(RIGHT(M166,4),3,31)-DATE(RIGHT(M166,4)-1,12,31),IF(LEFT(M166,2)="2Q",DATE(RIGHT(M166,4),6,30)-DATE(RIGHT(M166,4),3,31),IF(LEFT(M166,2)="3Q",DATE(RIGHT(M166,4),9,30)-DATE(RIGHT(M166,4),6,30),DATE(RIGHT(M166,4),12,31)-DATE(RIGHT(M166,4),9,30)))))/(DATE(RIGHT(M166,4),12,31)-DATE(RIGHT(M166,4)-1,12,31)))</f>
        <v>4.0923319437636323E-2</v>
      </c>
      <c r="N171" s="137">
        <f>N153/(('Assets and Liabili-s structure'!N29+'Assets and Liabili-s structure'!O29)/2)/((IF(LEFT(N166,2)="1Q",DATE(RIGHT(N166,4),3,31)-DATE(RIGHT(N166,4)-1,12,31),IF(LEFT(N166,2)="2Q",DATE(RIGHT(N166,4),6,30)-DATE(RIGHT(N166,4),3,31),IF(LEFT(N166,2)="3Q",DATE(RIGHT(N166,4),9,30)-DATE(RIGHT(N166,4),6,30),DATE(RIGHT(N166,4),12,31)-DATE(RIGHT(N166,4),9,30)))))/(DATE(RIGHT(N166,4),12,31)-DATE(RIGHT(N166,4)-1,12,31)))</f>
        <v>3.7019191886432934E-2</v>
      </c>
      <c r="O171" s="137">
        <f>O153/(('Assets and Liabili-s structure'!O29+'Assets and Liabili-s structure'!P29)/2)/((IF(LEFT(O166,2)="1Q",DATE(RIGHT(O166,4),3,31)-DATE(RIGHT(O166,4)-1,12,31),IF(LEFT(O166,2)="2Q",DATE(RIGHT(O166,4),6,30)-DATE(RIGHT(O166,4),3,31),IF(LEFT(O166,2)="3Q",DATE(RIGHT(O166,4),9,30)-DATE(RIGHT(O166,4),6,30),DATE(RIGHT(O166,4),12,31)-DATE(RIGHT(O166,4),9,30)))))/(DATE(RIGHT(O166,4),12,31)-DATE(RIGHT(O166,4)-1,12,31)))</f>
        <v>6.4886084434271143E-2</v>
      </c>
      <c r="P171" s="137">
        <f>P153/(('Assets and Liabili-s structure'!P29+'Assets and Liabili-s structure'!Q29)/2)/((IF(LEFT(P166,2)="1Q",DATE(RIGHT(P166,4),3,31)-DATE(RIGHT(P166,4)-1,12,31),IF(LEFT(P166,2)="2Q",DATE(RIGHT(P166,4),6,30)-DATE(RIGHT(P166,4),3,31),IF(LEFT(P166,2)="3Q",DATE(RIGHT(P166,4),9,30)-DATE(RIGHT(P166,4),6,30),DATE(RIGHT(P166,4),12,31)-DATE(RIGHT(P166,4),9,30)))))/(DATE(RIGHT(P166,4),12,31)-DATE(RIGHT(P166,4)-1,12,31)))</f>
        <v>7.0759323576896849E-2</v>
      </c>
      <c r="Q171" s="405"/>
      <c r="R171" s="405"/>
      <c r="S171" s="405"/>
      <c r="T171" s="405"/>
      <c r="U171" s="137">
        <v>3.3800651712918919E-2</v>
      </c>
      <c r="V171" s="137">
        <v>2.1758718778984172E-2</v>
      </c>
      <c r="W171" s="137">
        <v>2.6631299631305227E-2</v>
      </c>
      <c r="X171" s="137">
        <v>1.3283230873773111E-2</v>
      </c>
      <c r="Y171" s="137">
        <v>2.4557626052228776E-2</v>
      </c>
      <c r="Z171" s="137">
        <v>1.5718599285745403E-2</v>
      </c>
      <c r="AA171" s="137">
        <v>1.2108600176601949E-2</v>
      </c>
      <c r="AB171" s="137">
        <v>9.4753657391389978E-3</v>
      </c>
      <c r="AC171" s="137">
        <v>1.4345464513510778E-2</v>
      </c>
      <c r="AD171" s="137">
        <v>1.2265642331814357E-2</v>
      </c>
      <c r="AE171" s="137">
        <v>1.3427388344864561E-2</v>
      </c>
      <c r="AF171" s="137">
        <v>7.8502075087644538E-3</v>
      </c>
      <c r="AG171" s="137">
        <v>1.588234936080158E-2</v>
      </c>
      <c r="AH171" s="137">
        <v>1.3594818729466697E-2</v>
      </c>
      <c r="AI171" s="137">
        <v>1.693096435553405E-2</v>
      </c>
      <c r="AJ171" s="137">
        <v>1.4749574595419684E-2</v>
      </c>
      <c r="AK171" s="137">
        <v>1.4252294296160529E-2</v>
      </c>
      <c r="AL171" s="137">
        <v>1.491764475594185E-2</v>
      </c>
      <c r="AM171" s="137">
        <v>1.5480485920691765E-2</v>
      </c>
      <c r="AN171" s="137">
        <v>1.1973003430651902E-2</v>
      </c>
      <c r="AO171" s="137">
        <v>1.0043993949053883E-2</v>
      </c>
      <c r="AP171" s="137">
        <v>9.337916521999572E-3</v>
      </c>
      <c r="AQ171" s="137">
        <v>7.4414471182335821E-3</v>
      </c>
      <c r="AR171" s="137">
        <v>8.4359855978434987E-3</v>
      </c>
      <c r="AS171" s="137">
        <v>8.5031016227899731E-3</v>
      </c>
      <c r="AT171" s="137">
        <v>1.0758250234819546E-2</v>
      </c>
      <c r="AU171" s="137">
        <v>7.8600343904440383E-3</v>
      </c>
      <c r="AV171" s="137">
        <v>6.7115737358507148E-3</v>
      </c>
      <c r="AW171" s="137">
        <v>8.7378833214772408E-3</v>
      </c>
      <c r="AX171" s="137">
        <v>1.3312742638033214E-2</v>
      </c>
      <c r="AY171" s="137">
        <v>1.1152378710959742E-2</v>
      </c>
      <c r="AZ171" s="137">
        <v>1.9473048768623987E-2</v>
      </c>
      <c r="BA171" s="137">
        <v>1.4004116718616448E-2</v>
      </c>
      <c r="BB171" s="137">
        <v>1.3548359413826596E-2</v>
      </c>
      <c r="BC171" s="137">
        <v>1.339027734110069E-2</v>
      </c>
      <c r="BD171" s="137">
        <v>1.5501852368772714E-2</v>
      </c>
      <c r="BE171" s="137">
        <v>7.582265556220426E-3</v>
      </c>
      <c r="BF171" s="137">
        <v>1.1111259411314722E-2</v>
      </c>
      <c r="BG171" s="137">
        <v>5.1783988000394044E-3</v>
      </c>
      <c r="BH171" s="137">
        <v>5.4232732519506428E-3</v>
      </c>
      <c r="BI171" s="137">
        <v>1.0568000863447183E-2</v>
      </c>
      <c r="BJ171" s="137">
        <v>1.3930629792869492E-2</v>
      </c>
      <c r="BK171" s="137">
        <v>2.3908124997167247E-2</v>
      </c>
      <c r="BL171" s="137">
        <v>3.2995452386476838E-2</v>
      </c>
      <c r="BM171" s="1">
        <v>3.0155986911619893E-2</v>
      </c>
      <c r="BN171" s="1">
        <v>2.1448822078782178E-2</v>
      </c>
      <c r="BO171" s="1">
        <v>1.5632697716475585E-2</v>
      </c>
      <c r="BP171" s="1">
        <v>8.1367666174584768E-3</v>
      </c>
      <c r="BQ171" s="1" t="s">
        <v>121</v>
      </c>
      <c r="BR171" s="1" t="s">
        <v>121</v>
      </c>
      <c r="BS171" s="1" t="s">
        <v>121</v>
      </c>
      <c r="BT171" s="1" t="s">
        <v>121</v>
      </c>
      <c r="BU171" s="1" t="s">
        <v>121</v>
      </c>
      <c r="BV171" s="1" t="s">
        <v>121</v>
      </c>
      <c r="BW171" s="1" t="s">
        <v>121</v>
      </c>
      <c r="BX171" s="1" t="s">
        <v>121</v>
      </c>
      <c r="BY171" s="1" t="s">
        <v>121</v>
      </c>
      <c r="BZ171" s="1" t="s">
        <v>121</v>
      </c>
      <c r="CA171" s="1" t="s">
        <v>121</v>
      </c>
      <c r="CB171" s="1" t="s">
        <v>121</v>
      </c>
      <c r="CC171" s="1" t="s">
        <v>121</v>
      </c>
      <c r="CD171" s="1" t="s">
        <v>121</v>
      </c>
      <c r="CE171" s="1" t="s">
        <v>121</v>
      </c>
      <c r="CF171" s="1" t="s">
        <v>121</v>
      </c>
      <c r="CG171" s="1" t="s">
        <v>121</v>
      </c>
      <c r="CH171" s="1" t="s">
        <v>121</v>
      </c>
      <c r="CI171" s="1" t="s">
        <v>121</v>
      </c>
      <c r="CJ171" s="1" t="s">
        <v>121</v>
      </c>
      <c r="CK171" s="1" t="s">
        <v>121</v>
      </c>
      <c r="CL171" s="1" t="s">
        <v>121</v>
      </c>
      <c r="CM171" s="1" t="s">
        <v>121</v>
      </c>
      <c r="CN171" s="1" t="s">
        <v>121</v>
      </c>
      <c r="CO171" s="1" t="s">
        <v>121</v>
      </c>
      <c r="CP171" s="1" t="s">
        <v>121</v>
      </c>
      <c r="CQ171" s="1" t="s">
        <v>121</v>
      </c>
      <c r="CR171" s="1" t="s">
        <v>121</v>
      </c>
      <c r="CS171" s="1" t="s">
        <v>121</v>
      </c>
      <c r="CT171" s="1" t="s">
        <v>121</v>
      </c>
      <c r="CU171" s="1" t="s">
        <v>121</v>
      </c>
      <c r="CV171" s="1" t="s">
        <v>121</v>
      </c>
      <c r="CW171" s="1" t="s">
        <v>121</v>
      </c>
      <c r="CX171" s="1" t="s">
        <v>121</v>
      </c>
      <c r="CY171" s="1" t="s">
        <v>121</v>
      </c>
      <c r="CZ171" s="1" t="s">
        <v>121</v>
      </c>
      <c r="DA171" s="1" t="s">
        <v>121</v>
      </c>
      <c r="DB171" s="1" t="s">
        <v>121</v>
      </c>
      <c r="DC171" s="1" t="s">
        <v>121</v>
      </c>
      <c r="DD171" s="1" t="s">
        <v>121</v>
      </c>
      <c r="DE171" s="1" t="s">
        <v>121</v>
      </c>
      <c r="DF171" s="1" t="s">
        <v>121</v>
      </c>
      <c r="DG171" s="1" t="s">
        <v>121</v>
      </c>
      <c r="DH171" s="1" t="s">
        <v>121</v>
      </c>
      <c r="DI171" s="1" t="s">
        <v>121</v>
      </c>
      <c r="DJ171" s="1" t="s">
        <v>121</v>
      </c>
      <c r="DK171" s="1" t="s">
        <v>121</v>
      </c>
      <c r="DL171" s="1" t="s">
        <v>121</v>
      </c>
      <c r="DM171" s="1" t="s">
        <v>121</v>
      </c>
      <c r="DN171" s="1" t="s">
        <v>121</v>
      </c>
      <c r="DO171" s="1" t="s">
        <v>121</v>
      </c>
      <c r="DP171" s="1" t="s">
        <v>121</v>
      </c>
      <c r="DQ171" s="1" t="s">
        <v>121</v>
      </c>
      <c r="DR171" s="1" t="s">
        <v>121</v>
      </c>
      <c r="DS171" s="1" t="s">
        <v>121</v>
      </c>
      <c r="DT171" s="1" t="s">
        <v>121</v>
      </c>
      <c r="DU171" s="1" t="s">
        <v>121</v>
      </c>
      <c r="DV171" s="1" t="s">
        <v>121</v>
      </c>
      <c r="DW171" s="1" t="s">
        <v>121</v>
      </c>
      <c r="DX171" s="1" t="s">
        <v>121</v>
      </c>
      <c r="DY171" s="1" t="s">
        <v>121</v>
      </c>
      <c r="DZ171" s="1" t="s">
        <v>121</v>
      </c>
      <c r="EA171" s="1" t="s">
        <v>121</v>
      </c>
      <c r="EB171" s="1" t="s">
        <v>121</v>
      </c>
      <c r="EC171" s="1" t="s">
        <v>121</v>
      </c>
      <c r="ED171" s="1" t="s">
        <v>121</v>
      </c>
      <c r="EE171" s="1" t="s">
        <v>121</v>
      </c>
      <c r="EF171" s="1" t="s">
        <v>121</v>
      </c>
      <c r="EG171" s="1" t="s">
        <v>121</v>
      </c>
      <c r="EH171" s="1" t="s">
        <v>121</v>
      </c>
      <c r="EI171" s="1" t="s">
        <v>121</v>
      </c>
      <c r="EJ171" s="1" t="s">
        <v>121</v>
      </c>
      <c r="EK171" s="1" t="s">
        <v>121</v>
      </c>
      <c r="EL171" s="1" t="s">
        <v>121</v>
      </c>
      <c r="EM171" s="1" t="s">
        <v>121</v>
      </c>
      <c r="EN171" s="1" t="s">
        <v>121</v>
      </c>
      <c r="EO171" s="1" t="s">
        <v>121</v>
      </c>
      <c r="EP171" s="1" t="s">
        <v>121</v>
      </c>
      <c r="EQ171" s="1" t="s">
        <v>121</v>
      </c>
      <c r="ER171" s="1" t="s">
        <v>121</v>
      </c>
      <c r="ES171" s="1" t="s">
        <v>121</v>
      </c>
      <c r="ET171" s="1" t="s">
        <v>121</v>
      </c>
      <c r="EU171" s="1" t="s">
        <v>121</v>
      </c>
      <c r="EV171" s="1" t="s">
        <v>121</v>
      </c>
      <c r="EW171" s="1" t="s">
        <v>121</v>
      </c>
      <c r="EX171" s="1" t="s">
        <v>121</v>
      </c>
    </row>
    <row r="172" spans="1:154" x14ac:dyDescent="0.25">
      <c r="A172" s="72">
        <v>172</v>
      </c>
      <c r="B172" s="12" t="s">
        <v>248</v>
      </c>
      <c r="C172" s="91">
        <f ca="1">OFFSET($E$7,$A172-$A$7,1,1,1)-OFFSET($E$7,$A172-$A$7,2,1,1)</f>
        <v>-1.02627417225995E-2</v>
      </c>
      <c r="D172" s="86"/>
      <c r="E172" s="92">
        <f ca="1">OFFSET($E$7,$A172-$A$7,1,1,1)-OFFSET($E$7,$A172-$A$7,5,1,1)</f>
        <v>-0.11159907731013272</v>
      </c>
      <c r="F172" s="171">
        <f>F153/(('Assets and Liabili-s structure'!F58+'Assets and Liabili-s structure'!G58)/2)/((IF(LEFT(F166,2)="1Q",DATE(RIGHT(F166,4),3,31)-DATE(RIGHT(F166,4)-1,12,31),IF(LEFT(F166,2)="2Q",DATE(RIGHT(F166,4),6,30)-DATE(RIGHT(F166,4),3,31),IF(LEFT(F166,2)="3Q",DATE(RIGHT(F166,4),9,30)-DATE(RIGHT(F166,4),6,30),DATE(RIGHT(F166,4),12,31)-DATE(RIGHT(F166,4),9,30)))))/(DATE(RIGHT(F166,4),12,31)-DATE(RIGHT(F166,4)-1,12,31)))</f>
        <v>0.16003208351841577</v>
      </c>
      <c r="G172" s="171">
        <f>G153/(('Assets and Liabili-s structure'!G58+'Assets and Liabili-s structure'!H58)/2)/((IF(LEFT(G166,2)="1Q",DATE(RIGHT(G166,4),3,31)-DATE(RIGHT(G166,4)-1,12,31),IF(LEFT(G166,2)="2Q",DATE(RIGHT(G166,4),6,30)-DATE(RIGHT(G166,4),3,31),IF(LEFT(G166,2)="3Q",DATE(RIGHT(G166,4),9,30)-DATE(RIGHT(G166,4),6,30),DATE(RIGHT(G166,4),12,31)-DATE(RIGHT(G166,4),9,30)))))/(DATE(RIGHT(G166,4),12,31)-DATE(RIGHT(G166,4)-1,12,31)))</f>
        <v>0.17029482524101527</v>
      </c>
      <c r="H172" s="171">
        <f>H153/(('Assets and Liabili-s structure'!H58+'Assets and Liabili-s structure'!I58)/2)/((IF(LEFT(H166,2)="1Q",DATE(RIGHT(H166,4),3,31)-DATE(RIGHT(H166,4)-1,12,31),IF(LEFT(H166,2)="2Q",DATE(RIGHT(H166,4),6,30)-DATE(RIGHT(H166,4),3,31),IF(LEFT(H166,2)="3Q",DATE(RIGHT(H166,4),9,30)-DATE(RIGHT(H166,4),6,30),DATE(RIGHT(H166,4),12,31)-DATE(RIGHT(H166,4),9,30)))))/(DATE(RIGHT(H166,4),12,31)-DATE(RIGHT(H166,4)-1,12,31)))</f>
        <v>0.30099307684933579</v>
      </c>
      <c r="I172" s="171">
        <f>I153/(('Assets and Liabili-s structure'!I58+'Assets and Liabili-s structure'!J58)/2)/((IF(LEFT(I166,2)="1Q",DATE(RIGHT(I166,4),3,31)-DATE(RIGHT(I166,4)-1,12,31),IF(LEFT(I166,2)="2Q",DATE(RIGHT(I166,4),6,30)-DATE(RIGHT(I166,4),3,31),IF(LEFT(I166,2)="3Q",DATE(RIGHT(I166,4),9,30)-DATE(RIGHT(I166,4),6,30),DATE(RIGHT(I166,4),12,31)-DATE(RIGHT(I166,4),9,30)))))/(DATE(RIGHT(I166,4),12,31)-DATE(RIGHT(I166,4)-1,12,31)))</f>
        <v>0.26132719242948593</v>
      </c>
      <c r="J172" s="171">
        <f>J153/(('Assets and Liabili-s structure'!J58+'Assets and Liabili-s structure'!K58)/2)/((IF(LEFT(J166,2)="1Q",DATE(RIGHT(J166,4),3,31)-DATE(RIGHT(J166,4)-1,12,31),IF(LEFT(J166,2)="2Q",DATE(RIGHT(J166,4),6,30)-DATE(RIGHT(J166,4),3,31),IF(LEFT(J166,2)="3Q",DATE(RIGHT(J166,4),9,30)-DATE(RIGHT(J166,4),6,30),DATE(RIGHT(J166,4),12,31)-DATE(RIGHT(J166,4),9,30)))))/(DATE(RIGHT(J166,4),12,31)-DATE(RIGHT(J166,4)-1,12,31)))</f>
        <v>0.27163116082854849</v>
      </c>
      <c r="K172" s="171">
        <f>K153/(('Assets and Liabili-s structure'!K58+'Assets and Liabili-s structure'!L58)/2)/((IF(LEFT(K166,2)="1Q",DATE(RIGHT(K166,4),3,31)-DATE(RIGHT(K166,4)-1,12,31),IF(LEFT(K166,2)="2Q",DATE(RIGHT(K166,4),6,30)-DATE(RIGHT(K166,4),3,31),IF(LEFT(K166,2)="3Q",DATE(RIGHT(K166,4),9,30)-DATE(RIGHT(K166,4),6,30),DATE(RIGHT(K166,4),12,31)-DATE(RIGHT(K166,4),9,30)))))/(DATE(RIGHT(K166,4),12,31)-DATE(RIGHT(K166,4)-1,12,31)))</f>
        <v>0.24231913063983096</v>
      </c>
      <c r="L172" s="171">
        <f>L153/(('Assets and Liabili-s structure'!L58+'Assets and Liabili-s structure'!M58)/2)/((IF(LEFT(L166,2)="1Q",DATE(RIGHT(L166,4),3,31)-DATE(RIGHT(L166,4)-1,12,31),IF(LEFT(L166,2)="2Q",DATE(RIGHT(L166,4),6,30)-DATE(RIGHT(L166,4),3,31),IF(LEFT(L166,2)="3Q",DATE(RIGHT(L166,4),9,30)-DATE(RIGHT(L166,4),6,30),DATE(RIGHT(L166,4),12,31)-DATE(RIGHT(L166,4),9,30)))))/(DATE(RIGHT(L166,4),12,31)-DATE(RIGHT(L166,4)-1,12,31)))</f>
        <v>0.29027721013053653</v>
      </c>
      <c r="M172" s="171">
        <f>M153/(('Assets and Liabili-s structure'!M58+'Assets and Liabili-s structure'!N58)/2)/((IF(LEFT(M166,2)="1Q",DATE(RIGHT(M166,4),3,31)-DATE(RIGHT(M166,4)-1,12,31),IF(LEFT(M166,2)="2Q",DATE(RIGHT(M166,4),6,30)-DATE(RIGHT(M166,4),3,31),IF(LEFT(M166,2)="3Q",DATE(RIGHT(M166,4),9,30)-DATE(RIGHT(M166,4),6,30),DATE(RIGHT(M166,4),12,31)-DATE(RIGHT(M166,4),9,30)))))/(DATE(RIGHT(M166,4),12,31)-DATE(RIGHT(M166,4)-1,12,31)))</f>
        <v>0.24010212097902897</v>
      </c>
      <c r="N172" s="171">
        <f>N153/(('Assets and Liabili-s structure'!N58+'Assets and Liabili-s structure'!O58)/2)/((IF(LEFT(N166,2)="1Q",DATE(RIGHT(N166,4),3,31)-DATE(RIGHT(N166,4)-1,12,31),IF(LEFT(N166,2)="2Q",DATE(RIGHT(N166,4),6,30)-DATE(RIGHT(N166,4),3,31),IF(LEFT(N166,2)="3Q",DATE(RIGHT(N166,4),9,30)-DATE(RIGHT(N166,4),6,30),DATE(RIGHT(N166,4),12,31)-DATE(RIGHT(N166,4),9,30)))))/(DATE(RIGHT(N166,4),12,31)-DATE(RIGHT(N166,4)-1,12,31)))</f>
        <v>0.20253913928717418</v>
      </c>
      <c r="O172" s="171">
        <f>O153/(('Assets and Liabili-s structure'!O58+'Assets and Liabili-s structure'!P58)/2)/((IF(LEFT(O166,2)="1Q",DATE(RIGHT(O166,4),3,31)-DATE(RIGHT(O166,4)-1,12,31),IF(LEFT(O166,2)="2Q",DATE(RIGHT(O166,4),6,30)-DATE(RIGHT(O166,4),3,31),IF(LEFT(O166,2)="3Q",DATE(RIGHT(O166,4),9,30)-DATE(RIGHT(O166,4),6,30),DATE(RIGHT(O166,4),12,31)-DATE(RIGHT(O166,4),9,30)))))/(DATE(RIGHT(O166,4),12,31)-DATE(RIGHT(O166,4)-1,12,31)))</f>
        <v>0.34179496168271961</v>
      </c>
      <c r="P172" s="171">
        <f>P153/(('Assets and Liabili-s structure'!P58+'Assets and Liabili-s structure'!Q58)/2)/((IF(LEFT(P166,2)="1Q",DATE(RIGHT(P166,4),3,31)-DATE(RIGHT(P166,4)-1,12,31),IF(LEFT(P166,2)="2Q",DATE(RIGHT(P166,4),6,30)-DATE(RIGHT(P166,4),3,31),IF(LEFT(P166,2)="3Q",DATE(RIGHT(P166,4),9,30)-DATE(RIGHT(P166,4),6,30),DATE(RIGHT(P166,4),12,31)-DATE(RIGHT(P166,4),9,30)))))/(DATE(RIGHT(P166,4),12,31)-DATE(RIGHT(P166,4)-1,12,31)))</f>
        <v>0.38998137296383256</v>
      </c>
      <c r="Q172" s="405"/>
      <c r="R172" s="405"/>
      <c r="S172" s="405"/>
      <c r="T172" s="405"/>
      <c r="U172" s="171">
        <v>0.26239946194824543</v>
      </c>
      <c r="V172" s="171">
        <v>0.17102156361486973</v>
      </c>
      <c r="W172" s="171">
        <v>0.21142057762952721</v>
      </c>
      <c r="X172" s="171">
        <v>0.10795009738694469</v>
      </c>
      <c r="Y172" s="171">
        <v>0.20334918983317926</v>
      </c>
      <c r="Z172" s="171">
        <v>0.12855288930437087</v>
      </c>
      <c r="AA172" s="171">
        <v>9.8143030332304759E-2</v>
      </c>
      <c r="AB172" s="171">
        <v>7.8991798038913222E-2</v>
      </c>
      <c r="AC172" s="171">
        <v>0.12057315569696417</v>
      </c>
      <c r="AD172" s="171">
        <v>0.10358292142516391</v>
      </c>
      <c r="AE172" s="171">
        <v>0.11502538653625884</v>
      </c>
      <c r="AF172" s="171">
        <v>6.8539449037305675E-2</v>
      </c>
      <c r="AG172" s="171">
        <v>0.13643985416273186</v>
      </c>
      <c r="AH172" s="171">
        <v>0.1130535814657674</v>
      </c>
      <c r="AI172" s="171">
        <v>0.14315266373188035</v>
      </c>
      <c r="AJ172" s="171">
        <v>0.12619020692349037</v>
      </c>
      <c r="AK172" s="171">
        <v>0.12004799860524722</v>
      </c>
      <c r="AL172" s="171">
        <v>0.12683879978619414</v>
      </c>
      <c r="AM172" s="171">
        <v>0.13639149481591772</v>
      </c>
      <c r="AN172" s="171">
        <v>0.11021982040125128</v>
      </c>
      <c r="AO172" s="171">
        <v>9.3470737190594982E-2</v>
      </c>
      <c r="AP172" s="171">
        <v>8.7732550965639408E-2</v>
      </c>
      <c r="AQ172" s="171">
        <v>7.2232937471516684E-2</v>
      </c>
      <c r="AR172" s="171">
        <v>8.2663188867368495E-2</v>
      </c>
      <c r="AS172" s="171">
        <v>8.2375595673694346E-2</v>
      </c>
      <c r="AT172" s="171">
        <v>0.10232216247940755</v>
      </c>
      <c r="AU172" s="171">
        <v>7.6024346153529612E-2</v>
      </c>
      <c r="AV172" s="171">
        <v>6.6948566077031799E-2</v>
      </c>
      <c r="AW172" s="171">
        <v>8.2497467400823546E-2</v>
      </c>
      <c r="AX172" s="171">
        <v>0.11627867184570899</v>
      </c>
      <c r="AY172" s="171">
        <v>9.734357644168154E-2</v>
      </c>
      <c r="AZ172" s="171">
        <v>0.16837111354000539</v>
      </c>
      <c r="BA172" s="171">
        <v>0.12149999079207549</v>
      </c>
      <c r="BB172" s="171">
        <v>0.12055212244403213</v>
      </c>
      <c r="BC172" s="171">
        <v>0.11731786238647539</v>
      </c>
      <c r="BD172" s="171">
        <v>0.13324495865119565</v>
      </c>
      <c r="BE172" s="171">
        <v>6.2956815008417669E-2</v>
      </c>
      <c r="BF172" s="171">
        <v>9.1689894011875481E-2</v>
      </c>
      <c r="BG172" s="171">
        <v>4.4287570635313564E-2</v>
      </c>
      <c r="BH172" s="171">
        <v>4.5372246056526309E-2</v>
      </c>
      <c r="BI172" s="171">
        <v>8.8228901363989115E-2</v>
      </c>
      <c r="BJ172" s="171">
        <v>0.12175154177710076</v>
      </c>
      <c r="BK172" s="171">
        <v>0.21827815219886368</v>
      </c>
      <c r="BL172" s="171">
        <v>0.30925354950918083</v>
      </c>
      <c r="BM172" s="1">
        <v>0.28350711041188764</v>
      </c>
      <c r="BN172" s="1">
        <v>0.19957066728342163</v>
      </c>
      <c r="BO172" s="1">
        <v>0.14393832676182813</v>
      </c>
      <c r="BP172" s="1">
        <v>7.4734382064823343E-2</v>
      </c>
      <c r="BQ172" s="1" t="s">
        <v>121</v>
      </c>
      <c r="BR172" s="1" t="s">
        <v>121</v>
      </c>
      <c r="BS172" s="1" t="s">
        <v>121</v>
      </c>
      <c r="BT172" s="1" t="s">
        <v>121</v>
      </c>
      <c r="BU172" s="1" t="s">
        <v>121</v>
      </c>
      <c r="BV172" s="1" t="s">
        <v>121</v>
      </c>
      <c r="BW172" s="1" t="s">
        <v>121</v>
      </c>
      <c r="BX172" s="1" t="s">
        <v>121</v>
      </c>
      <c r="BY172" s="1" t="s">
        <v>121</v>
      </c>
      <c r="BZ172" s="1" t="s">
        <v>121</v>
      </c>
      <c r="CA172" s="1" t="s">
        <v>121</v>
      </c>
      <c r="CB172" s="1" t="s">
        <v>121</v>
      </c>
      <c r="CC172" s="1" t="s">
        <v>121</v>
      </c>
      <c r="CD172" s="1" t="s">
        <v>121</v>
      </c>
      <c r="CE172" s="1" t="s">
        <v>121</v>
      </c>
      <c r="CF172" s="1" t="s">
        <v>121</v>
      </c>
      <c r="CG172" s="1" t="s">
        <v>121</v>
      </c>
      <c r="CH172" s="1" t="s">
        <v>121</v>
      </c>
      <c r="CI172" s="1" t="s">
        <v>121</v>
      </c>
      <c r="CJ172" s="1" t="s">
        <v>121</v>
      </c>
      <c r="CK172" s="1" t="s">
        <v>121</v>
      </c>
      <c r="CL172" s="1" t="s">
        <v>121</v>
      </c>
      <c r="CM172" s="1" t="s">
        <v>121</v>
      </c>
      <c r="CN172" s="1" t="s">
        <v>121</v>
      </c>
      <c r="CO172" s="1" t="s">
        <v>121</v>
      </c>
      <c r="CP172" s="1" t="s">
        <v>121</v>
      </c>
      <c r="CQ172" s="1" t="s">
        <v>121</v>
      </c>
      <c r="CR172" s="1" t="s">
        <v>121</v>
      </c>
      <c r="CS172" s="1" t="s">
        <v>121</v>
      </c>
      <c r="CT172" s="1" t="s">
        <v>121</v>
      </c>
      <c r="CU172" s="1" t="s">
        <v>121</v>
      </c>
      <c r="CV172" s="1" t="s">
        <v>121</v>
      </c>
      <c r="CW172" s="1" t="s">
        <v>121</v>
      </c>
      <c r="CX172" s="1" t="s">
        <v>121</v>
      </c>
      <c r="CY172" s="1" t="s">
        <v>121</v>
      </c>
      <c r="CZ172" s="1" t="s">
        <v>121</v>
      </c>
      <c r="DA172" s="1" t="s">
        <v>121</v>
      </c>
      <c r="DB172" s="1" t="s">
        <v>121</v>
      </c>
      <c r="DC172" s="1" t="s">
        <v>121</v>
      </c>
      <c r="DD172" s="1" t="s">
        <v>121</v>
      </c>
      <c r="DE172" s="1" t="s">
        <v>121</v>
      </c>
      <c r="DF172" s="1" t="s">
        <v>121</v>
      </c>
      <c r="DG172" s="1" t="s">
        <v>121</v>
      </c>
      <c r="DH172" s="1" t="s">
        <v>121</v>
      </c>
      <c r="DI172" s="1" t="s">
        <v>121</v>
      </c>
      <c r="DJ172" s="1" t="s">
        <v>121</v>
      </c>
      <c r="DK172" s="1" t="s">
        <v>121</v>
      </c>
      <c r="DL172" s="1" t="s">
        <v>121</v>
      </c>
      <c r="DM172" s="1" t="s">
        <v>121</v>
      </c>
      <c r="DN172" s="1" t="s">
        <v>121</v>
      </c>
      <c r="DO172" s="1" t="s">
        <v>121</v>
      </c>
      <c r="DP172" s="1" t="s">
        <v>121</v>
      </c>
      <c r="DQ172" s="1" t="s">
        <v>121</v>
      </c>
      <c r="DR172" s="1" t="s">
        <v>121</v>
      </c>
      <c r="DS172" s="1" t="s">
        <v>121</v>
      </c>
      <c r="DT172" s="1" t="s">
        <v>121</v>
      </c>
      <c r="DU172" s="1" t="s">
        <v>121</v>
      </c>
      <c r="DV172" s="1" t="s">
        <v>121</v>
      </c>
      <c r="DW172" s="1" t="s">
        <v>121</v>
      </c>
      <c r="DX172" s="1" t="s">
        <v>121</v>
      </c>
      <c r="DY172" s="1" t="s">
        <v>121</v>
      </c>
      <c r="DZ172" s="1" t="s">
        <v>121</v>
      </c>
      <c r="EA172" s="1" t="s">
        <v>121</v>
      </c>
      <c r="EB172" s="1" t="s">
        <v>121</v>
      </c>
      <c r="EC172" s="1" t="s">
        <v>121</v>
      </c>
      <c r="ED172" s="1" t="s">
        <v>121</v>
      </c>
      <c r="EE172" s="1" t="s">
        <v>121</v>
      </c>
      <c r="EF172" s="1" t="s">
        <v>121</v>
      </c>
      <c r="EG172" s="1" t="s">
        <v>121</v>
      </c>
      <c r="EH172" s="1" t="s">
        <v>121</v>
      </c>
      <c r="EI172" s="1" t="s">
        <v>121</v>
      </c>
      <c r="EJ172" s="1" t="s">
        <v>121</v>
      </c>
      <c r="EK172" s="1" t="s">
        <v>121</v>
      </c>
      <c r="EL172" s="1" t="s">
        <v>121</v>
      </c>
      <c r="EM172" s="1" t="s">
        <v>121</v>
      </c>
      <c r="EN172" s="1" t="s">
        <v>121</v>
      </c>
      <c r="EO172" s="1" t="s">
        <v>121</v>
      </c>
      <c r="EP172" s="1" t="s">
        <v>121</v>
      </c>
      <c r="EQ172" s="1" t="s">
        <v>121</v>
      </c>
      <c r="ER172" s="1" t="s">
        <v>121</v>
      </c>
      <c r="ES172" s="1" t="s">
        <v>121</v>
      </c>
      <c r="ET172" s="1" t="s">
        <v>121</v>
      </c>
      <c r="EU172" s="1" t="s">
        <v>121</v>
      </c>
      <c r="EV172" s="1" t="s">
        <v>121</v>
      </c>
      <c r="EW172" s="1" t="s">
        <v>121</v>
      </c>
      <c r="EX172" s="1" t="s">
        <v>121</v>
      </c>
    </row>
    <row r="173" spans="1:154" x14ac:dyDescent="0.25">
      <c r="A173" s="72">
        <v>173</v>
      </c>
      <c r="B173" s="61" t="s">
        <v>444</v>
      </c>
      <c r="C173" s="91">
        <f ca="1">OFFSET($E$7,$A173-$A$7,1,1,1)-OFFSET($E$7,$A173-$A$7,2,1,1)</f>
        <v>-1.080118750409257E-2</v>
      </c>
      <c r="D173" s="86"/>
      <c r="E173" s="92">
        <f ca="1">OFFSET($E$7,$A173-$A$7,1,1,1)-OFFSET($E$7,$A173-$A$7,5,1,1)</f>
        <v>1.69463884706442E-2</v>
      </c>
      <c r="F173" s="171">
        <f>(-F151)/AVERAGE('Loan Portfolio IFRS 9'!F55,'Loan Portfolio IFRS 9'!G55)/((IF(LEFT(F166,2)="1Q",DATE(RIGHT(F166,4),3,31)-DATE(RIGHT(F166,4)-1,12,31),IF(LEFT(F166,2)="2Q",DATE(RIGHT(F166,4),6,30)-DATE(RIGHT(F166,4),3,31),IF(LEFT(F166,2)="3Q",DATE(RIGHT(F166,4),9,30)-DATE(RIGHT(F166,4),6,30),DATE(RIGHT(F166,4),12,31)-DATE(RIGHT(F166,4),9,30)))))/(DATE(RIGHT(F166,4),12,31)-DATE(RIGHT(F166,4)-1,12,31)))</f>
        <v>2.3285358155748982E-2</v>
      </c>
      <c r="G173" s="171">
        <f>(-G151)/AVERAGE('Loan Portfolio IFRS 9'!G55,'Loan Portfolio IFRS 9'!H55)/((IF(LEFT(G166,2)="1Q",DATE(RIGHT(G166,4),3,31)-DATE(RIGHT(G166,4)-1,12,31),IF(LEFT(G166,2)="2Q",DATE(RIGHT(G166,4),6,30)-DATE(RIGHT(G166,4),3,31),IF(LEFT(G166,2)="3Q",DATE(RIGHT(G166,4),9,30)-DATE(RIGHT(G166,4),6,30),DATE(RIGHT(G166,4),12,31)-DATE(RIGHT(G166,4),9,30)))))/(DATE(RIGHT(G166,4),12,31)-DATE(RIGHT(G166,4)-1,12,31)))</f>
        <v>3.4086545659841552E-2</v>
      </c>
      <c r="H173" s="171">
        <f>(-H151)/AVERAGE('Loan Portfolio IFRS 9'!H55,'Loan Portfolio IFRS 9'!I55)/((IF(LEFT(H166,2)="1Q",DATE(RIGHT(H166,4),3,31)-DATE(RIGHT(H166,4)-1,12,31),IF(LEFT(H166,2)="2Q",DATE(RIGHT(H166,4),6,30)-DATE(RIGHT(H166,4),3,31),IF(LEFT(H166,2)="3Q",DATE(RIGHT(H166,4),9,30)-DATE(RIGHT(H166,4),6,30),DATE(RIGHT(H166,4),12,31)-DATE(RIGHT(H166,4),9,30)))))/(DATE(RIGHT(H166,4),12,31)-DATE(RIGHT(H166,4)-1,12,31)))</f>
        <v>-2.3075646217336274E-4</v>
      </c>
      <c r="I173" s="171">
        <f>(-I151)/AVERAGE('Loan Portfolio IFRS 9'!I55,'Loan Portfolio IFRS 9'!J55)/((IF(LEFT(I166,2)="1Q",DATE(RIGHT(I166,4),3,31)-DATE(RIGHT(I166,4)-1,12,31),IF(LEFT(I166,2)="2Q",DATE(RIGHT(I166,4),6,30)-DATE(RIGHT(I166,4),3,31),IF(LEFT(I166,2)="3Q",DATE(RIGHT(I166,4),9,30)-DATE(RIGHT(I166,4),6,30),DATE(RIGHT(I166,4),12,31)-DATE(RIGHT(I166,4),9,30)))))/(DATE(RIGHT(I166,4),12,31)-DATE(RIGHT(I166,4)-1,12,31)))</f>
        <v>9.7994871651882719E-3</v>
      </c>
      <c r="J173" s="171">
        <f>(-J151)/AVERAGE('Loan Portfolio IFRS 9'!J55,'Loan Portfolio IFRS 9'!K55)/((IF(LEFT(J166,2)="1Q",DATE(RIGHT(J166,4),3,31)-DATE(RIGHT(J166,4)-1,12,31),IF(LEFT(J166,2)="2Q",DATE(RIGHT(J166,4),6,30)-DATE(RIGHT(J166,4),3,31),IF(LEFT(J166,2)="3Q",DATE(RIGHT(J166,4),9,30)-DATE(RIGHT(J166,4),6,30),DATE(RIGHT(J166,4),12,31)-DATE(RIGHT(J166,4),9,30)))))/(DATE(RIGHT(J166,4),12,31)-DATE(RIGHT(J166,4)-1,12,31)))</f>
        <v>6.3389696851047827E-3</v>
      </c>
      <c r="K173" s="171">
        <f>(-K151)/AVERAGE('Loan Portfolio IFRS 9'!K55,'Loan Portfolio IFRS 9'!L55)/((IF(LEFT(K166,2)="1Q",DATE(RIGHT(K166,4),3,31)-DATE(RIGHT(K166,4)-1,12,31),IF(LEFT(K166,2)="2Q",DATE(RIGHT(K166,4),6,30)-DATE(RIGHT(K166,4),3,31),IF(LEFT(K166,2)="3Q",DATE(RIGHT(K166,4),9,30)-DATE(RIGHT(K166,4),6,30),DATE(RIGHT(K166,4),12,31)-DATE(RIGHT(K166,4),9,30)))))/(DATE(RIGHT(K166,4),12,31)-DATE(RIGHT(K166,4)-1,12,31)))</f>
        <v>1.6330109042881995E-2</v>
      </c>
      <c r="L173" s="171">
        <f>(-L151)/AVERAGE('Loan Portfolio IFRS 9'!L55,'Loan Portfolio IFRS 9'!M55)/((IF(LEFT(L166,2)="1Q",DATE(RIGHT(L166,4),3,31)-DATE(RIGHT(L166,4)-1,12,31),IF(LEFT(L166,2)="2Q",DATE(RIGHT(L166,4),6,30)-DATE(RIGHT(L166,4),3,31),IF(LEFT(L166,2)="3Q",DATE(RIGHT(L166,4),9,30)-DATE(RIGHT(L166,4),6,30),DATE(RIGHT(L166,4),12,31)-DATE(RIGHT(L166,4),9,30)))))/(DATE(RIGHT(L166,4),12,31)-DATE(RIGHT(L166,4)-1,12,31)))</f>
        <v>1.2076970914952035E-3</v>
      </c>
      <c r="M173" s="171">
        <f>(-M151)/AVERAGE('Loan Portfolio IFRS 9'!M55,'Loan Portfolio IFRS 9'!N55)/((IF(LEFT(M166,2)="1Q",DATE(RIGHT(M166,4),3,31)-DATE(RIGHT(M166,4)-1,12,31),IF(LEFT(M166,2)="2Q",DATE(RIGHT(M166,4),6,30)-DATE(RIGHT(M166,4),3,31),IF(LEFT(M166,2)="3Q",DATE(RIGHT(M166,4),9,30)-DATE(RIGHT(M166,4),6,30),DATE(RIGHT(M166,4),12,31)-DATE(RIGHT(M166,4),9,30)))))/(DATE(RIGHT(M166,4),12,31)-DATE(RIGHT(M166,4)-1,12,31)))</f>
        <v>3.8654374455050645E-3</v>
      </c>
      <c r="N173" s="171">
        <f>(-N151)/AVERAGE('Loan Portfolio IFRS 9'!N55,'Loan Portfolio IFRS 9'!O55)/((IF(LEFT(N166,2)="1Q",DATE(RIGHT(N166,4),3,31)-DATE(RIGHT(N166,4)-1,12,31),IF(LEFT(N166,2)="2Q",DATE(RIGHT(N166,4),6,30)-DATE(RIGHT(N166,4),3,31),IF(LEFT(N166,2)="3Q",DATE(RIGHT(N166,4),9,30)-DATE(RIGHT(N166,4),6,30),DATE(RIGHT(N166,4),12,31)-DATE(RIGHT(N166,4),9,30)))))/(DATE(RIGHT(N166,4),12,31)-DATE(RIGHT(N166,4)-1,12,31)))</f>
        <v>2.7095355057719919E-3</v>
      </c>
      <c r="O173" s="171">
        <f>(-O151)/AVERAGE('Loan Portfolio IFRS 9'!O55,'Loan Portfolio IFRS 9'!P55)/((IF(LEFT(O166,2)="1Q",DATE(RIGHT(O166,4),3,31)-DATE(RIGHT(O166,4)-1,12,31),IF(LEFT(O166,2)="2Q",DATE(RIGHT(O166,4),6,30)-DATE(RIGHT(O166,4),3,31),IF(LEFT(O166,2)="3Q",DATE(RIGHT(O166,4),9,30)-DATE(RIGHT(O166,4),6,30),DATE(RIGHT(O166,4),12,31)-DATE(RIGHT(O166,4),9,30)))))/(DATE(RIGHT(O166,4),12,31)-DATE(RIGHT(O166,4)-1,12,31)))</f>
        <v>-3.7813048225805229E-3</v>
      </c>
      <c r="P173" s="171">
        <f>(-P151)/AVERAGE('Loan Portfolio IFRS 9'!P55,'Loan Portfolio IFRS 9'!Q55)/((IF(LEFT(P166,2)="1Q",DATE(RIGHT(P166,4),3,31)-DATE(RIGHT(P166,4)-1,12,31),IF(LEFT(P166,2)="2Q",DATE(RIGHT(P166,4),6,30)-DATE(RIGHT(P166,4),3,31),IF(LEFT(P166,2)="3Q",DATE(RIGHT(P166,4),9,30)-DATE(RIGHT(P166,4),6,30),DATE(RIGHT(P166,4),12,31)-DATE(RIGHT(P166,4),9,30)))))/(DATE(RIGHT(P166,4),12,31)-DATE(RIGHT(P166,4)-1,12,31)))</f>
        <v>-2.6542526577578374E-2</v>
      </c>
      <c r="Q173" s="405"/>
      <c r="R173" s="405"/>
      <c r="S173" s="405"/>
      <c r="T173" s="405"/>
      <c r="U173" s="171">
        <v>-3.9010024109069341E-3</v>
      </c>
      <c r="V173" s="171">
        <v>7.0841553546855743E-3</v>
      </c>
      <c r="W173" s="171">
        <v>1.6294933082784673E-2</v>
      </c>
      <c r="X173" s="171">
        <v>1.8754387829805749E-2</v>
      </c>
      <c r="Y173" s="171">
        <v>1.5246327719638471E-2</v>
      </c>
      <c r="Z173" s="171">
        <v>1.790505998574083E-2</v>
      </c>
      <c r="AA173" s="171">
        <v>2.4524084503575124E-2</v>
      </c>
      <c r="AB173" s="171">
        <v>2.5168914857075467E-2</v>
      </c>
      <c r="AC173" s="171">
        <v>2.0482114378974216E-2</v>
      </c>
      <c r="AD173" s="171">
        <v>1.8599006464930561E-2</v>
      </c>
      <c r="AE173" s="171">
        <v>2.0106142759432483E-2</v>
      </c>
      <c r="AF173" s="171">
        <v>2.4622488803916046E-2</v>
      </c>
      <c r="AG173" s="171">
        <v>1.9366219024583946E-2</v>
      </c>
      <c r="AH173" s="171">
        <v>2.2023944700671143E-2</v>
      </c>
      <c r="AI173" s="171">
        <v>1.7496278899712007E-2</v>
      </c>
      <c r="AJ173" s="171">
        <v>2.0277461024959496E-2</v>
      </c>
      <c r="AK173" s="171">
        <v>2.6431534601265488E-2</v>
      </c>
      <c r="AL173" s="171">
        <v>2.2648912188991475E-2</v>
      </c>
      <c r="AM173" s="171">
        <v>2.9092060402382949E-2</v>
      </c>
      <c r="AN173" s="171">
        <v>3.0684068539311056E-2</v>
      </c>
      <c r="AO173" s="171">
        <v>3.4665830003115544E-2</v>
      </c>
      <c r="AP173" s="171">
        <v>3.5759524347716745E-2</v>
      </c>
      <c r="AQ173" s="171">
        <v>3.4867271850367365E-2</v>
      </c>
      <c r="AR173" s="171">
        <v>3.2096367330480283E-2</v>
      </c>
      <c r="AS173" s="171">
        <v>3.7458133420331656E-2</v>
      </c>
      <c r="AT173" s="171">
        <v>3.7955037003185116E-2</v>
      </c>
      <c r="AU173" s="171">
        <v>3.6273802880894795E-2</v>
      </c>
      <c r="AV173" s="171">
        <v>3.040671721980049E-2</v>
      </c>
      <c r="AW173" s="171">
        <v>3.5735491082230932E-2</v>
      </c>
      <c r="AX173" s="171">
        <v>2.1584472457226202E-2</v>
      </c>
      <c r="AY173" s="171">
        <v>2.1656455821295769E-2</v>
      </c>
      <c r="AZ173" s="171">
        <v>1.7360313750256609E-2</v>
      </c>
      <c r="BA173" s="171">
        <v>1.6398211335865456E-2</v>
      </c>
      <c r="BB173" s="171">
        <v>1.578787601471238E-2</v>
      </c>
      <c r="BC173" s="171">
        <v>1.7496889910134129E-2</v>
      </c>
      <c r="BD173" s="171">
        <v>1.7587944564971279E-2</v>
      </c>
      <c r="BE173" s="171">
        <v>2.3713745060892941E-2</v>
      </c>
      <c r="BF173" s="171">
        <v>2.6127581242605554E-2</v>
      </c>
      <c r="BG173" s="171">
        <v>2.6007065187741301E-2</v>
      </c>
      <c r="BH173" s="171">
        <v>3.0688292132288943E-2</v>
      </c>
      <c r="BI173" s="171">
        <v>3.0762266290399645E-2</v>
      </c>
      <c r="BJ173" s="171">
        <v>1.2791838277678115E-2</v>
      </c>
      <c r="BK173" s="171">
        <v>5.4550264859602208E-3</v>
      </c>
      <c r="BL173" s="171">
        <v>1.3153770158507692E-2</v>
      </c>
      <c r="BM173" s="1">
        <v>9.4938688376168263E-4</v>
      </c>
      <c r="BN173" s="1">
        <v>2.1187845854994881E-2</v>
      </c>
      <c r="BO173" s="1">
        <v>2.6877821948357992E-2</v>
      </c>
      <c r="BP173" s="1">
        <v>6.3897009235987928E-2</v>
      </c>
      <c r="BQ173" s="1" t="s">
        <v>121</v>
      </c>
      <c r="BR173" s="1" t="s">
        <v>121</v>
      </c>
      <c r="BS173" s="1" t="s">
        <v>121</v>
      </c>
      <c r="BT173" s="1" t="s">
        <v>121</v>
      </c>
      <c r="BU173" s="1" t="s">
        <v>121</v>
      </c>
      <c r="BV173" s="1" t="s">
        <v>121</v>
      </c>
      <c r="BW173" s="1" t="s">
        <v>121</v>
      </c>
      <c r="BX173" s="1" t="s">
        <v>121</v>
      </c>
      <c r="BY173" s="1" t="s">
        <v>121</v>
      </c>
      <c r="BZ173" s="1" t="s">
        <v>121</v>
      </c>
      <c r="CA173" s="1" t="s">
        <v>121</v>
      </c>
      <c r="CB173" s="1" t="s">
        <v>121</v>
      </c>
      <c r="CC173" s="1" t="s">
        <v>121</v>
      </c>
      <c r="CD173" s="1" t="s">
        <v>121</v>
      </c>
      <c r="CE173" s="1" t="s">
        <v>121</v>
      </c>
      <c r="CF173" s="1" t="s">
        <v>121</v>
      </c>
      <c r="CG173" s="1" t="s">
        <v>121</v>
      </c>
      <c r="CH173" s="1" t="s">
        <v>121</v>
      </c>
      <c r="CI173" s="1" t="s">
        <v>121</v>
      </c>
      <c r="CJ173" s="1" t="s">
        <v>121</v>
      </c>
      <c r="CK173" s="1" t="s">
        <v>121</v>
      </c>
      <c r="CL173" s="1" t="s">
        <v>121</v>
      </c>
      <c r="CM173" s="1" t="s">
        <v>121</v>
      </c>
      <c r="CN173" s="1" t="s">
        <v>121</v>
      </c>
      <c r="CO173" s="1" t="s">
        <v>121</v>
      </c>
      <c r="CP173" s="1" t="s">
        <v>121</v>
      </c>
      <c r="CQ173" s="1" t="s">
        <v>121</v>
      </c>
      <c r="CR173" s="1" t="s">
        <v>121</v>
      </c>
      <c r="CS173" s="1" t="s">
        <v>121</v>
      </c>
      <c r="CT173" s="1" t="s">
        <v>121</v>
      </c>
      <c r="CU173" s="1" t="s">
        <v>121</v>
      </c>
      <c r="CV173" s="1" t="s">
        <v>121</v>
      </c>
      <c r="CW173" s="1" t="s">
        <v>121</v>
      </c>
      <c r="CX173" s="1" t="s">
        <v>121</v>
      </c>
      <c r="CY173" s="1" t="s">
        <v>121</v>
      </c>
      <c r="CZ173" s="1" t="s">
        <v>121</v>
      </c>
      <c r="DA173" s="1" t="s">
        <v>121</v>
      </c>
      <c r="DB173" s="1" t="s">
        <v>121</v>
      </c>
      <c r="DC173" s="1" t="s">
        <v>121</v>
      </c>
      <c r="DD173" s="1" t="s">
        <v>121</v>
      </c>
      <c r="DE173" s="1" t="s">
        <v>121</v>
      </c>
      <c r="DF173" s="1" t="s">
        <v>121</v>
      </c>
      <c r="DG173" s="1" t="s">
        <v>121</v>
      </c>
      <c r="DH173" s="1" t="s">
        <v>121</v>
      </c>
      <c r="DI173" s="1" t="s">
        <v>121</v>
      </c>
      <c r="DJ173" s="1" t="s">
        <v>121</v>
      </c>
      <c r="DK173" s="1" t="s">
        <v>121</v>
      </c>
      <c r="DL173" s="1" t="s">
        <v>121</v>
      </c>
      <c r="DM173" s="1" t="s">
        <v>121</v>
      </c>
      <c r="DN173" s="1" t="s">
        <v>121</v>
      </c>
      <c r="DO173" s="1" t="s">
        <v>121</v>
      </c>
      <c r="DP173" s="1" t="s">
        <v>121</v>
      </c>
      <c r="DQ173" s="1" t="s">
        <v>121</v>
      </c>
      <c r="DR173" s="1" t="s">
        <v>121</v>
      </c>
      <c r="DS173" s="1" t="s">
        <v>121</v>
      </c>
      <c r="DT173" s="1" t="s">
        <v>121</v>
      </c>
      <c r="DU173" s="1" t="s">
        <v>121</v>
      </c>
      <c r="DV173" s="1" t="s">
        <v>121</v>
      </c>
      <c r="DW173" s="1" t="s">
        <v>121</v>
      </c>
      <c r="DX173" s="1" t="s">
        <v>121</v>
      </c>
      <c r="DY173" s="1" t="s">
        <v>121</v>
      </c>
      <c r="DZ173" s="1" t="s">
        <v>121</v>
      </c>
      <c r="EA173" s="1" t="s">
        <v>121</v>
      </c>
      <c r="EB173" s="1" t="s">
        <v>121</v>
      </c>
      <c r="EC173" s="1" t="s">
        <v>121</v>
      </c>
      <c r="ED173" s="1" t="s">
        <v>121</v>
      </c>
      <c r="EE173" s="1" t="s">
        <v>121</v>
      </c>
      <c r="EF173" s="1" t="s">
        <v>121</v>
      </c>
      <c r="EG173" s="1" t="s">
        <v>121</v>
      </c>
      <c r="EH173" s="1" t="s">
        <v>121</v>
      </c>
      <c r="EI173" s="1" t="s">
        <v>121</v>
      </c>
      <c r="EJ173" s="1" t="s">
        <v>121</v>
      </c>
      <c r="EK173" s="1" t="s">
        <v>121</v>
      </c>
      <c r="EL173" s="1" t="s">
        <v>121</v>
      </c>
      <c r="EM173" s="1" t="s">
        <v>121</v>
      </c>
      <c r="EN173" s="1" t="s">
        <v>121</v>
      </c>
      <c r="EO173" s="1" t="s">
        <v>121</v>
      </c>
      <c r="EP173" s="1" t="s">
        <v>121</v>
      </c>
      <c r="EQ173" s="1" t="s">
        <v>121</v>
      </c>
      <c r="ER173" s="1" t="s">
        <v>121</v>
      </c>
      <c r="ES173" s="1" t="s">
        <v>121</v>
      </c>
      <c r="ET173" s="1" t="s">
        <v>121</v>
      </c>
      <c r="EU173" s="1" t="s">
        <v>121</v>
      </c>
      <c r="EV173" s="1" t="s">
        <v>121</v>
      </c>
      <c r="EW173" s="1" t="s">
        <v>121</v>
      </c>
      <c r="EX173" s="1" t="s">
        <v>121</v>
      </c>
    </row>
    <row r="174" spans="1:154" x14ac:dyDescent="0.25">
      <c r="A174" s="72">
        <v>174</v>
      </c>
      <c r="B174" s="61" t="s">
        <v>121</v>
      </c>
      <c r="C174" s="61" t="s">
        <v>121</v>
      </c>
      <c r="D174" s="61" t="s">
        <v>121</v>
      </c>
      <c r="E174" s="61" t="s">
        <v>121</v>
      </c>
      <c r="F174" s="61" t="s">
        <v>121</v>
      </c>
      <c r="G174" s="61" t="s">
        <v>121</v>
      </c>
      <c r="H174" s="61" t="s">
        <v>121</v>
      </c>
      <c r="I174" s="61" t="s">
        <v>121</v>
      </c>
      <c r="J174" s="61" t="s">
        <v>121</v>
      </c>
      <c r="K174" s="61" t="s">
        <v>121</v>
      </c>
      <c r="L174" s="61" t="s">
        <v>121</v>
      </c>
      <c r="M174" s="61" t="s">
        <v>121</v>
      </c>
      <c r="N174" s="61" t="s">
        <v>121</v>
      </c>
      <c r="O174" s="61" t="s">
        <v>121</v>
      </c>
      <c r="P174" s="61" t="s">
        <v>121</v>
      </c>
      <c r="Q174" s="61" t="s">
        <v>121</v>
      </c>
      <c r="R174" s="61" t="s">
        <v>121</v>
      </c>
      <c r="S174" s="61" t="s">
        <v>121</v>
      </c>
      <c r="T174" s="61" t="s">
        <v>121</v>
      </c>
      <c r="U174" s="61" t="s">
        <v>121</v>
      </c>
      <c r="V174" s="61" t="s">
        <v>121</v>
      </c>
      <c r="W174" s="61" t="s">
        <v>121</v>
      </c>
      <c r="X174" s="61" t="s">
        <v>121</v>
      </c>
      <c r="Y174" s="61" t="s">
        <v>121</v>
      </c>
      <c r="Z174" s="61" t="s">
        <v>121</v>
      </c>
      <c r="AA174" s="61" t="s">
        <v>121</v>
      </c>
      <c r="AB174" s="61" t="s">
        <v>121</v>
      </c>
      <c r="AC174" s="61" t="s">
        <v>121</v>
      </c>
      <c r="AD174" s="61" t="s">
        <v>121</v>
      </c>
      <c r="AE174" s="61" t="s">
        <v>121</v>
      </c>
      <c r="AF174" s="61" t="s">
        <v>121</v>
      </c>
      <c r="AG174" s="61" t="s">
        <v>121</v>
      </c>
      <c r="AH174" s="61" t="s">
        <v>121</v>
      </c>
      <c r="AI174" s="61" t="s">
        <v>121</v>
      </c>
      <c r="AJ174" s="61" t="s">
        <v>121</v>
      </c>
      <c r="AK174" s="61" t="s">
        <v>121</v>
      </c>
      <c r="AL174" s="61" t="s">
        <v>121</v>
      </c>
      <c r="AM174" s="61" t="s">
        <v>121</v>
      </c>
      <c r="AN174" s="61" t="s">
        <v>121</v>
      </c>
      <c r="AO174" s="61" t="s">
        <v>121</v>
      </c>
      <c r="AP174" s="61" t="s">
        <v>121</v>
      </c>
      <c r="AQ174" s="61" t="s">
        <v>121</v>
      </c>
      <c r="AR174" s="61" t="s">
        <v>121</v>
      </c>
      <c r="AS174" s="61" t="s">
        <v>121</v>
      </c>
      <c r="AT174" s="61" t="s">
        <v>121</v>
      </c>
      <c r="AU174" s="61" t="s">
        <v>121</v>
      </c>
      <c r="AV174" s="61" t="s">
        <v>121</v>
      </c>
      <c r="AW174" s="61" t="s">
        <v>121</v>
      </c>
      <c r="AX174" s="61" t="s">
        <v>121</v>
      </c>
      <c r="AY174" s="61" t="s">
        <v>121</v>
      </c>
      <c r="AZ174" s="61" t="s">
        <v>121</v>
      </c>
      <c r="BA174" s="71" t="s">
        <v>121</v>
      </c>
      <c r="BB174" s="71" t="s">
        <v>121</v>
      </c>
      <c r="BC174" s="71" t="s">
        <v>121</v>
      </c>
      <c r="BD174" s="71" t="s">
        <v>121</v>
      </c>
      <c r="BE174" s="71" t="s">
        <v>121</v>
      </c>
      <c r="BF174" s="71" t="s">
        <v>121</v>
      </c>
      <c r="BG174" s="71" t="s">
        <v>121</v>
      </c>
      <c r="BH174" s="71" t="s">
        <v>121</v>
      </c>
      <c r="BI174" s="71" t="s">
        <v>121</v>
      </c>
      <c r="BJ174" s="71" t="s">
        <v>121</v>
      </c>
      <c r="BK174" s="71" t="s">
        <v>121</v>
      </c>
      <c r="BL174" s="71" t="s">
        <v>121</v>
      </c>
      <c r="BM174" s="1" t="s">
        <v>121</v>
      </c>
      <c r="BN174" s="1" t="s">
        <v>121</v>
      </c>
      <c r="BO174" s="1" t="s">
        <v>121</v>
      </c>
      <c r="BP174" s="1" t="s">
        <v>121</v>
      </c>
      <c r="BQ174" s="1" t="s">
        <v>121</v>
      </c>
      <c r="BR174" s="1" t="s">
        <v>121</v>
      </c>
      <c r="BS174" s="1" t="s">
        <v>121</v>
      </c>
      <c r="BT174" s="1" t="s">
        <v>121</v>
      </c>
      <c r="BU174" s="1" t="s">
        <v>121</v>
      </c>
      <c r="BV174" s="1" t="s">
        <v>121</v>
      </c>
      <c r="BW174" s="1" t="s">
        <v>121</v>
      </c>
      <c r="BX174" s="1" t="s">
        <v>121</v>
      </c>
      <c r="BY174" s="1" t="s">
        <v>121</v>
      </c>
      <c r="BZ174" s="1" t="s">
        <v>121</v>
      </c>
      <c r="CA174" s="1" t="s">
        <v>121</v>
      </c>
      <c r="CB174" s="1" t="s">
        <v>121</v>
      </c>
      <c r="CC174" s="1" t="s">
        <v>121</v>
      </c>
      <c r="CD174" s="1" t="s">
        <v>121</v>
      </c>
      <c r="CE174" s="1" t="s">
        <v>121</v>
      </c>
      <c r="CF174" s="1" t="s">
        <v>121</v>
      </c>
      <c r="CG174" s="1" t="s">
        <v>121</v>
      </c>
      <c r="CH174" s="1" t="s">
        <v>121</v>
      </c>
      <c r="CI174" s="1" t="s">
        <v>121</v>
      </c>
      <c r="CJ174" s="1" t="s">
        <v>121</v>
      </c>
      <c r="CK174" s="1" t="s">
        <v>121</v>
      </c>
      <c r="CL174" s="1" t="s">
        <v>121</v>
      </c>
      <c r="CM174" s="1" t="s">
        <v>121</v>
      </c>
      <c r="CN174" s="1" t="s">
        <v>121</v>
      </c>
      <c r="CO174" s="1" t="s">
        <v>121</v>
      </c>
      <c r="CP174" s="1" t="s">
        <v>121</v>
      </c>
      <c r="CQ174" s="1" t="s">
        <v>121</v>
      </c>
      <c r="CR174" s="1" t="s">
        <v>121</v>
      </c>
      <c r="CS174" s="1" t="s">
        <v>121</v>
      </c>
      <c r="CT174" s="1" t="s">
        <v>121</v>
      </c>
      <c r="CU174" s="1" t="s">
        <v>121</v>
      </c>
      <c r="CV174" s="1" t="s">
        <v>121</v>
      </c>
      <c r="CW174" s="1" t="s">
        <v>121</v>
      </c>
      <c r="CX174" s="1" t="s">
        <v>121</v>
      </c>
      <c r="CY174" s="1" t="s">
        <v>121</v>
      </c>
      <c r="CZ174" s="1" t="s">
        <v>121</v>
      </c>
      <c r="DA174" s="1" t="s">
        <v>121</v>
      </c>
      <c r="DB174" s="1" t="s">
        <v>121</v>
      </c>
      <c r="DC174" s="1" t="s">
        <v>121</v>
      </c>
      <c r="DD174" s="1" t="s">
        <v>121</v>
      </c>
      <c r="DE174" s="1" t="s">
        <v>121</v>
      </c>
      <c r="DF174" s="1" t="s">
        <v>121</v>
      </c>
      <c r="DG174" s="1" t="s">
        <v>121</v>
      </c>
      <c r="DH174" s="1" t="s">
        <v>121</v>
      </c>
      <c r="DI174" s="1" t="s">
        <v>121</v>
      </c>
      <c r="DJ174" s="1" t="s">
        <v>121</v>
      </c>
      <c r="DK174" s="1" t="s">
        <v>121</v>
      </c>
      <c r="DL174" s="1" t="s">
        <v>121</v>
      </c>
      <c r="DM174" s="1" t="s">
        <v>121</v>
      </c>
      <c r="DN174" s="1" t="s">
        <v>121</v>
      </c>
      <c r="DO174" s="1" t="s">
        <v>121</v>
      </c>
      <c r="DP174" s="1" t="s">
        <v>121</v>
      </c>
      <c r="DQ174" s="1" t="s">
        <v>121</v>
      </c>
      <c r="DR174" s="1" t="s">
        <v>121</v>
      </c>
      <c r="DS174" s="1" t="s">
        <v>121</v>
      </c>
      <c r="DT174" s="1" t="s">
        <v>121</v>
      </c>
      <c r="DU174" s="1" t="s">
        <v>121</v>
      </c>
      <c r="DV174" s="1" t="s">
        <v>121</v>
      </c>
      <c r="DW174" s="1" t="s">
        <v>121</v>
      </c>
      <c r="DX174" s="1" t="s">
        <v>121</v>
      </c>
      <c r="DY174" s="1" t="s">
        <v>121</v>
      </c>
      <c r="DZ174" s="1" t="s">
        <v>121</v>
      </c>
      <c r="EA174" s="1" t="s">
        <v>121</v>
      </c>
      <c r="EB174" s="1" t="s">
        <v>121</v>
      </c>
      <c r="EC174" s="1" t="s">
        <v>121</v>
      </c>
      <c r="ED174" s="1" t="s">
        <v>121</v>
      </c>
      <c r="EE174" s="1" t="s">
        <v>121</v>
      </c>
      <c r="EF174" s="1" t="s">
        <v>121</v>
      </c>
      <c r="EG174" s="1" t="s">
        <v>121</v>
      </c>
      <c r="EH174" s="1" t="s">
        <v>121</v>
      </c>
      <c r="EI174" s="1" t="s">
        <v>121</v>
      </c>
      <c r="EJ174" s="1" t="s">
        <v>121</v>
      </c>
      <c r="EK174" s="1" t="s">
        <v>121</v>
      </c>
      <c r="EL174" s="1" t="s">
        <v>121</v>
      </c>
      <c r="EM174" s="1" t="s">
        <v>121</v>
      </c>
      <c r="EN174" s="1" t="s">
        <v>121</v>
      </c>
      <c r="EO174" s="1" t="s">
        <v>121</v>
      </c>
      <c r="EP174" s="1" t="s">
        <v>121</v>
      </c>
      <c r="EQ174" s="1" t="s">
        <v>121</v>
      </c>
      <c r="ER174" s="1" t="s">
        <v>121</v>
      </c>
      <c r="ES174" s="1" t="s">
        <v>121</v>
      </c>
      <c r="ET174" s="1" t="s">
        <v>121</v>
      </c>
      <c r="EU174" s="1" t="s">
        <v>121</v>
      </c>
      <c r="EV174" s="1" t="s">
        <v>121</v>
      </c>
      <c r="EW174" s="1" t="s">
        <v>121</v>
      </c>
      <c r="EX174" s="1" t="s">
        <v>121</v>
      </c>
    </row>
    <row r="175" spans="1:154" x14ac:dyDescent="0.25">
      <c r="A175" s="72">
        <v>175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252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</row>
    <row r="176" spans="1:154" x14ac:dyDescent="0.25">
      <c r="A176" s="72">
        <v>176</v>
      </c>
      <c r="B176" s="426" t="s">
        <v>445</v>
      </c>
      <c r="C176" s="436" t="s">
        <v>121</v>
      </c>
      <c r="D176" s="215" t="s">
        <v>121</v>
      </c>
      <c r="E176" s="434" t="s">
        <v>265</v>
      </c>
      <c r="F176" s="416" t="s">
        <v>129</v>
      </c>
      <c r="G176" s="416" t="s">
        <v>130</v>
      </c>
      <c r="H176" s="416" t="s">
        <v>131</v>
      </c>
      <c r="I176" s="416" t="s">
        <v>132</v>
      </c>
      <c r="J176" s="416" t="s">
        <v>133</v>
      </c>
      <c r="K176" s="416" t="s">
        <v>134</v>
      </c>
      <c r="L176" s="416" t="s">
        <v>135</v>
      </c>
      <c r="M176" s="416" t="s">
        <v>136</v>
      </c>
      <c r="N176" s="416" t="s">
        <v>137</v>
      </c>
      <c r="O176" s="416" t="s">
        <v>138</v>
      </c>
      <c r="P176" s="416" t="s">
        <v>139</v>
      </c>
      <c r="Q176" s="416" t="s">
        <v>140</v>
      </c>
      <c r="R176" s="416" t="s">
        <v>141</v>
      </c>
      <c r="S176" s="416" t="s">
        <v>142</v>
      </c>
      <c r="T176" s="416" t="s">
        <v>143</v>
      </c>
      <c r="U176" s="416" t="s">
        <v>144</v>
      </c>
      <c r="V176" s="416" t="s">
        <v>145</v>
      </c>
      <c r="W176" s="416" t="s">
        <v>146</v>
      </c>
      <c r="X176" s="416" t="s">
        <v>147</v>
      </c>
      <c r="Y176" s="416" t="s">
        <v>148</v>
      </c>
      <c r="Z176" s="416" t="s">
        <v>149</v>
      </c>
      <c r="AA176" s="416" t="s">
        <v>150</v>
      </c>
      <c r="AB176" s="416" t="s">
        <v>151</v>
      </c>
      <c r="AC176" s="416" t="s">
        <v>152</v>
      </c>
      <c r="AD176" s="416" t="s">
        <v>153</v>
      </c>
      <c r="AE176" s="416" t="s">
        <v>154</v>
      </c>
      <c r="AF176" s="416" t="s">
        <v>155</v>
      </c>
      <c r="AG176" s="416" t="s">
        <v>156</v>
      </c>
      <c r="AH176" s="416" t="s">
        <v>157</v>
      </c>
      <c r="AI176" s="416" t="s">
        <v>158</v>
      </c>
      <c r="AJ176" s="416" t="s">
        <v>159</v>
      </c>
      <c r="AK176" s="416" t="s">
        <v>160</v>
      </c>
      <c r="AL176" s="416" t="s">
        <v>161</v>
      </c>
      <c r="AM176" s="416" t="s">
        <v>162</v>
      </c>
      <c r="AN176" s="416" t="s">
        <v>163</v>
      </c>
      <c r="AO176" s="416" t="s">
        <v>164</v>
      </c>
      <c r="AP176" s="416" t="s">
        <v>165</v>
      </c>
      <c r="AQ176" s="416" t="s">
        <v>166</v>
      </c>
      <c r="AR176" s="416" t="s">
        <v>167</v>
      </c>
      <c r="AS176" s="416" t="s">
        <v>168</v>
      </c>
      <c r="AT176" s="416" t="s">
        <v>169</v>
      </c>
      <c r="AU176" s="416" t="s">
        <v>170</v>
      </c>
      <c r="AV176" s="416" t="s">
        <v>171</v>
      </c>
      <c r="AW176" s="416" t="s">
        <v>172</v>
      </c>
      <c r="AX176" s="416" t="s">
        <v>173</v>
      </c>
      <c r="AY176" s="416" t="s">
        <v>174</v>
      </c>
      <c r="AZ176" s="416" t="s">
        <v>175</v>
      </c>
      <c r="BA176" s="416" t="s">
        <v>176</v>
      </c>
      <c r="BB176" s="416" t="s">
        <v>177</v>
      </c>
      <c r="BC176" s="416" t="s">
        <v>178</v>
      </c>
      <c r="BD176" s="416" t="s">
        <v>179</v>
      </c>
      <c r="BE176" s="416" t="s">
        <v>180</v>
      </c>
      <c r="BF176" s="416" t="s">
        <v>181</v>
      </c>
      <c r="BG176" s="416" t="s">
        <v>182</v>
      </c>
      <c r="BH176" s="416" t="s">
        <v>183</v>
      </c>
      <c r="BI176" s="416" t="s">
        <v>184</v>
      </c>
      <c r="BJ176" s="416" t="s">
        <v>185</v>
      </c>
      <c r="BK176" s="416" t="s">
        <v>186</v>
      </c>
      <c r="BL176" s="416" t="s">
        <v>187</v>
      </c>
      <c r="BM176" s="1" t="s">
        <v>188</v>
      </c>
      <c r="BN176" s="1" t="s">
        <v>189</v>
      </c>
      <c r="BO176" s="1" t="s">
        <v>190</v>
      </c>
      <c r="BP176" s="1" t="s">
        <v>191</v>
      </c>
      <c r="BQ176" s="1" t="s">
        <v>121</v>
      </c>
      <c r="BR176" s="1" t="s">
        <v>121</v>
      </c>
      <c r="BS176" s="1" t="s">
        <v>121</v>
      </c>
      <c r="BT176" s="1" t="s">
        <v>121</v>
      </c>
      <c r="BU176" s="1" t="s">
        <v>121</v>
      </c>
      <c r="BV176" s="1" t="s">
        <v>121</v>
      </c>
      <c r="BW176" s="1" t="s">
        <v>121</v>
      </c>
      <c r="BX176" s="1" t="s">
        <v>121</v>
      </c>
      <c r="BY176" s="1" t="s">
        <v>121</v>
      </c>
      <c r="BZ176" s="1" t="s">
        <v>121</v>
      </c>
      <c r="CA176" s="1" t="s">
        <v>121</v>
      </c>
      <c r="CB176" s="1" t="s">
        <v>121</v>
      </c>
      <c r="CC176" s="1" t="s">
        <v>121</v>
      </c>
      <c r="CD176" s="1" t="s">
        <v>121</v>
      </c>
      <c r="CE176" s="1" t="s">
        <v>121</v>
      </c>
      <c r="CF176" s="1" t="s">
        <v>121</v>
      </c>
      <c r="CG176" s="1" t="s">
        <v>121</v>
      </c>
      <c r="CH176" s="1" t="s">
        <v>121</v>
      </c>
      <c r="CI176" s="1" t="s">
        <v>121</v>
      </c>
      <c r="CJ176" s="1" t="s">
        <v>121</v>
      </c>
      <c r="CK176" s="1" t="s">
        <v>121</v>
      </c>
      <c r="CL176" s="1" t="s">
        <v>121</v>
      </c>
      <c r="CM176" s="1" t="s">
        <v>121</v>
      </c>
      <c r="CN176" s="1" t="s">
        <v>121</v>
      </c>
      <c r="CO176" s="1" t="s">
        <v>121</v>
      </c>
      <c r="CP176" s="1" t="s">
        <v>121</v>
      </c>
      <c r="CQ176" s="1" t="s">
        <v>121</v>
      </c>
      <c r="CR176" s="1" t="s">
        <v>121</v>
      </c>
      <c r="CS176" s="1" t="s">
        <v>121</v>
      </c>
      <c r="CT176" s="1" t="s">
        <v>121</v>
      </c>
      <c r="CU176" s="1" t="s">
        <v>121</v>
      </c>
      <c r="CV176" s="1" t="s">
        <v>121</v>
      </c>
      <c r="CW176" s="1" t="s">
        <v>121</v>
      </c>
      <c r="CX176" s="1" t="s">
        <v>121</v>
      </c>
      <c r="CY176" s="1" t="s">
        <v>121</v>
      </c>
      <c r="CZ176" s="1" t="s">
        <v>121</v>
      </c>
      <c r="DA176" s="1" t="s">
        <v>121</v>
      </c>
      <c r="DB176" s="1" t="s">
        <v>121</v>
      </c>
      <c r="DC176" s="1" t="s">
        <v>121</v>
      </c>
      <c r="DD176" s="1" t="s">
        <v>121</v>
      </c>
      <c r="DE176" s="1" t="s">
        <v>121</v>
      </c>
      <c r="DF176" s="1" t="s">
        <v>121</v>
      </c>
      <c r="DG176" s="1" t="s">
        <v>121</v>
      </c>
      <c r="DH176" s="1" t="s">
        <v>121</v>
      </c>
      <c r="DI176" s="1" t="s">
        <v>121</v>
      </c>
      <c r="DJ176" s="1" t="s">
        <v>121</v>
      </c>
      <c r="DK176" s="1" t="s">
        <v>121</v>
      </c>
      <c r="DL176" s="1" t="s">
        <v>121</v>
      </c>
      <c r="DM176" s="1" t="s">
        <v>121</v>
      </c>
      <c r="DN176" s="1" t="s">
        <v>121</v>
      </c>
      <c r="DO176" s="1" t="s">
        <v>121</v>
      </c>
      <c r="DP176" s="1" t="s">
        <v>121</v>
      </c>
      <c r="DQ176" s="1" t="s">
        <v>121</v>
      </c>
      <c r="DR176" s="1" t="s">
        <v>121</v>
      </c>
      <c r="DS176" s="1" t="s">
        <v>121</v>
      </c>
      <c r="DT176" s="1" t="s">
        <v>121</v>
      </c>
      <c r="DU176" s="1" t="s">
        <v>121</v>
      </c>
      <c r="DV176" s="1" t="s">
        <v>121</v>
      </c>
      <c r="DW176" s="1" t="s">
        <v>121</v>
      </c>
      <c r="DX176" s="1" t="s">
        <v>121</v>
      </c>
      <c r="DY176" s="1" t="s">
        <v>121</v>
      </c>
      <c r="DZ176" s="1" t="s">
        <v>121</v>
      </c>
      <c r="EA176" s="1" t="s">
        <v>121</v>
      </c>
      <c r="EB176" s="1" t="s">
        <v>121</v>
      </c>
      <c r="EC176" s="1" t="s">
        <v>121</v>
      </c>
      <c r="ED176" s="1" t="s">
        <v>121</v>
      </c>
      <c r="EE176" s="1" t="s">
        <v>121</v>
      </c>
      <c r="EF176" s="1" t="s">
        <v>121</v>
      </c>
      <c r="EG176" s="1" t="s">
        <v>121</v>
      </c>
      <c r="EH176" s="1" t="s">
        <v>121</v>
      </c>
      <c r="EI176" s="1" t="s">
        <v>121</v>
      </c>
      <c r="EJ176" s="1" t="s">
        <v>121</v>
      </c>
      <c r="EK176" s="1" t="s">
        <v>121</v>
      </c>
      <c r="EL176" s="1" t="s">
        <v>121</v>
      </c>
      <c r="EM176" s="1" t="s">
        <v>121</v>
      </c>
      <c r="EN176" s="1" t="s">
        <v>121</v>
      </c>
      <c r="EO176" s="1" t="s">
        <v>121</v>
      </c>
      <c r="EP176" s="1" t="s">
        <v>121</v>
      </c>
      <c r="EQ176" s="1" t="s">
        <v>121</v>
      </c>
      <c r="ER176" s="1" t="s">
        <v>121</v>
      </c>
      <c r="ES176" s="1" t="s">
        <v>121</v>
      </c>
      <c r="ET176" s="1" t="s">
        <v>121</v>
      </c>
      <c r="EU176" s="1" t="s">
        <v>121</v>
      </c>
      <c r="EV176" s="1" t="s">
        <v>121</v>
      </c>
      <c r="EW176" s="1" t="s">
        <v>121</v>
      </c>
      <c r="EX176" s="1" t="s">
        <v>121</v>
      </c>
    </row>
    <row r="177" spans="1:154" x14ac:dyDescent="0.25">
      <c r="A177" s="72">
        <v>177</v>
      </c>
      <c r="B177" s="427"/>
      <c r="C177" s="437"/>
      <c r="D177" s="258"/>
      <c r="E177" s="444"/>
      <c r="F177" s="417"/>
      <c r="G177" s="417"/>
      <c r="H177" s="418"/>
      <c r="I177" s="417"/>
      <c r="J177" s="417"/>
      <c r="K177" s="417"/>
      <c r="L177" s="418"/>
      <c r="M177" s="417"/>
      <c r="N177" s="417"/>
      <c r="O177" s="417"/>
      <c r="P177" s="418"/>
      <c r="Q177" s="418"/>
      <c r="R177" s="417"/>
      <c r="S177" s="417"/>
      <c r="T177" s="418"/>
      <c r="U177" s="418"/>
      <c r="V177" s="418"/>
      <c r="W177" s="417"/>
      <c r="X177" s="417"/>
      <c r="Y177" s="418"/>
      <c r="Z177" s="418"/>
      <c r="AA177" s="417"/>
      <c r="AB177" s="417"/>
      <c r="AC177" s="417"/>
      <c r="AD177" s="417"/>
      <c r="AE177" s="417"/>
      <c r="AF177" s="418"/>
      <c r="AG177" s="417"/>
      <c r="AH177" s="417"/>
      <c r="AI177" s="417"/>
      <c r="AJ177" s="418"/>
      <c r="AK177" s="417"/>
      <c r="AL177" s="417"/>
      <c r="AM177" s="417"/>
      <c r="AN177" s="418"/>
      <c r="AO177" s="418"/>
      <c r="AP177" s="418"/>
      <c r="AQ177" s="417"/>
      <c r="AR177" s="417"/>
      <c r="AS177" s="417"/>
      <c r="AT177" s="417"/>
      <c r="AU177" s="417"/>
      <c r="AV177" s="417"/>
      <c r="AW177" s="417"/>
      <c r="AX177" s="417"/>
      <c r="AY177" s="417"/>
      <c r="AZ177" s="417"/>
      <c r="BA177" s="417"/>
      <c r="BB177" s="417"/>
      <c r="BC177" s="417"/>
      <c r="BD177" s="417"/>
      <c r="BE177" s="417"/>
      <c r="BF177" s="417"/>
      <c r="BG177" s="417"/>
      <c r="BH177" s="417"/>
      <c r="BI177" s="417"/>
      <c r="BJ177" s="417"/>
      <c r="BK177" s="417"/>
      <c r="BL177" s="417"/>
    </row>
    <row r="178" spans="1:154" x14ac:dyDescent="0.25">
      <c r="A178" s="72">
        <v>178</v>
      </c>
      <c r="B178" s="8" t="s">
        <v>4</v>
      </c>
      <c r="C178" s="87" t="s">
        <v>121</v>
      </c>
      <c r="D178" s="56" t="s">
        <v>121</v>
      </c>
      <c r="E178" s="88" t="s">
        <v>121</v>
      </c>
      <c r="F178" s="56" t="s">
        <v>121</v>
      </c>
      <c r="G178" s="56" t="s">
        <v>121</v>
      </c>
      <c r="H178" s="56" t="s">
        <v>121</v>
      </c>
      <c r="I178" s="56" t="s">
        <v>121</v>
      </c>
      <c r="J178" s="56" t="s">
        <v>121</v>
      </c>
      <c r="K178" s="56" t="s">
        <v>121</v>
      </c>
      <c r="L178" s="56" t="s">
        <v>121</v>
      </c>
      <c r="M178" s="56" t="s">
        <v>121</v>
      </c>
      <c r="N178" s="56" t="s">
        <v>121</v>
      </c>
      <c r="O178" s="56" t="s">
        <v>121</v>
      </c>
      <c r="P178" s="56" t="s">
        <v>121</v>
      </c>
      <c r="Q178" s="56" t="s">
        <v>121</v>
      </c>
      <c r="R178" s="56" t="s">
        <v>121</v>
      </c>
      <c r="S178" s="56" t="s">
        <v>121</v>
      </c>
      <c r="T178" s="56" t="s">
        <v>121</v>
      </c>
      <c r="U178" s="56" t="s">
        <v>121</v>
      </c>
      <c r="V178" s="56" t="s">
        <v>121</v>
      </c>
      <c r="W178" s="56" t="s">
        <v>121</v>
      </c>
      <c r="X178" s="56" t="s">
        <v>121</v>
      </c>
      <c r="Y178" s="56" t="s">
        <v>121</v>
      </c>
      <c r="Z178" s="56" t="s">
        <v>121</v>
      </c>
      <c r="AA178" s="56" t="s">
        <v>121</v>
      </c>
      <c r="AB178" s="56" t="s">
        <v>121</v>
      </c>
      <c r="AC178" s="56" t="s">
        <v>121</v>
      </c>
      <c r="AD178" s="56" t="s">
        <v>121</v>
      </c>
      <c r="AE178" s="56" t="s">
        <v>121</v>
      </c>
      <c r="AF178" s="56" t="s">
        <v>121</v>
      </c>
      <c r="AG178" s="56" t="s">
        <v>121</v>
      </c>
      <c r="AH178" s="56" t="s">
        <v>121</v>
      </c>
      <c r="AI178" s="56" t="s">
        <v>121</v>
      </c>
      <c r="AJ178" s="56" t="s">
        <v>121</v>
      </c>
      <c r="AK178" s="56" t="s">
        <v>121</v>
      </c>
      <c r="AL178" s="56" t="s">
        <v>121</v>
      </c>
      <c r="AM178" s="56" t="s">
        <v>121</v>
      </c>
      <c r="AN178" s="56" t="s">
        <v>121</v>
      </c>
      <c r="AO178" s="56" t="s">
        <v>121</v>
      </c>
      <c r="AP178" s="56" t="s">
        <v>121</v>
      </c>
      <c r="AQ178" s="56" t="s">
        <v>121</v>
      </c>
      <c r="AR178" s="56" t="s">
        <v>121</v>
      </c>
      <c r="AS178" s="56" t="s">
        <v>121</v>
      </c>
      <c r="AT178" s="56" t="s">
        <v>121</v>
      </c>
      <c r="AU178" s="56" t="s">
        <v>121</v>
      </c>
      <c r="AV178" s="56" t="s">
        <v>121</v>
      </c>
      <c r="AW178" s="56" t="s">
        <v>121</v>
      </c>
      <c r="AX178" s="56" t="s">
        <v>121</v>
      </c>
      <c r="AY178" s="56" t="s">
        <v>121</v>
      </c>
      <c r="AZ178" s="8" t="s">
        <v>121</v>
      </c>
      <c r="BA178" s="1" t="s">
        <v>121</v>
      </c>
      <c r="BB178" s="1" t="s">
        <v>121</v>
      </c>
      <c r="BC178" s="1" t="s">
        <v>121</v>
      </c>
      <c r="BD178" s="1" t="s">
        <v>121</v>
      </c>
      <c r="BE178" s="1" t="s">
        <v>121</v>
      </c>
      <c r="BF178" s="1" t="s">
        <v>121</v>
      </c>
      <c r="BG178" s="1" t="s">
        <v>121</v>
      </c>
      <c r="BH178" s="1" t="s">
        <v>121</v>
      </c>
      <c r="BI178" s="1" t="s">
        <v>121</v>
      </c>
      <c r="BJ178" s="1" t="s">
        <v>121</v>
      </c>
      <c r="BK178" s="1" t="s">
        <v>121</v>
      </c>
      <c r="BL178" s="1" t="s">
        <v>121</v>
      </c>
      <c r="BM178" s="1" t="s">
        <v>121</v>
      </c>
      <c r="BN178" s="1" t="s">
        <v>121</v>
      </c>
      <c r="BO178" s="1" t="s">
        <v>121</v>
      </c>
      <c r="BP178" s="1" t="s">
        <v>121</v>
      </c>
      <c r="BQ178" s="1" t="s">
        <v>121</v>
      </c>
      <c r="BR178" s="1" t="s">
        <v>121</v>
      </c>
      <c r="BS178" s="1" t="s">
        <v>121</v>
      </c>
      <c r="BT178" s="1" t="s">
        <v>121</v>
      </c>
      <c r="BU178" s="1" t="s">
        <v>121</v>
      </c>
      <c r="BV178" s="1" t="s">
        <v>121</v>
      </c>
      <c r="BW178" s="1" t="s">
        <v>121</v>
      </c>
      <c r="BX178" s="1" t="s">
        <v>121</v>
      </c>
      <c r="BY178" s="1" t="s">
        <v>121</v>
      </c>
      <c r="BZ178" s="1" t="s">
        <v>121</v>
      </c>
      <c r="CA178" s="1" t="s">
        <v>121</v>
      </c>
      <c r="CB178" s="1" t="s">
        <v>121</v>
      </c>
      <c r="CC178" s="1" t="s">
        <v>121</v>
      </c>
      <c r="CD178" s="1" t="s">
        <v>121</v>
      </c>
      <c r="CE178" s="1" t="s">
        <v>121</v>
      </c>
      <c r="CF178" s="1" t="s">
        <v>121</v>
      </c>
      <c r="CG178" s="1" t="s">
        <v>121</v>
      </c>
      <c r="CH178" s="1" t="s">
        <v>121</v>
      </c>
      <c r="CI178" s="1" t="s">
        <v>121</v>
      </c>
      <c r="CJ178" s="1" t="s">
        <v>121</v>
      </c>
      <c r="CK178" s="1" t="s">
        <v>121</v>
      </c>
      <c r="CL178" s="1" t="s">
        <v>121</v>
      </c>
      <c r="CM178" s="1" t="s">
        <v>121</v>
      </c>
      <c r="CN178" s="1" t="s">
        <v>121</v>
      </c>
      <c r="CO178" s="1" t="s">
        <v>121</v>
      </c>
      <c r="CP178" s="1" t="s">
        <v>121</v>
      </c>
      <c r="CQ178" s="1" t="s">
        <v>121</v>
      </c>
      <c r="CR178" s="1" t="s">
        <v>121</v>
      </c>
      <c r="CS178" s="1" t="s">
        <v>121</v>
      </c>
      <c r="CT178" s="1" t="s">
        <v>121</v>
      </c>
      <c r="CU178" s="1" t="s">
        <v>121</v>
      </c>
      <c r="CV178" s="1" t="s">
        <v>121</v>
      </c>
      <c r="CW178" s="1" t="s">
        <v>121</v>
      </c>
      <c r="CX178" s="1" t="s">
        <v>121</v>
      </c>
      <c r="CY178" s="1" t="s">
        <v>121</v>
      </c>
      <c r="CZ178" s="1" t="s">
        <v>121</v>
      </c>
      <c r="DA178" s="1" t="s">
        <v>121</v>
      </c>
      <c r="DB178" s="1" t="s">
        <v>121</v>
      </c>
      <c r="DC178" s="1" t="s">
        <v>121</v>
      </c>
      <c r="DD178" s="1" t="s">
        <v>121</v>
      </c>
      <c r="DE178" s="1" t="s">
        <v>121</v>
      </c>
      <c r="DF178" s="1" t="s">
        <v>121</v>
      </c>
      <c r="DG178" s="1" t="s">
        <v>121</v>
      </c>
      <c r="DH178" s="1" t="s">
        <v>121</v>
      </c>
      <c r="DI178" s="1" t="s">
        <v>121</v>
      </c>
      <c r="DJ178" s="1" t="s">
        <v>121</v>
      </c>
      <c r="DK178" s="1" t="s">
        <v>121</v>
      </c>
      <c r="DL178" s="1" t="s">
        <v>121</v>
      </c>
      <c r="DM178" s="1" t="s">
        <v>121</v>
      </c>
      <c r="DN178" s="1" t="s">
        <v>121</v>
      </c>
      <c r="DO178" s="1" t="s">
        <v>121</v>
      </c>
      <c r="DP178" s="1" t="s">
        <v>121</v>
      </c>
      <c r="DQ178" s="1" t="s">
        <v>121</v>
      </c>
      <c r="DR178" s="1" t="s">
        <v>121</v>
      </c>
      <c r="DS178" s="1" t="s">
        <v>121</v>
      </c>
      <c r="DT178" s="1" t="s">
        <v>121</v>
      </c>
      <c r="DU178" s="1" t="s">
        <v>121</v>
      </c>
      <c r="DV178" s="1" t="s">
        <v>121</v>
      </c>
      <c r="DW178" s="1" t="s">
        <v>121</v>
      </c>
      <c r="DX178" s="1" t="s">
        <v>121</v>
      </c>
      <c r="DY178" s="1" t="s">
        <v>121</v>
      </c>
      <c r="DZ178" s="1" t="s">
        <v>121</v>
      </c>
      <c r="EA178" s="1" t="s">
        <v>121</v>
      </c>
      <c r="EB178" s="1" t="s">
        <v>121</v>
      </c>
      <c r="EC178" s="1" t="s">
        <v>121</v>
      </c>
      <c r="ED178" s="1" t="s">
        <v>121</v>
      </c>
      <c r="EE178" s="1" t="s">
        <v>121</v>
      </c>
      <c r="EF178" s="1" t="s">
        <v>121</v>
      </c>
      <c r="EG178" s="1" t="s">
        <v>121</v>
      </c>
      <c r="EH178" s="1" t="s">
        <v>121</v>
      </c>
      <c r="EI178" s="1" t="s">
        <v>121</v>
      </c>
      <c r="EJ178" s="1" t="s">
        <v>121</v>
      </c>
      <c r="EK178" s="1" t="s">
        <v>121</v>
      </c>
      <c r="EL178" s="1" t="s">
        <v>121</v>
      </c>
      <c r="EM178" s="1" t="s">
        <v>121</v>
      </c>
      <c r="EN178" s="1" t="s">
        <v>121</v>
      </c>
      <c r="EO178" s="1" t="s">
        <v>121</v>
      </c>
      <c r="EP178" s="1" t="s">
        <v>121</v>
      </c>
      <c r="EQ178" s="1" t="s">
        <v>121</v>
      </c>
      <c r="ER178" s="1" t="s">
        <v>121</v>
      </c>
      <c r="ES178" s="1" t="s">
        <v>121</v>
      </c>
      <c r="ET178" s="1" t="s">
        <v>121</v>
      </c>
      <c r="EU178" s="1" t="s">
        <v>121</v>
      </c>
      <c r="EV178" s="1" t="s">
        <v>121</v>
      </c>
      <c r="EW178" s="1" t="s">
        <v>121</v>
      </c>
      <c r="EX178" s="1" t="s">
        <v>121</v>
      </c>
    </row>
    <row r="179" spans="1:154" x14ac:dyDescent="0.25">
      <c r="A179" s="72">
        <v>179</v>
      </c>
      <c r="B179" s="73" t="s">
        <v>409</v>
      </c>
      <c r="C179" s="91" t="s">
        <v>121</v>
      </c>
      <c r="D179" s="86" t="s">
        <v>121</v>
      </c>
      <c r="E179" s="92" t="s">
        <v>121</v>
      </c>
      <c r="F179" s="86" t="s">
        <v>121</v>
      </c>
      <c r="G179" s="86" t="s">
        <v>121</v>
      </c>
      <c r="H179" s="86" t="s">
        <v>121</v>
      </c>
      <c r="I179" s="86" t="s">
        <v>121</v>
      </c>
      <c r="J179" s="86" t="s">
        <v>121</v>
      </c>
      <c r="K179" s="86" t="s">
        <v>121</v>
      </c>
      <c r="L179" s="86" t="s">
        <v>121</v>
      </c>
      <c r="M179" s="86" t="s">
        <v>121</v>
      </c>
      <c r="N179" s="86" t="s">
        <v>121</v>
      </c>
      <c r="O179" s="86" t="s">
        <v>121</v>
      </c>
      <c r="P179" s="86" t="s">
        <v>121</v>
      </c>
      <c r="Q179" s="86" t="s">
        <v>121</v>
      </c>
      <c r="R179" s="86" t="s">
        <v>121</v>
      </c>
      <c r="S179" s="86" t="s">
        <v>121</v>
      </c>
      <c r="T179" s="86" t="s">
        <v>121</v>
      </c>
      <c r="U179" s="86" t="s">
        <v>121</v>
      </c>
      <c r="V179" s="86" t="s">
        <v>121</v>
      </c>
      <c r="W179" s="86" t="s">
        <v>121</v>
      </c>
      <c r="X179" s="86" t="s">
        <v>121</v>
      </c>
      <c r="Y179" s="86" t="s">
        <v>121</v>
      </c>
      <c r="Z179" s="86" t="s">
        <v>121</v>
      </c>
      <c r="AA179" s="86" t="s">
        <v>121</v>
      </c>
      <c r="AB179" s="86" t="s">
        <v>121</v>
      </c>
      <c r="AC179" s="86" t="s">
        <v>121</v>
      </c>
      <c r="AD179" s="86" t="s">
        <v>121</v>
      </c>
      <c r="AE179" s="86" t="s">
        <v>121</v>
      </c>
      <c r="AF179" s="86" t="s">
        <v>121</v>
      </c>
      <c r="AG179" s="86" t="s">
        <v>121</v>
      </c>
      <c r="AH179" s="86" t="s">
        <v>121</v>
      </c>
      <c r="AI179" s="86" t="s">
        <v>121</v>
      </c>
      <c r="AJ179" s="86" t="s">
        <v>121</v>
      </c>
      <c r="AK179" s="86" t="s">
        <v>121</v>
      </c>
      <c r="AL179" s="86" t="s">
        <v>121</v>
      </c>
      <c r="AM179" s="86" t="s">
        <v>121</v>
      </c>
      <c r="AN179" s="86" t="s">
        <v>121</v>
      </c>
      <c r="AO179" s="86" t="s">
        <v>121</v>
      </c>
      <c r="AP179" s="86" t="s">
        <v>121</v>
      </c>
      <c r="AQ179" s="86" t="s">
        <v>121</v>
      </c>
      <c r="AR179" s="86" t="s">
        <v>121</v>
      </c>
      <c r="AS179" s="86" t="s">
        <v>121</v>
      </c>
      <c r="AT179" s="86" t="s">
        <v>121</v>
      </c>
      <c r="AU179" s="86" t="s">
        <v>121</v>
      </c>
      <c r="AV179" s="86" t="s">
        <v>121</v>
      </c>
      <c r="AW179" s="86" t="s">
        <v>121</v>
      </c>
      <c r="AX179" s="86" t="s">
        <v>121</v>
      </c>
      <c r="AY179" s="86" t="s">
        <v>121</v>
      </c>
      <c r="AZ179" s="73" t="s">
        <v>121</v>
      </c>
      <c r="BA179" s="55" t="s">
        <v>121</v>
      </c>
      <c r="BB179" s="55" t="s">
        <v>121</v>
      </c>
      <c r="BC179" s="55" t="s">
        <v>121</v>
      </c>
      <c r="BD179" s="55" t="s">
        <v>121</v>
      </c>
      <c r="BE179" s="55" t="s">
        <v>121</v>
      </c>
      <c r="BF179" s="55" t="s">
        <v>121</v>
      </c>
      <c r="BG179" s="55" t="s">
        <v>121</v>
      </c>
      <c r="BH179" s="55" t="s">
        <v>121</v>
      </c>
      <c r="BI179" s="55" t="s">
        <v>121</v>
      </c>
      <c r="BJ179" s="55" t="s">
        <v>121</v>
      </c>
      <c r="BK179" s="55" t="s">
        <v>121</v>
      </c>
      <c r="BL179" s="55" t="s">
        <v>121</v>
      </c>
      <c r="BM179" s="1" t="s">
        <v>121</v>
      </c>
      <c r="BN179" s="1" t="s">
        <v>121</v>
      </c>
      <c r="BO179" s="1" t="s">
        <v>121</v>
      </c>
      <c r="BP179" s="1" t="s">
        <v>121</v>
      </c>
      <c r="BQ179" s="1" t="s">
        <v>121</v>
      </c>
      <c r="BR179" s="1" t="s">
        <v>121</v>
      </c>
      <c r="BS179" s="1" t="s">
        <v>121</v>
      </c>
      <c r="BT179" s="1" t="s">
        <v>121</v>
      </c>
      <c r="BU179" s="1" t="s">
        <v>121</v>
      </c>
      <c r="BV179" s="1" t="s">
        <v>121</v>
      </c>
      <c r="BW179" s="1" t="s">
        <v>121</v>
      </c>
      <c r="BX179" s="1" t="s">
        <v>121</v>
      </c>
      <c r="BY179" s="1" t="s">
        <v>121</v>
      </c>
      <c r="BZ179" s="1" t="s">
        <v>121</v>
      </c>
      <c r="CA179" s="1" t="s">
        <v>121</v>
      </c>
      <c r="CB179" s="1" t="s">
        <v>121</v>
      </c>
      <c r="CC179" s="1" t="s">
        <v>121</v>
      </c>
      <c r="CD179" s="1" t="s">
        <v>121</v>
      </c>
      <c r="CE179" s="1" t="s">
        <v>121</v>
      </c>
      <c r="CF179" s="1" t="s">
        <v>121</v>
      </c>
      <c r="CG179" s="1" t="s">
        <v>121</v>
      </c>
      <c r="CH179" s="1" t="s">
        <v>121</v>
      </c>
      <c r="CI179" s="1" t="s">
        <v>121</v>
      </c>
      <c r="CJ179" s="1" t="s">
        <v>121</v>
      </c>
      <c r="CK179" s="1" t="s">
        <v>121</v>
      </c>
      <c r="CL179" s="1" t="s">
        <v>121</v>
      </c>
      <c r="CM179" s="1" t="s">
        <v>121</v>
      </c>
      <c r="CN179" s="1" t="s">
        <v>121</v>
      </c>
      <c r="CO179" s="1" t="s">
        <v>121</v>
      </c>
      <c r="CP179" s="1" t="s">
        <v>121</v>
      </c>
      <c r="CQ179" s="1" t="s">
        <v>121</v>
      </c>
      <c r="CR179" s="1" t="s">
        <v>121</v>
      </c>
      <c r="CS179" s="1" t="s">
        <v>121</v>
      </c>
      <c r="CT179" s="1" t="s">
        <v>121</v>
      </c>
      <c r="CU179" s="1" t="s">
        <v>121</v>
      </c>
      <c r="CV179" s="1" t="s">
        <v>121</v>
      </c>
      <c r="CW179" s="1" t="s">
        <v>121</v>
      </c>
      <c r="CX179" s="1" t="s">
        <v>121</v>
      </c>
      <c r="CY179" s="1" t="s">
        <v>121</v>
      </c>
      <c r="CZ179" s="1" t="s">
        <v>121</v>
      </c>
      <c r="DA179" s="1" t="s">
        <v>121</v>
      </c>
      <c r="DB179" s="1" t="s">
        <v>121</v>
      </c>
      <c r="DC179" s="1" t="s">
        <v>121</v>
      </c>
      <c r="DD179" s="1" t="s">
        <v>121</v>
      </c>
      <c r="DE179" s="1" t="s">
        <v>121</v>
      </c>
      <c r="DF179" s="1" t="s">
        <v>121</v>
      </c>
      <c r="DG179" s="1" t="s">
        <v>121</v>
      </c>
      <c r="DH179" s="1" t="s">
        <v>121</v>
      </c>
      <c r="DI179" s="1" t="s">
        <v>121</v>
      </c>
      <c r="DJ179" s="1" t="s">
        <v>121</v>
      </c>
      <c r="DK179" s="1" t="s">
        <v>121</v>
      </c>
      <c r="DL179" s="1" t="s">
        <v>121</v>
      </c>
      <c r="DM179" s="1" t="s">
        <v>121</v>
      </c>
      <c r="DN179" s="1" t="s">
        <v>121</v>
      </c>
      <c r="DO179" s="1" t="s">
        <v>121</v>
      </c>
      <c r="DP179" s="1" t="s">
        <v>121</v>
      </c>
      <c r="DQ179" s="1" t="s">
        <v>121</v>
      </c>
      <c r="DR179" s="1" t="s">
        <v>121</v>
      </c>
      <c r="DS179" s="1" t="s">
        <v>121</v>
      </c>
      <c r="DT179" s="1" t="s">
        <v>121</v>
      </c>
      <c r="DU179" s="1" t="s">
        <v>121</v>
      </c>
      <c r="DV179" s="1" t="s">
        <v>121</v>
      </c>
      <c r="DW179" s="1" t="s">
        <v>121</v>
      </c>
      <c r="DX179" s="1" t="s">
        <v>121</v>
      </c>
      <c r="DY179" s="1" t="s">
        <v>121</v>
      </c>
      <c r="DZ179" s="1" t="s">
        <v>121</v>
      </c>
      <c r="EA179" s="1" t="s">
        <v>121</v>
      </c>
      <c r="EB179" s="1" t="s">
        <v>121</v>
      </c>
      <c r="EC179" s="1" t="s">
        <v>121</v>
      </c>
      <c r="ED179" s="1" t="s">
        <v>121</v>
      </c>
      <c r="EE179" s="1" t="s">
        <v>121</v>
      </c>
      <c r="EF179" s="1" t="s">
        <v>121</v>
      </c>
      <c r="EG179" s="1" t="s">
        <v>121</v>
      </c>
      <c r="EH179" s="1" t="s">
        <v>121</v>
      </c>
      <c r="EI179" s="1" t="s">
        <v>121</v>
      </c>
      <c r="EJ179" s="1" t="s">
        <v>121</v>
      </c>
      <c r="EK179" s="1" t="s">
        <v>121</v>
      </c>
      <c r="EL179" s="1" t="s">
        <v>121</v>
      </c>
      <c r="EM179" s="1" t="s">
        <v>121</v>
      </c>
      <c r="EN179" s="1" t="s">
        <v>121</v>
      </c>
      <c r="EO179" s="1" t="s">
        <v>121</v>
      </c>
      <c r="EP179" s="1" t="s">
        <v>121</v>
      </c>
      <c r="EQ179" s="1" t="s">
        <v>121</v>
      </c>
      <c r="ER179" s="1" t="s">
        <v>121</v>
      </c>
      <c r="ES179" s="1" t="s">
        <v>121</v>
      </c>
      <c r="ET179" s="1" t="s">
        <v>121</v>
      </c>
      <c r="EU179" s="1" t="s">
        <v>121</v>
      </c>
      <c r="EV179" s="1" t="s">
        <v>121</v>
      </c>
      <c r="EW179" s="1" t="s">
        <v>121</v>
      </c>
      <c r="EX179" s="1" t="s">
        <v>121</v>
      </c>
    </row>
    <row r="180" spans="1:154" x14ac:dyDescent="0.25">
      <c r="A180" s="72">
        <v>180</v>
      </c>
      <c r="B180" s="74" t="s">
        <v>315</v>
      </c>
      <c r="C180" s="91" t="s">
        <v>121</v>
      </c>
      <c r="D180" s="86" t="s">
        <v>121</v>
      </c>
      <c r="E180" s="92">
        <v>0.40721719821864966</v>
      </c>
      <c r="F180" s="77">
        <v>113440</v>
      </c>
      <c r="G180" s="77">
        <v>74850</v>
      </c>
      <c r="H180" s="77">
        <v>36909</v>
      </c>
      <c r="I180" s="77">
        <v>115827</v>
      </c>
      <c r="J180" s="77">
        <v>80613</v>
      </c>
      <c r="K180" s="77">
        <v>51851</v>
      </c>
      <c r="L180" s="77">
        <v>25571</v>
      </c>
      <c r="M180" s="77">
        <v>62283</v>
      </c>
      <c r="N180" s="77">
        <v>40949</v>
      </c>
      <c r="O180" s="77">
        <v>25381</v>
      </c>
      <c r="P180" s="77">
        <v>11974</v>
      </c>
      <c r="Q180" s="405"/>
      <c r="R180" s="405"/>
      <c r="S180" s="405"/>
      <c r="T180" s="405"/>
      <c r="U180" s="77">
        <v>37610.683000000005</v>
      </c>
      <c r="V180" s="77">
        <v>26627</v>
      </c>
      <c r="W180" s="77">
        <v>17017</v>
      </c>
      <c r="X180" s="77">
        <v>8186</v>
      </c>
      <c r="Y180" s="77">
        <v>35650</v>
      </c>
      <c r="Z180" s="77">
        <v>26374.927</v>
      </c>
      <c r="AA180" s="77">
        <v>17945.561000000002</v>
      </c>
      <c r="AB180" s="77">
        <v>9009.3619999999992</v>
      </c>
      <c r="AC180" s="77">
        <v>36204.634000000005</v>
      </c>
      <c r="AD180" s="77">
        <v>26756.856000000003</v>
      </c>
      <c r="AE180" s="77">
        <v>17632.150000000001</v>
      </c>
      <c r="AF180" s="77">
        <v>8655.6029999999992</v>
      </c>
      <c r="AG180" s="77">
        <v>32625.526000000005</v>
      </c>
      <c r="AH180" s="77">
        <v>24190.714</v>
      </c>
      <c r="AI180" s="77">
        <v>15770.518</v>
      </c>
      <c r="AJ180" s="77">
        <v>7832.9410000000007</v>
      </c>
      <c r="AK180" s="77">
        <v>35390.493999999999</v>
      </c>
      <c r="AL180" s="77">
        <v>26860.241000000002</v>
      </c>
      <c r="AM180" s="77">
        <v>17874.807000000001</v>
      </c>
      <c r="AN180" s="77">
        <v>8805.4369999999999</v>
      </c>
      <c r="AO180" s="77">
        <v>38829.724000000002</v>
      </c>
      <c r="AP180" s="77">
        <v>29252.612000000001</v>
      </c>
      <c r="AQ180" s="77">
        <v>19403.124</v>
      </c>
      <c r="AR180" s="77">
        <v>9534.9699999999993</v>
      </c>
      <c r="AS180" s="77">
        <v>38952.184000000001</v>
      </c>
      <c r="AT180" s="77">
        <v>28688.618999999999</v>
      </c>
      <c r="AU180" s="77">
        <v>18891.260999999999</v>
      </c>
      <c r="AV180" s="77">
        <v>9191.1270000000004</v>
      </c>
      <c r="AW180" s="77">
        <v>30443.538</v>
      </c>
      <c r="AX180" s="77">
        <v>22001.971000000001</v>
      </c>
      <c r="AY180" s="77">
        <v>14365.028</v>
      </c>
      <c r="AZ180" s="55">
        <v>6985.7820000000002</v>
      </c>
      <c r="BA180" s="55">
        <v>25620.647000000001</v>
      </c>
      <c r="BB180" s="55">
        <v>18758.97</v>
      </c>
      <c r="BC180" s="55">
        <v>12089.486999999999</v>
      </c>
      <c r="BD180" s="55">
        <v>5817.7290000000003</v>
      </c>
      <c r="BE180" s="55">
        <v>22833.895</v>
      </c>
      <c r="BF180" s="55">
        <v>16768.713</v>
      </c>
      <c r="BG180" s="55">
        <v>11102.191999999999</v>
      </c>
      <c r="BH180" s="55">
        <v>5351.8969999999999</v>
      </c>
      <c r="BI180" s="55">
        <v>21954.53</v>
      </c>
      <c r="BJ180" s="55">
        <v>16450.704000000002</v>
      </c>
      <c r="BK180" s="55">
        <v>10806.412</v>
      </c>
      <c r="BL180" s="55">
        <v>5271.83</v>
      </c>
      <c r="BM180" s="1">
        <v>21189.034</v>
      </c>
      <c r="BN180" s="1">
        <v>16051.111000000001</v>
      </c>
      <c r="BO180" s="1">
        <v>10990.652</v>
      </c>
      <c r="BP180" s="1">
        <v>5685.9579999999996</v>
      </c>
      <c r="BQ180" s="1" t="s">
        <v>121</v>
      </c>
      <c r="BR180" s="1" t="s">
        <v>121</v>
      </c>
      <c r="BS180" s="1" t="s">
        <v>121</v>
      </c>
      <c r="BT180" s="1" t="s">
        <v>121</v>
      </c>
      <c r="BU180" s="1" t="s">
        <v>121</v>
      </c>
      <c r="BV180" s="1" t="s">
        <v>121</v>
      </c>
      <c r="BW180" s="1" t="s">
        <v>121</v>
      </c>
      <c r="BX180" s="1" t="s">
        <v>121</v>
      </c>
      <c r="BY180" s="1" t="s">
        <v>121</v>
      </c>
      <c r="BZ180" s="1" t="s">
        <v>121</v>
      </c>
      <c r="CA180" s="1" t="s">
        <v>121</v>
      </c>
      <c r="CB180" s="1" t="s">
        <v>121</v>
      </c>
      <c r="CC180" s="1" t="s">
        <v>121</v>
      </c>
      <c r="CD180" s="1" t="s">
        <v>121</v>
      </c>
      <c r="CE180" s="1" t="s">
        <v>121</v>
      </c>
      <c r="CF180" s="1" t="s">
        <v>121</v>
      </c>
      <c r="CG180" s="1" t="s">
        <v>121</v>
      </c>
      <c r="CH180" s="1" t="s">
        <v>121</v>
      </c>
      <c r="CI180" s="1" t="s">
        <v>121</v>
      </c>
      <c r="CJ180" s="1" t="s">
        <v>121</v>
      </c>
      <c r="CK180" s="1" t="s">
        <v>121</v>
      </c>
      <c r="CL180" s="1" t="s">
        <v>121</v>
      </c>
      <c r="CM180" s="1" t="s">
        <v>121</v>
      </c>
      <c r="CN180" s="1" t="s">
        <v>121</v>
      </c>
      <c r="CO180" s="1" t="s">
        <v>121</v>
      </c>
      <c r="CP180" s="1" t="s">
        <v>121</v>
      </c>
      <c r="CQ180" s="1" t="s">
        <v>121</v>
      </c>
      <c r="CR180" s="1" t="s">
        <v>121</v>
      </c>
      <c r="CS180" s="1" t="s">
        <v>121</v>
      </c>
      <c r="CT180" s="1" t="s">
        <v>121</v>
      </c>
      <c r="CU180" s="1" t="s">
        <v>121</v>
      </c>
      <c r="CV180" s="1" t="s">
        <v>121</v>
      </c>
      <c r="CW180" s="1" t="s">
        <v>121</v>
      </c>
      <c r="CX180" s="1" t="s">
        <v>121</v>
      </c>
      <c r="CY180" s="1" t="s">
        <v>121</v>
      </c>
      <c r="CZ180" s="1" t="s">
        <v>121</v>
      </c>
      <c r="DA180" s="1" t="s">
        <v>121</v>
      </c>
      <c r="DB180" s="1" t="s">
        <v>121</v>
      </c>
      <c r="DC180" s="1" t="s">
        <v>121</v>
      </c>
      <c r="DD180" s="1" t="s">
        <v>121</v>
      </c>
      <c r="DE180" s="1" t="s">
        <v>121</v>
      </c>
      <c r="DF180" s="1" t="s">
        <v>121</v>
      </c>
      <c r="DG180" s="1" t="s">
        <v>121</v>
      </c>
      <c r="DH180" s="1" t="s">
        <v>121</v>
      </c>
      <c r="DI180" s="1" t="s">
        <v>121</v>
      </c>
      <c r="DJ180" s="1" t="s">
        <v>121</v>
      </c>
      <c r="DK180" s="1" t="s">
        <v>121</v>
      </c>
      <c r="DL180" s="1" t="s">
        <v>121</v>
      </c>
      <c r="DM180" s="1" t="s">
        <v>121</v>
      </c>
      <c r="DN180" s="1" t="s">
        <v>121</v>
      </c>
      <c r="DO180" s="1" t="s">
        <v>121</v>
      </c>
      <c r="DP180" s="1" t="s">
        <v>121</v>
      </c>
      <c r="DQ180" s="1" t="s">
        <v>121</v>
      </c>
      <c r="DR180" s="1" t="s">
        <v>121</v>
      </c>
      <c r="DS180" s="1" t="s">
        <v>121</v>
      </c>
      <c r="DT180" s="1" t="s">
        <v>121</v>
      </c>
      <c r="DU180" s="1" t="s">
        <v>121</v>
      </c>
      <c r="DV180" s="1" t="s">
        <v>121</v>
      </c>
      <c r="DW180" s="1" t="s">
        <v>121</v>
      </c>
      <c r="DX180" s="1" t="s">
        <v>121</v>
      </c>
      <c r="DY180" s="1" t="s">
        <v>121</v>
      </c>
      <c r="DZ180" s="1" t="s">
        <v>121</v>
      </c>
      <c r="EA180" s="1" t="s">
        <v>121</v>
      </c>
      <c r="EB180" s="1" t="s">
        <v>121</v>
      </c>
      <c r="EC180" s="1" t="s">
        <v>121</v>
      </c>
      <c r="ED180" s="1" t="s">
        <v>121</v>
      </c>
      <c r="EE180" s="1" t="s">
        <v>121</v>
      </c>
      <c r="EF180" s="1" t="s">
        <v>121</v>
      </c>
      <c r="EG180" s="1" t="s">
        <v>121</v>
      </c>
      <c r="EH180" s="1" t="s">
        <v>121</v>
      </c>
      <c r="EI180" s="1" t="s">
        <v>121</v>
      </c>
      <c r="EJ180" s="1" t="s">
        <v>121</v>
      </c>
      <c r="EK180" s="1" t="s">
        <v>121</v>
      </c>
      <c r="EL180" s="1" t="s">
        <v>121</v>
      </c>
      <c r="EM180" s="1" t="s">
        <v>121</v>
      </c>
      <c r="EN180" s="1" t="s">
        <v>121</v>
      </c>
      <c r="EO180" s="1" t="s">
        <v>121</v>
      </c>
      <c r="EP180" s="1" t="s">
        <v>121</v>
      </c>
      <c r="EQ180" s="1" t="s">
        <v>121</v>
      </c>
      <c r="ER180" s="1" t="s">
        <v>121</v>
      </c>
      <c r="ES180" s="1" t="s">
        <v>121</v>
      </c>
      <c r="ET180" s="1" t="s">
        <v>121</v>
      </c>
      <c r="EU180" s="1" t="s">
        <v>121</v>
      </c>
      <c r="EV180" s="1" t="s">
        <v>121</v>
      </c>
      <c r="EW180" s="1" t="s">
        <v>121</v>
      </c>
      <c r="EX180" s="1" t="s">
        <v>121</v>
      </c>
    </row>
    <row r="181" spans="1:154" x14ac:dyDescent="0.25">
      <c r="A181" s="72">
        <v>181</v>
      </c>
      <c r="B181" s="129" t="s">
        <v>319</v>
      </c>
      <c r="C181" s="91" t="s">
        <v>121</v>
      </c>
      <c r="D181" s="86" t="s">
        <v>121</v>
      </c>
      <c r="E181" s="92">
        <v>0.4398640296662546</v>
      </c>
      <c r="F181" s="313">
        <v>93188</v>
      </c>
      <c r="G181" s="313">
        <v>61702</v>
      </c>
      <c r="H181" s="313">
        <v>30373</v>
      </c>
      <c r="I181" s="313">
        <v>94025</v>
      </c>
      <c r="J181" s="313">
        <v>64720</v>
      </c>
      <c r="K181" s="313">
        <v>41385</v>
      </c>
      <c r="L181" s="313">
        <v>20206</v>
      </c>
      <c r="M181" s="313">
        <v>46943</v>
      </c>
      <c r="N181" s="313">
        <v>30001</v>
      </c>
      <c r="O181" s="313">
        <v>18343</v>
      </c>
      <c r="P181" s="313">
        <v>8542</v>
      </c>
      <c r="Q181" s="405"/>
      <c r="R181" s="405"/>
      <c r="S181" s="405"/>
      <c r="T181" s="405"/>
      <c r="U181" s="313">
        <v>24904.683000000001</v>
      </c>
      <c r="V181" s="77">
        <v>17342</v>
      </c>
      <c r="W181" s="77">
        <v>11043</v>
      </c>
      <c r="X181" s="77">
        <v>5333</v>
      </c>
      <c r="Y181" s="77">
        <v>23839</v>
      </c>
      <c r="Z181" s="77">
        <v>17349.376</v>
      </c>
      <c r="AA181" s="77">
        <v>11843.055</v>
      </c>
      <c r="AB181" s="77">
        <v>5937.1809999999996</v>
      </c>
      <c r="AC181" s="77">
        <v>24039.798000000003</v>
      </c>
      <c r="AD181" s="77">
        <v>17646.821000000004</v>
      </c>
      <c r="AE181" s="77">
        <v>11701.67</v>
      </c>
      <c r="AF181" s="77">
        <v>5624.07</v>
      </c>
      <c r="AG181" s="77">
        <v>21661.300000000003</v>
      </c>
      <c r="AH181" s="77">
        <v>16542.077000000001</v>
      </c>
      <c r="AI181" s="77">
        <v>10800.227999999999</v>
      </c>
      <c r="AJ181" s="77">
        <v>5392.2510000000002</v>
      </c>
      <c r="AK181" s="77">
        <v>26842.583999999999</v>
      </c>
      <c r="AL181" s="77">
        <v>20696.181</v>
      </c>
      <c r="AM181" s="77">
        <v>13998.294</v>
      </c>
      <c r="AN181" s="77">
        <v>7057.7979999999998</v>
      </c>
      <c r="AO181" s="77">
        <v>30631.085000000003</v>
      </c>
      <c r="AP181" s="77">
        <v>23042.024000000001</v>
      </c>
      <c r="AQ181" s="77">
        <v>15539.381000000001</v>
      </c>
      <c r="AR181" s="77">
        <v>7338.02</v>
      </c>
      <c r="AS181" s="77">
        <v>31912.992999999999</v>
      </c>
      <c r="AT181" s="77">
        <v>23524.102999999999</v>
      </c>
      <c r="AU181" s="77">
        <v>15484.977999999999</v>
      </c>
      <c r="AV181" s="77">
        <v>7452.4260000000004</v>
      </c>
      <c r="AW181" s="77">
        <v>24286.292000000001</v>
      </c>
      <c r="AX181" s="77">
        <v>17562.249</v>
      </c>
      <c r="AY181" s="77">
        <v>11486.897000000001</v>
      </c>
      <c r="AZ181" s="55">
        <v>5608.9170000000004</v>
      </c>
      <c r="BA181" s="55" t="s">
        <v>121</v>
      </c>
      <c r="BB181" s="55" t="s">
        <v>121</v>
      </c>
      <c r="BC181" s="55" t="s">
        <v>121</v>
      </c>
      <c r="BD181" s="55" t="s">
        <v>121</v>
      </c>
      <c r="BE181" s="55" t="s">
        <v>121</v>
      </c>
      <c r="BF181" s="55" t="s">
        <v>121</v>
      </c>
      <c r="BG181" s="55" t="s">
        <v>121</v>
      </c>
      <c r="BH181" s="55" t="s">
        <v>121</v>
      </c>
      <c r="BI181" s="55" t="s">
        <v>121</v>
      </c>
      <c r="BJ181" s="55" t="s">
        <v>121</v>
      </c>
      <c r="BK181" s="55" t="s">
        <v>121</v>
      </c>
      <c r="BL181" s="55" t="s">
        <v>121</v>
      </c>
      <c r="BM181" s="1" t="s">
        <v>121</v>
      </c>
      <c r="BN181" s="1" t="s">
        <v>121</v>
      </c>
      <c r="BO181" s="1" t="s">
        <v>121</v>
      </c>
      <c r="BP181" s="1" t="s">
        <v>121</v>
      </c>
      <c r="BQ181" s="1" t="s">
        <v>121</v>
      </c>
      <c r="BR181" s="1" t="s">
        <v>121</v>
      </c>
      <c r="BS181" s="1" t="s">
        <v>121</v>
      </c>
      <c r="BT181" s="1" t="s">
        <v>121</v>
      </c>
      <c r="BU181" s="1" t="s">
        <v>121</v>
      </c>
      <c r="BV181" s="1" t="s">
        <v>121</v>
      </c>
      <c r="BW181" s="1" t="s">
        <v>121</v>
      </c>
      <c r="BX181" s="1" t="s">
        <v>121</v>
      </c>
      <c r="BY181" s="1" t="s">
        <v>121</v>
      </c>
      <c r="BZ181" s="1" t="s">
        <v>121</v>
      </c>
      <c r="CA181" s="1" t="s">
        <v>121</v>
      </c>
      <c r="CB181" s="1" t="s">
        <v>121</v>
      </c>
      <c r="CC181" s="1" t="s">
        <v>121</v>
      </c>
      <c r="CD181" s="1" t="s">
        <v>121</v>
      </c>
      <c r="CE181" s="1" t="s">
        <v>121</v>
      </c>
      <c r="CF181" s="1" t="s">
        <v>121</v>
      </c>
      <c r="CG181" s="1" t="s">
        <v>121</v>
      </c>
      <c r="CH181" s="1" t="s">
        <v>121</v>
      </c>
      <c r="CI181" s="1" t="s">
        <v>121</v>
      </c>
      <c r="CJ181" s="1" t="s">
        <v>121</v>
      </c>
      <c r="CK181" s="1" t="s">
        <v>121</v>
      </c>
      <c r="CL181" s="1" t="s">
        <v>121</v>
      </c>
      <c r="CM181" s="1" t="s">
        <v>121</v>
      </c>
      <c r="CN181" s="1" t="s">
        <v>121</v>
      </c>
      <c r="CO181" s="1" t="s">
        <v>121</v>
      </c>
      <c r="CP181" s="1" t="s">
        <v>121</v>
      </c>
      <c r="CQ181" s="1" t="s">
        <v>121</v>
      </c>
      <c r="CR181" s="1" t="s">
        <v>121</v>
      </c>
      <c r="CS181" s="1" t="s">
        <v>121</v>
      </c>
      <c r="CT181" s="1" t="s">
        <v>121</v>
      </c>
      <c r="CU181" s="1" t="s">
        <v>121</v>
      </c>
      <c r="CV181" s="1" t="s">
        <v>121</v>
      </c>
      <c r="CW181" s="1" t="s">
        <v>121</v>
      </c>
      <c r="CX181" s="1" t="s">
        <v>121</v>
      </c>
      <c r="CY181" s="1" t="s">
        <v>121</v>
      </c>
      <c r="CZ181" s="1" t="s">
        <v>121</v>
      </c>
      <c r="DA181" s="1" t="s">
        <v>121</v>
      </c>
      <c r="DB181" s="1" t="s">
        <v>121</v>
      </c>
      <c r="DC181" s="1" t="s">
        <v>121</v>
      </c>
      <c r="DD181" s="1" t="s">
        <v>121</v>
      </c>
      <c r="DE181" s="1" t="s">
        <v>121</v>
      </c>
      <c r="DF181" s="1" t="s">
        <v>121</v>
      </c>
      <c r="DG181" s="1" t="s">
        <v>121</v>
      </c>
      <c r="DH181" s="1" t="s">
        <v>121</v>
      </c>
      <c r="DI181" s="1" t="s">
        <v>121</v>
      </c>
      <c r="DJ181" s="1" t="s">
        <v>121</v>
      </c>
      <c r="DK181" s="1" t="s">
        <v>121</v>
      </c>
      <c r="DL181" s="1" t="s">
        <v>121</v>
      </c>
      <c r="DM181" s="1" t="s">
        <v>121</v>
      </c>
      <c r="DN181" s="1" t="s">
        <v>121</v>
      </c>
      <c r="DO181" s="1" t="s">
        <v>121</v>
      </c>
      <c r="DP181" s="1" t="s">
        <v>121</v>
      </c>
      <c r="DQ181" s="1" t="s">
        <v>121</v>
      </c>
      <c r="DR181" s="1" t="s">
        <v>121</v>
      </c>
      <c r="DS181" s="1" t="s">
        <v>121</v>
      </c>
      <c r="DT181" s="1" t="s">
        <v>121</v>
      </c>
      <c r="DU181" s="1" t="s">
        <v>121</v>
      </c>
      <c r="DV181" s="1" t="s">
        <v>121</v>
      </c>
      <c r="DW181" s="1" t="s">
        <v>121</v>
      </c>
      <c r="DX181" s="1" t="s">
        <v>121</v>
      </c>
      <c r="DY181" s="1" t="s">
        <v>121</v>
      </c>
      <c r="DZ181" s="1" t="s">
        <v>121</v>
      </c>
      <c r="EA181" s="1" t="s">
        <v>121</v>
      </c>
      <c r="EB181" s="1" t="s">
        <v>121</v>
      </c>
      <c r="EC181" s="1" t="s">
        <v>121</v>
      </c>
      <c r="ED181" s="1" t="s">
        <v>121</v>
      </c>
      <c r="EE181" s="1" t="s">
        <v>121</v>
      </c>
      <c r="EF181" s="1" t="s">
        <v>121</v>
      </c>
      <c r="EG181" s="1" t="s">
        <v>121</v>
      </c>
      <c r="EH181" s="1" t="s">
        <v>121</v>
      </c>
      <c r="EI181" s="1" t="s">
        <v>121</v>
      </c>
      <c r="EJ181" s="1" t="s">
        <v>121</v>
      </c>
      <c r="EK181" s="1" t="s">
        <v>121</v>
      </c>
      <c r="EL181" s="1" t="s">
        <v>121</v>
      </c>
      <c r="EM181" s="1" t="s">
        <v>121</v>
      </c>
      <c r="EN181" s="1" t="s">
        <v>121</v>
      </c>
      <c r="EO181" s="1" t="s">
        <v>121</v>
      </c>
      <c r="EP181" s="1" t="s">
        <v>121</v>
      </c>
      <c r="EQ181" s="1" t="s">
        <v>121</v>
      </c>
      <c r="ER181" s="1" t="s">
        <v>121</v>
      </c>
      <c r="ES181" s="1" t="s">
        <v>121</v>
      </c>
      <c r="ET181" s="1" t="s">
        <v>121</v>
      </c>
      <c r="EU181" s="1" t="s">
        <v>121</v>
      </c>
      <c r="EV181" s="1" t="s">
        <v>121</v>
      </c>
      <c r="EW181" s="1" t="s">
        <v>121</v>
      </c>
      <c r="EX181" s="1" t="s">
        <v>121</v>
      </c>
    </row>
    <row r="182" spans="1:154" s="280" customFormat="1" ht="30" customHeight="1" x14ac:dyDescent="0.25">
      <c r="A182" s="72">
        <v>182</v>
      </c>
      <c r="B182" s="357" t="s">
        <v>446</v>
      </c>
      <c r="C182" s="91" t="s">
        <v>121</v>
      </c>
      <c r="D182" s="86" t="s">
        <v>121</v>
      </c>
      <c r="E182" s="92" t="s">
        <v>121</v>
      </c>
      <c r="F182" s="302">
        <v>1153</v>
      </c>
      <c r="G182" s="302">
        <v>775</v>
      </c>
      <c r="H182" s="302">
        <v>352</v>
      </c>
      <c r="I182" s="302">
        <v>1444</v>
      </c>
      <c r="J182" s="302">
        <v>1045</v>
      </c>
      <c r="K182" s="302">
        <v>698</v>
      </c>
      <c r="L182" s="302">
        <v>383</v>
      </c>
      <c r="M182" s="302">
        <v>1326</v>
      </c>
      <c r="N182" s="302">
        <v>908</v>
      </c>
      <c r="O182" s="302">
        <v>570</v>
      </c>
      <c r="P182" s="302">
        <v>283</v>
      </c>
      <c r="Q182" s="405"/>
      <c r="R182" s="405"/>
      <c r="S182" s="405"/>
      <c r="T182" s="405"/>
      <c r="U182" s="302">
        <v>662</v>
      </c>
      <c r="V182" s="302">
        <v>425</v>
      </c>
      <c r="W182" s="302">
        <v>241</v>
      </c>
      <c r="X182" s="281">
        <v>127</v>
      </c>
      <c r="Y182" s="281">
        <v>623</v>
      </c>
      <c r="Z182" s="281">
        <v>482.93900000000002</v>
      </c>
      <c r="AA182" s="281">
        <v>330.45800000000003</v>
      </c>
      <c r="AB182" s="281">
        <v>175.71600000000001</v>
      </c>
      <c r="AC182" s="281">
        <v>276.762</v>
      </c>
      <c r="AD182" s="281">
        <v>146.61600000000001</v>
      </c>
      <c r="AE182" s="281">
        <v>70.132000000000005</v>
      </c>
      <c r="AF182" s="77">
        <v>3.4710000000000001</v>
      </c>
      <c r="AG182" s="77">
        <v>301.41800000000001</v>
      </c>
      <c r="AH182" s="281">
        <v>285.39999999999998</v>
      </c>
      <c r="AI182" s="281">
        <v>60.921999999999997</v>
      </c>
      <c r="AJ182" s="281" t="s">
        <v>121</v>
      </c>
      <c r="AK182" s="281" t="s">
        <v>121</v>
      </c>
      <c r="AL182" s="281" t="s">
        <v>121</v>
      </c>
      <c r="AM182" s="281" t="s">
        <v>121</v>
      </c>
      <c r="AN182" s="281" t="s">
        <v>121</v>
      </c>
      <c r="AO182" s="281" t="s">
        <v>121</v>
      </c>
      <c r="AP182" s="281" t="s">
        <v>121</v>
      </c>
      <c r="AQ182" s="281" t="s">
        <v>121</v>
      </c>
      <c r="AR182" s="281" t="s">
        <v>121</v>
      </c>
      <c r="AS182" s="281" t="s">
        <v>121</v>
      </c>
      <c r="AT182" s="281" t="s">
        <v>121</v>
      </c>
      <c r="AU182" s="281" t="s">
        <v>121</v>
      </c>
      <c r="AV182" s="281" t="s">
        <v>121</v>
      </c>
      <c r="AW182" s="281" t="s">
        <v>121</v>
      </c>
      <c r="AX182" s="281" t="s">
        <v>121</v>
      </c>
      <c r="AY182" s="281" t="s">
        <v>121</v>
      </c>
      <c r="AZ182" s="282" t="s">
        <v>121</v>
      </c>
      <c r="BA182" s="282" t="s">
        <v>121</v>
      </c>
      <c r="BB182" s="282" t="s">
        <v>121</v>
      </c>
      <c r="BC182" s="282" t="s">
        <v>121</v>
      </c>
      <c r="BD182" s="282" t="s">
        <v>121</v>
      </c>
      <c r="BE182" s="282" t="s">
        <v>121</v>
      </c>
      <c r="BF182" s="282" t="s">
        <v>121</v>
      </c>
      <c r="BG182" s="282" t="s">
        <v>121</v>
      </c>
      <c r="BH182" s="282" t="s">
        <v>121</v>
      </c>
      <c r="BI182" s="282" t="s">
        <v>121</v>
      </c>
      <c r="BJ182" s="282" t="s">
        <v>121</v>
      </c>
      <c r="BK182" s="282" t="s">
        <v>121</v>
      </c>
      <c r="BL182" s="282" t="s">
        <v>121</v>
      </c>
      <c r="BM182" s="280" t="s">
        <v>121</v>
      </c>
      <c r="BN182" s="280" t="s">
        <v>121</v>
      </c>
      <c r="BO182" s="280" t="s">
        <v>121</v>
      </c>
      <c r="BP182" s="280" t="s">
        <v>121</v>
      </c>
      <c r="BQ182" s="280" t="s">
        <v>121</v>
      </c>
      <c r="BR182" s="280" t="s">
        <v>121</v>
      </c>
      <c r="BS182" s="280" t="s">
        <v>121</v>
      </c>
      <c r="BT182" s="280" t="s">
        <v>121</v>
      </c>
      <c r="BU182" s="280" t="s">
        <v>121</v>
      </c>
      <c r="BV182" s="280" t="s">
        <v>121</v>
      </c>
      <c r="BW182" s="280" t="s">
        <v>121</v>
      </c>
      <c r="BX182" s="280" t="s">
        <v>121</v>
      </c>
      <c r="BY182" s="280" t="s">
        <v>121</v>
      </c>
      <c r="BZ182" s="280" t="s">
        <v>121</v>
      </c>
      <c r="CA182" s="280" t="s">
        <v>121</v>
      </c>
      <c r="CB182" s="280" t="s">
        <v>121</v>
      </c>
      <c r="CC182" s="280" t="s">
        <v>121</v>
      </c>
      <c r="CD182" s="280" t="s">
        <v>121</v>
      </c>
      <c r="CE182" s="280" t="s">
        <v>121</v>
      </c>
      <c r="CF182" s="280" t="s">
        <v>121</v>
      </c>
      <c r="CG182" s="280" t="s">
        <v>121</v>
      </c>
      <c r="CH182" s="280" t="s">
        <v>121</v>
      </c>
      <c r="CI182" s="280" t="s">
        <v>121</v>
      </c>
      <c r="CJ182" s="280" t="s">
        <v>121</v>
      </c>
      <c r="CK182" s="280" t="s">
        <v>121</v>
      </c>
      <c r="CL182" s="280" t="s">
        <v>121</v>
      </c>
      <c r="CM182" s="280" t="s">
        <v>121</v>
      </c>
      <c r="CN182" s="280" t="s">
        <v>121</v>
      </c>
      <c r="CO182" s="280" t="s">
        <v>121</v>
      </c>
      <c r="CP182" s="280" t="s">
        <v>121</v>
      </c>
      <c r="CQ182" s="280" t="s">
        <v>121</v>
      </c>
      <c r="CR182" s="280" t="s">
        <v>121</v>
      </c>
      <c r="CS182" s="280" t="s">
        <v>121</v>
      </c>
      <c r="CT182" s="280" t="s">
        <v>121</v>
      </c>
      <c r="CU182" s="280" t="s">
        <v>121</v>
      </c>
      <c r="CV182" s="280" t="s">
        <v>121</v>
      </c>
      <c r="CW182" s="280" t="s">
        <v>121</v>
      </c>
      <c r="CX182" s="280" t="s">
        <v>121</v>
      </c>
      <c r="CY182" s="280" t="s">
        <v>121</v>
      </c>
      <c r="CZ182" s="280" t="s">
        <v>121</v>
      </c>
      <c r="DA182" s="280" t="s">
        <v>121</v>
      </c>
      <c r="DB182" s="280" t="s">
        <v>121</v>
      </c>
      <c r="DC182" s="280" t="s">
        <v>121</v>
      </c>
      <c r="DD182" s="280" t="s">
        <v>121</v>
      </c>
      <c r="DE182" s="280" t="s">
        <v>121</v>
      </c>
      <c r="DF182" s="280" t="s">
        <v>121</v>
      </c>
      <c r="DG182" s="280" t="s">
        <v>121</v>
      </c>
      <c r="DH182" s="280" t="s">
        <v>121</v>
      </c>
      <c r="DI182" s="280" t="s">
        <v>121</v>
      </c>
      <c r="DJ182" s="280" t="s">
        <v>121</v>
      </c>
      <c r="DK182" s="280" t="s">
        <v>121</v>
      </c>
      <c r="DL182" s="280" t="s">
        <v>121</v>
      </c>
      <c r="DM182" s="280" t="s">
        <v>121</v>
      </c>
      <c r="DN182" s="280" t="s">
        <v>121</v>
      </c>
      <c r="DO182" s="280" t="s">
        <v>121</v>
      </c>
      <c r="DP182" s="280" t="s">
        <v>121</v>
      </c>
      <c r="DQ182" s="280" t="s">
        <v>121</v>
      </c>
      <c r="DR182" s="280" t="s">
        <v>121</v>
      </c>
      <c r="DS182" s="280" t="s">
        <v>121</v>
      </c>
      <c r="DT182" s="280" t="s">
        <v>121</v>
      </c>
      <c r="DU182" s="280" t="s">
        <v>121</v>
      </c>
      <c r="DV182" s="280" t="s">
        <v>121</v>
      </c>
      <c r="DW182" s="280" t="s">
        <v>121</v>
      </c>
      <c r="DX182" s="280" t="s">
        <v>121</v>
      </c>
      <c r="DY182" s="280" t="s">
        <v>121</v>
      </c>
      <c r="DZ182" s="280" t="s">
        <v>121</v>
      </c>
      <c r="EA182" s="280" t="s">
        <v>121</v>
      </c>
      <c r="EB182" s="280" t="s">
        <v>121</v>
      </c>
      <c r="EC182" s="280" t="s">
        <v>121</v>
      </c>
      <c r="ED182" s="280" t="s">
        <v>121</v>
      </c>
      <c r="EE182" s="280" t="s">
        <v>121</v>
      </c>
      <c r="EF182" s="280" t="s">
        <v>121</v>
      </c>
      <c r="EG182" s="280" t="s">
        <v>121</v>
      </c>
      <c r="EH182" s="280" t="s">
        <v>121</v>
      </c>
      <c r="EI182" s="280" t="s">
        <v>121</v>
      </c>
      <c r="EJ182" s="280" t="s">
        <v>121</v>
      </c>
      <c r="EK182" s="280" t="s">
        <v>121</v>
      </c>
      <c r="EL182" s="280" t="s">
        <v>121</v>
      </c>
      <c r="EM182" s="280" t="s">
        <v>121</v>
      </c>
      <c r="EN182" s="280" t="s">
        <v>121</v>
      </c>
      <c r="EO182" s="280" t="s">
        <v>121</v>
      </c>
      <c r="EP182" s="280" t="s">
        <v>121</v>
      </c>
      <c r="EQ182" s="280" t="s">
        <v>121</v>
      </c>
      <c r="ER182" s="280" t="s">
        <v>121</v>
      </c>
      <c r="ES182" s="280" t="s">
        <v>121</v>
      </c>
      <c r="ET182" s="280" t="s">
        <v>121</v>
      </c>
      <c r="EU182" s="280" t="s">
        <v>121</v>
      </c>
      <c r="EV182" s="280" t="s">
        <v>121</v>
      </c>
      <c r="EW182" s="280" t="s">
        <v>121</v>
      </c>
      <c r="EX182" s="280" t="s">
        <v>121</v>
      </c>
    </row>
    <row r="183" spans="1:154" x14ac:dyDescent="0.25">
      <c r="A183" s="72">
        <v>183</v>
      </c>
      <c r="B183" s="129" t="s">
        <v>6</v>
      </c>
      <c r="C183" s="91" t="s">
        <v>121</v>
      </c>
      <c r="D183" s="86" t="s">
        <v>121</v>
      </c>
      <c r="E183" s="92">
        <v>0.27427169193984779</v>
      </c>
      <c r="F183" s="313">
        <v>20252</v>
      </c>
      <c r="G183" s="313">
        <v>13148</v>
      </c>
      <c r="H183" s="313">
        <v>6536</v>
      </c>
      <c r="I183" s="313">
        <v>21802</v>
      </c>
      <c r="J183" s="313">
        <v>15893</v>
      </c>
      <c r="K183" s="313">
        <v>10466</v>
      </c>
      <c r="L183" s="313">
        <v>5365</v>
      </c>
      <c r="M183" s="313">
        <v>15340</v>
      </c>
      <c r="N183" s="313">
        <v>10948</v>
      </c>
      <c r="O183" s="313">
        <v>7038</v>
      </c>
      <c r="P183" s="313">
        <v>3432</v>
      </c>
      <c r="Q183" s="405"/>
      <c r="R183" s="405"/>
      <c r="S183" s="405"/>
      <c r="T183" s="405"/>
      <c r="U183" s="313">
        <v>12706</v>
      </c>
      <c r="V183" s="77">
        <v>9285</v>
      </c>
      <c r="W183" s="77">
        <v>5974</v>
      </c>
      <c r="X183" s="77">
        <v>2853</v>
      </c>
      <c r="Y183" s="77">
        <v>11811</v>
      </c>
      <c r="Z183" s="77">
        <v>9025.5509999999995</v>
      </c>
      <c r="AA183" s="77">
        <v>6102.5059999999994</v>
      </c>
      <c r="AB183" s="77">
        <v>3072.181</v>
      </c>
      <c r="AC183" s="77">
        <v>12164.835999999999</v>
      </c>
      <c r="AD183" s="77">
        <v>9110.0349999999999</v>
      </c>
      <c r="AE183" s="77">
        <v>5930.48</v>
      </c>
      <c r="AF183" s="77">
        <v>3031.5329999999999</v>
      </c>
      <c r="AG183" s="77">
        <v>10964.226000000001</v>
      </c>
      <c r="AH183" s="77">
        <v>7648.6369999999997</v>
      </c>
      <c r="AI183" s="77">
        <v>4970.29</v>
      </c>
      <c r="AJ183" s="77">
        <v>2440.69</v>
      </c>
      <c r="AK183" s="77">
        <v>8547.91</v>
      </c>
      <c r="AL183" s="77">
        <v>6164.06</v>
      </c>
      <c r="AM183" s="77">
        <v>3876.5129999999999</v>
      </c>
      <c r="AN183" s="77">
        <v>1747.6389999999999</v>
      </c>
      <c r="AO183" s="77">
        <v>8077.2199999999993</v>
      </c>
      <c r="AP183" s="77">
        <v>6210.5879999999997</v>
      </c>
      <c r="AQ183" s="77">
        <v>3863.7429999999995</v>
      </c>
      <c r="AR183" s="77">
        <v>2196.9499999999998</v>
      </c>
      <c r="AS183" s="77">
        <v>7039.1909999999998</v>
      </c>
      <c r="AT183" s="77">
        <v>5164.5159999999996</v>
      </c>
      <c r="AU183" s="77">
        <v>3406.2830000000004</v>
      </c>
      <c r="AV183" s="77">
        <v>1738.701</v>
      </c>
      <c r="AW183" s="77">
        <v>6157.2459999999992</v>
      </c>
      <c r="AX183" s="77">
        <v>4439.7219999999998</v>
      </c>
      <c r="AY183" s="77">
        <v>2878.1310000000003</v>
      </c>
      <c r="AZ183" s="55">
        <v>1376.865</v>
      </c>
      <c r="BA183" s="55" t="s">
        <v>121</v>
      </c>
      <c r="BB183" s="55" t="s">
        <v>121</v>
      </c>
      <c r="BC183" s="55" t="s">
        <v>121</v>
      </c>
      <c r="BD183" s="55" t="s">
        <v>121</v>
      </c>
      <c r="BE183" s="55" t="s">
        <v>121</v>
      </c>
      <c r="BF183" s="55" t="s">
        <v>121</v>
      </c>
      <c r="BG183" s="55" t="s">
        <v>121</v>
      </c>
      <c r="BH183" s="55" t="s">
        <v>121</v>
      </c>
      <c r="BI183" s="55" t="s">
        <v>121</v>
      </c>
      <c r="BJ183" s="55" t="s">
        <v>121</v>
      </c>
      <c r="BK183" s="55" t="s">
        <v>121</v>
      </c>
      <c r="BL183" s="55" t="s">
        <v>121</v>
      </c>
      <c r="BM183" s="1" t="s">
        <v>121</v>
      </c>
      <c r="BN183" s="1" t="s">
        <v>121</v>
      </c>
      <c r="BO183" s="1" t="s">
        <v>121</v>
      </c>
      <c r="BP183" s="1" t="s">
        <v>121</v>
      </c>
      <c r="BQ183" s="1" t="s">
        <v>121</v>
      </c>
      <c r="BR183" s="1" t="s">
        <v>121</v>
      </c>
      <c r="BS183" s="1" t="s">
        <v>121</v>
      </c>
      <c r="BT183" s="1" t="s">
        <v>121</v>
      </c>
      <c r="BU183" s="1" t="s">
        <v>121</v>
      </c>
      <c r="BV183" s="1" t="s">
        <v>121</v>
      </c>
      <c r="BW183" s="1" t="s">
        <v>121</v>
      </c>
      <c r="BX183" s="1" t="s">
        <v>121</v>
      </c>
      <c r="BY183" s="1" t="s">
        <v>121</v>
      </c>
      <c r="BZ183" s="1" t="s">
        <v>121</v>
      </c>
      <c r="CA183" s="1" t="s">
        <v>121</v>
      </c>
      <c r="CB183" s="1" t="s">
        <v>121</v>
      </c>
      <c r="CC183" s="1" t="s">
        <v>121</v>
      </c>
      <c r="CD183" s="1" t="s">
        <v>121</v>
      </c>
      <c r="CE183" s="1" t="s">
        <v>121</v>
      </c>
      <c r="CF183" s="1" t="s">
        <v>121</v>
      </c>
      <c r="CG183" s="1" t="s">
        <v>121</v>
      </c>
      <c r="CH183" s="1" t="s">
        <v>121</v>
      </c>
      <c r="CI183" s="1" t="s">
        <v>121</v>
      </c>
      <c r="CJ183" s="1" t="s">
        <v>121</v>
      </c>
      <c r="CK183" s="1" t="s">
        <v>121</v>
      </c>
      <c r="CL183" s="1" t="s">
        <v>121</v>
      </c>
      <c r="CM183" s="1" t="s">
        <v>121</v>
      </c>
      <c r="CN183" s="1" t="s">
        <v>121</v>
      </c>
      <c r="CO183" s="1" t="s">
        <v>121</v>
      </c>
      <c r="CP183" s="1" t="s">
        <v>121</v>
      </c>
      <c r="CQ183" s="1" t="s">
        <v>121</v>
      </c>
      <c r="CR183" s="1" t="s">
        <v>121</v>
      </c>
      <c r="CS183" s="1" t="s">
        <v>121</v>
      </c>
      <c r="CT183" s="1" t="s">
        <v>121</v>
      </c>
      <c r="CU183" s="1" t="s">
        <v>121</v>
      </c>
      <c r="CV183" s="1" t="s">
        <v>121</v>
      </c>
      <c r="CW183" s="1" t="s">
        <v>121</v>
      </c>
      <c r="CX183" s="1" t="s">
        <v>121</v>
      </c>
      <c r="CY183" s="1" t="s">
        <v>121</v>
      </c>
      <c r="CZ183" s="1" t="s">
        <v>121</v>
      </c>
      <c r="DA183" s="1" t="s">
        <v>121</v>
      </c>
      <c r="DB183" s="1" t="s">
        <v>121</v>
      </c>
      <c r="DC183" s="1" t="s">
        <v>121</v>
      </c>
      <c r="DD183" s="1" t="s">
        <v>121</v>
      </c>
      <c r="DE183" s="1" t="s">
        <v>121</v>
      </c>
      <c r="DF183" s="1" t="s">
        <v>121</v>
      </c>
      <c r="DG183" s="1" t="s">
        <v>121</v>
      </c>
      <c r="DH183" s="1" t="s">
        <v>121</v>
      </c>
      <c r="DI183" s="1" t="s">
        <v>121</v>
      </c>
      <c r="DJ183" s="1" t="s">
        <v>121</v>
      </c>
      <c r="DK183" s="1" t="s">
        <v>121</v>
      </c>
      <c r="DL183" s="1" t="s">
        <v>121</v>
      </c>
      <c r="DM183" s="1" t="s">
        <v>121</v>
      </c>
      <c r="DN183" s="1" t="s">
        <v>121</v>
      </c>
      <c r="DO183" s="1" t="s">
        <v>121</v>
      </c>
      <c r="DP183" s="1" t="s">
        <v>121</v>
      </c>
      <c r="DQ183" s="1" t="s">
        <v>121</v>
      </c>
      <c r="DR183" s="1" t="s">
        <v>121</v>
      </c>
      <c r="DS183" s="1" t="s">
        <v>121</v>
      </c>
      <c r="DT183" s="1" t="s">
        <v>121</v>
      </c>
      <c r="DU183" s="1" t="s">
        <v>121</v>
      </c>
      <c r="DV183" s="1" t="s">
        <v>121</v>
      </c>
      <c r="DW183" s="1" t="s">
        <v>121</v>
      </c>
      <c r="DX183" s="1" t="s">
        <v>121</v>
      </c>
      <c r="DY183" s="1" t="s">
        <v>121</v>
      </c>
      <c r="DZ183" s="1" t="s">
        <v>121</v>
      </c>
      <c r="EA183" s="1" t="s">
        <v>121</v>
      </c>
      <c r="EB183" s="1" t="s">
        <v>121</v>
      </c>
      <c r="EC183" s="1" t="s">
        <v>121</v>
      </c>
      <c r="ED183" s="1" t="s">
        <v>121</v>
      </c>
      <c r="EE183" s="1" t="s">
        <v>121</v>
      </c>
      <c r="EF183" s="1" t="s">
        <v>121</v>
      </c>
      <c r="EG183" s="1" t="s">
        <v>121</v>
      </c>
      <c r="EH183" s="1" t="s">
        <v>121</v>
      </c>
      <c r="EI183" s="1" t="s">
        <v>121</v>
      </c>
      <c r="EJ183" s="1" t="s">
        <v>121</v>
      </c>
      <c r="EK183" s="1" t="s">
        <v>121</v>
      </c>
      <c r="EL183" s="1" t="s">
        <v>121</v>
      </c>
      <c r="EM183" s="1" t="s">
        <v>121</v>
      </c>
      <c r="EN183" s="1" t="s">
        <v>121</v>
      </c>
      <c r="EO183" s="1" t="s">
        <v>121</v>
      </c>
      <c r="EP183" s="1" t="s">
        <v>121</v>
      </c>
      <c r="EQ183" s="1" t="s">
        <v>121</v>
      </c>
      <c r="ER183" s="1" t="s">
        <v>121</v>
      </c>
      <c r="ES183" s="1" t="s">
        <v>121</v>
      </c>
      <c r="ET183" s="1" t="s">
        <v>121</v>
      </c>
      <c r="EU183" s="1" t="s">
        <v>121</v>
      </c>
      <c r="EV183" s="1" t="s">
        <v>121</v>
      </c>
      <c r="EW183" s="1" t="s">
        <v>121</v>
      </c>
      <c r="EX183" s="1" t="s">
        <v>121</v>
      </c>
    </row>
    <row r="184" spans="1:154" x14ac:dyDescent="0.25">
      <c r="A184" s="72">
        <v>184</v>
      </c>
      <c r="B184" s="306" t="s">
        <v>447</v>
      </c>
      <c r="C184" s="91" t="s">
        <v>121</v>
      </c>
      <c r="D184" s="86" t="s">
        <v>121</v>
      </c>
      <c r="E184" s="92">
        <v>0.76533984767926433</v>
      </c>
      <c r="F184" s="313">
        <v>12285</v>
      </c>
      <c r="G184" s="313">
        <v>8326</v>
      </c>
      <c r="H184" s="313">
        <v>4173</v>
      </c>
      <c r="I184" s="313">
        <v>10185</v>
      </c>
      <c r="J184" s="313">
        <v>6959</v>
      </c>
      <c r="K184" s="313">
        <v>4592</v>
      </c>
      <c r="L184" s="313">
        <v>2236</v>
      </c>
      <c r="M184" s="313">
        <v>8175</v>
      </c>
      <c r="N184" s="313">
        <v>5823</v>
      </c>
      <c r="O184" s="313">
        <v>3482</v>
      </c>
      <c r="P184" s="313">
        <v>1434</v>
      </c>
      <c r="Q184" s="405"/>
      <c r="R184" s="405"/>
      <c r="S184" s="405"/>
      <c r="T184" s="405"/>
      <c r="U184" s="313">
        <v>2959</v>
      </c>
      <c r="V184" s="77">
        <v>2328</v>
      </c>
      <c r="W184" s="77">
        <v>1666</v>
      </c>
      <c r="X184" s="77">
        <v>853</v>
      </c>
      <c r="Y184" s="77">
        <v>3324</v>
      </c>
      <c r="Z184" s="77">
        <v>2448.2559999999999</v>
      </c>
      <c r="AA184" s="77">
        <v>1572.895</v>
      </c>
      <c r="AB184" s="77">
        <v>726.56600000000003</v>
      </c>
      <c r="AC184" s="77">
        <v>2425.4859999999999</v>
      </c>
      <c r="AD184" s="77">
        <v>1747.1510000000001</v>
      </c>
      <c r="AE184" s="77">
        <v>924.78599999999994</v>
      </c>
      <c r="AF184" s="77">
        <v>405.40199999999999</v>
      </c>
      <c r="AG184" s="77">
        <v>340.99</v>
      </c>
      <c r="AH184" s="77">
        <v>131.583</v>
      </c>
      <c r="AI184" s="77" t="s">
        <v>121</v>
      </c>
      <c r="AJ184" s="77" t="s">
        <v>121</v>
      </c>
      <c r="AK184" s="77" t="s">
        <v>121</v>
      </c>
      <c r="AL184" s="77" t="s">
        <v>121</v>
      </c>
      <c r="AM184" s="77" t="s">
        <v>121</v>
      </c>
      <c r="AN184" s="77" t="s">
        <v>121</v>
      </c>
      <c r="AO184" s="77" t="s">
        <v>121</v>
      </c>
      <c r="AP184" s="77" t="s">
        <v>121</v>
      </c>
      <c r="AQ184" s="77" t="s">
        <v>121</v>
      </c>
      <c r="AR184" s="77" t="s">
        <v>121</v>
      </c>
      <c r="AS184" s="77" t="s">
        <v>121</v>
      </c>
      <c r="AT184" s="77" t="s">
        <v>121</v>
      </c>
      <c r="AU184" s="77" t="s">
        <v>121</v>
      </c>
      <c r="AV184" s="77" t="s">
        <v>121</v>
      </c>
      <c r="AW184" s="77" t="s">
        <v>121</v>
      </c>
      <c r="AX184" s="77" t="s">
        <v>121</v>
      </c>
      <c r="AY184" s="77" t="s">
        <v>121</v>
      </c>
      <c r="AZ184" s="55" t="s">
        <v>121</v>
      </c>
      <c r="BA184" s="55" t="s">
        <v>121</v>
      </c>
      <c r="BB184" s="55" t="s">
        <v>121</v>
      </c>
      <c r="BC184" s="55" t="s">
        <v>121</v>
      </c>
      <c r="BD184" s="55" t="s">
        <v>121</v>
      </c>
      <c r="BE184" s="55" t="s">
        <v>121</v>
      </c>
      <c r="BF184" s="55" t="s">
        <v>121</v>
      </c>
      <c r="BG184" s="55">
        <v>2.1190000000000002</v>
      </c>
      <c r="BH184" s="55">
        <v>8.9999999999999993E-3</v>
      </c>
      <c r="BI184" s="55">
        <v>12.414</v>
      </c>
      <c r="BJ184" s="55">
        <v>12.19</v>
      </c>
      <c r="BK184" s="55">
        <v>10.122</v>
      </c>
      <c r="BL184" s="55">
        <v>5.0919999999999996</v>
      </c>
      <c r="BM184" s="1">
        <v>21.033000000000001</v>
      </c>
      <c r="BN184" s="1">
        <v>15.959</v>
      </c>
      <c r="BO184" s="1">
        <v>10.744999999999999</v>
      </c>
      <c r="BP184" s="1">
        <v>5.5830000000000002</v>
      </c>
      <c r="BQ184" s="1" t="s">
        <v>121</v>
      </c>
      <c r="BR184" s="1" t="s">
        <v>121</v>
      </c>
      <c r="BS184" s="1" t="s">
        <v>121</v>
      </c>
      <c r="BT184" s="1" t="s">
        <v>121</v>
      </c>
      <c r="BU184" s="1" t="s">
        <v>121</v>
      </c>
      <c r="BV184" s="1" t="s">
        <v>121</v>
      </c>
      <c r="BW184" s="1" t="s">
        <v>121</v>
      </c>
      <c r="BX184" s="1" t="s">
        <v>121</v>
      </c>
      <c r="BY184" s="1" t="s">
        <v>121</v>
      </c>
      <c r="BZ184" s="1" t="s">
        <v>121</v>
      </c>
      <c r="CA184" s="1" t="s">
        <v>121</v>
      </c>
      <c r="CB184" s="1" t="s">
        <v>121</v>
      </c>
      <c r="CC184" s="1" t="s">
        <v>121</v>
      </c>
      <c r="CD184" s="1" t="s">
        <v>121</v>
      </c>
      <c r="CE184" s="1" t="s">
        <v>121</v>
      </c>
      <c r="CF184" s="1" t="s">
        <v>121</v>
      </c>
      <c r="CG184" s="1" t="s">
        <v>121</v>
      </c>
      <c r="CH184" s="1" t="s">
        <v>121</v>
      </c>
      <c r="CI184" s="1" t="s">
        <v>121</v>
      </c>
      <c r="CJ184" s="1" t="s">
        <v>121</v>
      </c>
      <c r="CK184" s="1" t="s">
        <v>121</v>
      </c>
      <c r="CL184" s="1" t="s">
        <v>121</v>
      </c>
      <c r="CM184" s="1" t="s">
        <v>121</v>
      </c>
      <c r="CN184" s="1" t="s">
        <v>121</v>
      </c>
      <c r="CO184" s="1" t="s">
        <v>121</v>
      </c>
      <c r="CP184" s="1" t="s">
        <v>121</v>
      </c>
      <c r="CQ184" s="1" t="s">
        <v>121</v>
      </c>
      <c r="CR184" s="1" t="s">
        <v>121</v>
      </c>
      <c r="CS184" s="1" t="s">
        <v>121</v>
      </c>
      <c r="CT184" s="1" t="s">
        <v>121</v>
      </c>
      <c r="CU184" s="1" t="s">
        <v>121</v>
      </c>
      <c r="CV184" s="1" t="s">
        <v>121</v>
      </c>
      <c r="CW184" s="1" t="s">
        <v>121</v>
      </c>
      <c r="CX184" s="1" t="s">
        <v>121</v>
      </c>
      <c r="CY184" s="1" t="s">
        <v>121</v>
      </c>
      <c r="CZ184" s="1" t="s">
        <v>121</v>
      </c>
      <c r="DA184" s="1" t="s">
        <v>121</v>
      </c>
      <c r="DB184" s="1" t="s">
        <v>121</v>
      </c>
      <c r="DC184" s="1" t="s">
        <v>121</v>
      </c>
      <c r="DD184" s="1" t="s">
        <v>121</v>
      </c>
      <c r="DE184" s="1" t="s">
        <v>121</v>
      </c>
      <c r="DF184" s="1" t="s">
        <v>121</v>
      </c>
      <c r="DG184" s="1" t="s">
        <v>121</v>
      </c>
      <c r="DH184" s="1" t="s">
        <v>121</v>
      </c>
      <c r="DI184" s="1" t="s">
        <v>121</v>
      </c>
      <c r="DJ184" s="1" t="s">
        <v>121</v>
      </c>
      <c r="DK184" s="1" t="s">
        <v>121</v>
      </c>
      <c r="DL184" s="1" t="s">
        <v>121</v>
      </c>
      <c r="DM184" s="1" t="s">
        <v>121</v>
      </c>
      <c r="DN184" s="1" t="s">
        <v>121</v>
      </c>
      <c r="DO184" s="1" t="s">
        <v>121</v>
      </c>
      <c r="DP184" s="1" t="s">
        <v>121</v>
      </c>
      <c r="DQ184" s="1" t="s">
        <v>121</v>
      </c>
      <c r="DR184" s="1" t="s">
        <v>121</v>
      </c>
      <c r="DS184" s="1" t="s">
        <v>121</v>
      </c>
      <c r="DT184" s="1" t="s">
        <v>121</v>
      </c>
      <c r="DU184" s="1" t="s">
        <v>121</v>
      </c>
      <c r="DV184" s="1" t="s">
        <v>121</v>
      </c>
      <c r="DW184" s="1" t="s">
        <v>121</v>
      </c>
      <c r="DX184" s="1" t="s">
        <v>121</v>
      </c>
      <c r="DY184" s="1" t="s">
        <v>121</v>
      </c>
      <c r="DZ184" s="1" t="s">
        <v>121</v>
      </c>
      <c r="EA184" s="1" t="s">
        <v>121</v>
      </c>
      <c r="EB184" s="1" t="s">
        <v>121</v>
      </c>
      <c r="EC184" s="1" t="s">
        <v>121</v>
      </c>
      <c r="ED184" s="1" t="s">
        <v>121</v>
      </c>
      <c r="EE184" s="1" t="s">
        <v>121</v>
      </c>
      <c r="EF184" s="1" t="s">
        <v>121</v>
      </c>
      <c r="EG184" s="1" t="s">
        <v>121</v>
      </c>
      <c r="EH184" s="1" t="s">
        <v>121</v>
      </c>
      <c r="EI184" s="1" t="s">
        <v>121</v>
      </c>
      <c r="EJ184" s="1" t="s">
        <v>121</v>
      </c>
      <c r="EK184" s="1" t="s">
        <v>121</v>
      </c>
      <c r="EL184" s="1" t="s">
        <v>121</v>
      </c>
      <c r="EM184" s="1" t="s">
        <v>121</v>
      </c>
      <c r="EN184" s="1" t="s">
        <v>121</v>
      </c>
      <c r="EO184" s="1" t="s">
        <v>121</v>
      </c>
      <c r="EP184" s="1" t="s">
        <v>121</v>
      </c>
      <c r="EQ184" s="1" t="s">
        <v>121</v>
      </c>
      <c r="ER184" s="1" t="s">
        <v>121</v>
      </c>
      <c r="ES184" s="1" t="s">
        <v>121</v>
      </c>
      <c r="ET184" s="1" t="s">
        <v>121</v>
      </c>
      <c r="EU184" s="1" t="s">
        <v>121</v>
      </c>
      <c r="EV184" s="1" t="s">
        <v>121</v>
      </c>
      <c r="EW184" s="1" t="s">
        <v>121</v>
      </c>
      <c r="EX184" s="1" t="s">
        <v>121</v>
      </c>
    </row>
    <row r="185" spans="1:154" x14ac:dyDescent="0.25">
      <c r="A185" s="72">
        <v>185</v>
      </c>
      <c r="B185" s="74" t="s">
        <v>448</v>
      </c>
      <c r="C185" s="91" t="s">
        <v>121</v>
      </c>
      <c r="D185" s="86" t="s">
        <v>121</v>
      </c>
      <c r="E185" s="92">
        <v>1.3180858550316676</v>
      </c>
      <c r="F185" s="313">
        <v>6588</v>
      </c>
      <c r="G185" s="313">
        <v>4313</v>
      </c>
      <c r="H185" s="313">
        <v>2234</v>
      </c>
      <c r="I185" s="313">
        <v>4220</v>
      </c>
      <c r="J185" s="313">
        <v>2842</v>
      </c>
      <c r="K185" s="313">
        <v>2007</v>
      </c>
      <c r="L185" s="313">
        <v>1384</v>
      </c>
      <c r="M185" s="313">
        <v>4584</v>
      </c>
      <c r="N185" s="313">
        <v>3122</v>
      </c>
      <c r="O185" s="313">
        <v>1911</v>
      </c>
      <c r="P185" s="313">
        <v>1219</v>
      </c>
      <c r="Q185" s="405"/>
      <c r="R185" s="405"/>
      <c r="S185" s="405"/>
      <c r="T185" s="405"/>
      <c r="U185" s="313">
        <v>880</v>
      </c>
      <c r="V185" s="77">
        <v>656</v>
      </c>
      <c r="W185" s="77">
        <v>488</v>
      </c>
      <c r="X185" s="77">
        <v>231</v>
      </c>
      <c r="Y185" s="77">
        <v>786</v>
      </c>
      <c r="Z185" s="77">
        <v>701.42600000000004</v>
      </c>
      <c r="AA185" s="77">
        <v>459.16300000000001</v>
      </c>
      <c r="AB185" s="77">
        <v>345.286</v>
      </c>
      <c r="AC185" s="77">
        <v>1925.982</v>
      </c>
      <c r="AD185" s="77">
        <v>1645.539</v>
      </c>
      <c r="AE185" s="77">
        <v>1060.2370000000001</v>
      </c>
      <c r="AF185" s="77">
        <v>628.21100000000001</v>
      </c>
      <c r="AG185" s="77">
        <v>1918.8579999999999</v>
      </c>
      <c r="AH185" s="77">
        <v>1530.0930000000001</v>
      </c>
      <c r="AI185" s="77">
        <v>1238.2339999999999</v>
      </c>
      <c r="AJ185" s="77">
        <v>795.39700000000005</v>
      </c>
      <c r="AK185" s="77">
        <v>1306.402</v>
      </c>
      <c r="AL185" s="77">
        <v>788.39400000000001</v>
      </c>
      <c r="AM185" s="77">
        <v>554.01299999999992</v>
      </c>
      <c r="AN185" s="77">
        <v>396.13000000000005</v>
      </c>
      <c r="AO185" s="77">
        <v>1286.3860000000002</v>
      </c>
      <c r="AP185" s="77">
        <v>929.56799999999998</v>
      </c>
      <c r="AQ185" s="77">
        <v>855.01199999999994</v>
      </c>
      <c r="AR185" s="77">
        <v>533.63699999999994</v>
      </c>
      <c r="AS185" s="77">
        <v>2544.4699999999998</v>
      </c>
      <c r="AT185" s="77">
        <v>2271.8509999999997</v>
      </c>
      <c r="AU185" s="77">
        <v>1624.915</v>
      </c>
      <c r="AV185" s="77">
        <v>894.28699999999992</v>
      </c>
      <c r="AW185" s="77">
        <v>1354.1000000000001</v>
      </c>
      <c r="AX185" s="77">
        <v>741.34799999999996</v>
      </c>
      <c r="AY185" s="77">
        <v>469.74900000000002</v>
      </c>
      <c r="AZ185" s="55">
        <v>176.517</v>
      </c>
      <c r="BA185" s="55">
        <v>302.08199999999999</v>
      </c>
      <c r="BB185" s="55">
        <v>203.10399999999998</v>
      </c>
      <c r="BC185" s="55">
        <v>167.28299999999999</v>
      </c>
      <c r="BD185" s="55">
        <v>81.751000000000005</v>
      </c>
      <c r="BE185" s="55">
        <v>335.101</v>
      </c>
      <c r="BF185" s="55">
        <v>254.083</v>
      </c>
      <c r="BG185" s="55">
        <v>163.18899999999999</v>
      </c>
      <c r="BH185" s="55">
        <v>166.285</v>
      </c>
      <c r="BI185" s="55">
        <v>239.11599999999999</v>
      </c>
      <c r="BJ185" s="55">
        <v>165.215</v>
      </c>
      <c r="BK185" s="55">
        <v>97.693000000000012</v>
      </c>
      <c r="BL185" s="55">
        <v>48.304000000000002</v>
      </c>
      <c r="BM185" s="1">
        <v>212.76599999999999</v>
      </c>
      <c r="BN185" s="1">
        <v>177.059</v>
      </c>
      <c r="BO185" s="1">
        <v>139.99100000000001</v>
      </c>
      <c r="BP185" s="1">
        <v>76.402000000000001</v>
      </c>
      <c r="BQ185" s="1" t="s">
        <v>121</v>
      </c>
      <c r="BR185" s="1" t="s">
        <v>121</v>
      </c>
      <c r="BS185" s="1" t="s">
        <v>121</v>
      </c>
      <c r="BT185" s="1" t="s">
        <v>121</v>
      </c>
      <c r="BU185" s="1" t="s">
        <v>121</v>
      </c>
      <c r="BV185" s="1" t="s">
        <v>121</v>
      </c>
      <c r="BW185" s="1" t="s">
        <v>121</v>
      </c>
      <c r="BX185" s="1" t="s">
        <v>121</v>
      </c>
      <c r="BY185" s="1" t="s">
        <v>121</v>
      </c>
      <c r="BZ185" s="1" t="s">
        <v>121</v>
      </c>
      <c r="CA185" s="1" t="s">
        <v>121</v>
      </c>
      <c r="CB185" s="1" t="s">
        <v>121</v>
      </c>
      <c r="CC185" s="1" t="s">
        <v>121</v>
      </c>
      <c r="CD185" s="1" t="s">
        <v>121</v>
      </c>
      <c r="CE185" s="1" t="s">
        <v>121</v>
      </c>
      <c r="CF185" s="1" t="s">
        <v>121</v>
      </c>
      <c r="CG185" s="1" t="s">
        <v>121</v>
      </c>
      <c r="CH185" s="1" t="s">
        <v>121</v>
      </c>
      <c r="CI185" s="1" t="s">
        <v>121</v>
      </c>
      <c r="CJ185" s="1" t="s">
        <v>121</v>
      </c>
      <c r="CK185" s="1" t="s">
        <v>121</v>
      </c>
      <c r="CL185" s="1" t="s">
        <v>121</v>
      </c>
      <c r="CM185" s="1" t="s">
        <v>121</v>
      </c>
      <c r="CN185" s="1" t="s">
        <v>121</v>
      </c>
      <c r="CO185" s="1" t="s">
        <v>121</v>
      </c>
      <c r="CP185" s="1" t="s">
        <v>121</v>
      </c>
      <c r="CQ185" s="1" t="s">
        <v>121</v>
      </c>
      <c r="CR185" s="1" t="s">
        <v>121</v>
      </c>
      <c r="CS185" s="1" t="s">
        <v>121</v>
      </c>
      <c r="CT185" s="1" t="s">
        <v>121</v>
      </c>
      <c r="CU185" s="1" t="s">
        <v>121</v>
      </c>
      <c r="CV185" s="1" t="s">
        <v>121</v>
      </c>
      <c r="CW185" s="1" t="s">
        <v>121</v>
      </c>
      <c r="CX185" s="1" t="s">
        <v>121</v>
      </c>
      <c r="CY185" s="1" t="s">
        <v>121</v>
      </c>
      <c r="CZ185" s="1" t="s">
        <v>121</v>
      </c>
      <c r="DA185" s="1" t="s">
        <v>121</v>
      </c>
      <c r="DB185" s="1" t="s">
        <v>121</v>
      </c>
      <c r="DC185" s="1" t="s">
        <v>121</v>
      </c>
      <c r="DD185" s="1" t="s">
        <v>121</v>
      </c>
      <c r="DE185" s="1" t="s">
        <v>121</v>
      </c>
      <c r="DF185" s="1" t="s">
        <v>121</v>
      </c>
      <c r="DG185" s="1" t="s">
        <v>121</v>
      </c>
      <c r="DH185" s="1" t="s">
        <v>121</v>
      </c>
      <c r="DI185" s="1" t="s">
        <v>121</v>
      </c>
      <c r="DJ185" s="1" t="s">
        <v>121</v>
      </c>
      <c r="DK185" s="1" t="s">
        <v>121</v>
      </c>
      <c r="DL185" s="1" t="s">
        <v>121</v>
      </c>
      <c r="DM185" s="1" t="s">
        <v>121</v>
      </c>
      <c r="DN185" s="1" t="s">
        <v>121</v>
      </c>
      <c r="DO185" s="1" t="s">
        <v>121</v>
      </c>
      <c r="DP185" s="1" t="s">
        <v>121</v>
      </c>
      <c r="DQ185" s="1" t="s">
        <v>121</v>
      </c>
      <c r="DR185" s="1" t="s">
        <v>121</v>
      </c>
      <c r="DS185" s="1" t="s">
        <v>121</v>
      </c>
      <c r="DT185" s="1" t="s">
        <v>121</v>
      </c>
      <c r="DU185" s="1" t="s">
        <v>121</v>
      </c>
      <c r="DV185" s="1" t="s">
        <v>121</v>
      </c>
      <c r="DW185" s="1" t="s">
        <v>121</v>
      </c>
      <c r="DX185" s="1" t="s">
        <v>121</v>
      </c>
      <c r="DY185" s="1" t="s">
        <v>121</v>
      </c>
      <c r="DZ185" s="1" t="s">
        <v>121</v>
      </c>
      <c r="EA185" s="1" t="s">
        <v>121</v>
      </c>
      <c r="EB185" s="1" t="s">
        <v>121</v>
      </c>
      <c r="EC185" s="1" t="s">
        <v>121</v>
      </c>
      <c r="ED185" s="1" t="s">
        <v>121</v>
      </c>
      <c r="EE185" s="1" t="s">
        <v>121</v>
      </c>
      <c r="EF185" s="1" t="s">
        <v>121</v>
      </c>
      <c r="EG185" s="1" t="s">
        <v>121</v>
      </c>
      <c r="EH185" s="1" t="s">
        <v>121</v>
      </c>
      <c r="EI185" s="1" t="s">
        <v>121</v>
      </c>
      <c r="EJ185" s="1" t="s">
        <v>121</v>
      </c>
      <c r="EK185" s="1" t="s">
        <v>121</v>
      </c>
      <c r="EL185" s="1" t="s">
        <v>121</v>
      </c>
      <c r="EM185" s="1" t="s">
        <v>121</v>
      </c>
      <c r="EN185" s="1" t="s">
        <v>121</v>
      </c>
      <c r="EO185" s="1" t="s">
        <v>121</v>
      </c>
      <c r="EP185" s="1" t="s">
        <v>121</v>
      </c>
      <c r="EQ185" s="1" t="s">
        <v>121</v>
      </c>
      <c r="ER185" s="1" t="s">
        <v>121</v>
      </c>
      <c r="ES185" s="1" t="s">
        <v>121</v>
      </c>
      <c r="ET185" s="1" t="s">
        <v>121</v>
      </c>
      <c r="EU185" s="1" t="s">
        <v>121</v>
      </c>
      <c r="EV185" s="1" t="s">
        <v>121</v>
      </c>
      <c r="EW185" s="1" t="s">
        <v>121</v>
      </c>
      <c r="EX185" s="1" t="s">
        <v>121</v>
      </c>
    </row>
    <row r="186" spans="1:154" x14ac:dyDescent="0.25">
      <c r="A186" s="72">
        <v>186</v>
      </c>
      <c r="B186" s="74" t="s">
        <v>272</v>
      </c>
      <c r="C186" s="91" t="s">
        <v>121</v>
      </c>
      <c r="D186" s="86" t="s">
        <v>121</v>
      </c>
      <c r="E186" s="92">
        <v>0.71843360388252031</v>
      </c>
      <c r="F186" s="313">
        <v>20537</v>
      </c>
      <c r="G186" s="313">
        <v>11827</v>
      </c>
      <c r="H186" s="313">
        <v>5756</v>
      </c>
      <c r="I186" s="313">
        <v>17735</v>
      </c>
      <c r="J186" s="313">
        <v>11951</v>
      </c>
      <c r="K186" s="313">
        <v>7033</v>
      </c>
      <c r="L186" s="313">
        <v>3161</v>
      </c>
      <c r="M186" s="313">
        <v>6715</v>
      </c>
      <c r="N186" s="313">
        <v>2792</v>
      </c>
      <c r="O186" s="313">
        <v>2105</v>
      </c>
      <c r="P186" s="313">
        <v>1445</v>
      </c>
      <c r="Q186" s="405"/>
      <c r="R186" s="405"/>
      <c r="S186" s="405"/>
      <c r="T186" s="405"/>
      <c r="U186" s="313">
        <v>2695</v>
      </c>
      <c r="V186" s="77">
        <v>1560</v>
      </c>
      <c r="W186" s="77">
        <v>1122</v>
      </c>
      <c r="X186" s="77">
        <v>596</v>
      </c>
      <c r="Y186" s="77">
        <v>2208</v>
      </c>
      <c r="Z186" s="77">
        <v>1579.4780000000001</v>
      </c>
      <c r="AA186" s="77">
        <v>1020.634</v>
      </c>
      <c r="AB186" s="77">
        <v>523.55999999999995</v>
      </c>
      <c r="AC186" s="77">
        <v>3267.828</v>
      </c>
      <c r="AD186" s="77">
        <v>2470.6030000000001</v>
      </c>
      <c r="AE186" s="77">
        <v>1792.423</v>
      </c>
      <c r="AF186" s="77">
        <v>1128.5070000000001</v>
      </c>
      <c r="AG186" s="77">
        <v>3023.0630000000001</v>
      </c>
      <c r="AH186" s="77">
        <v>1931.57</v>
      </c>
      <c r="AI186" s="77">
        <v>1422.0029999999999</v>
      </c>
      <c r="AJ186" s="77">
        <v>558.30899999999997</v>
      </c>
      <c r="AK186" s="77">
        <v>3081.9029999999998</v>
      </c>
      <c r="AL186" s="77">
        <v>2431.9920000000002</v>
      </c>
      <c r="AM186" s="77">
        <v>1837.424</v>
      </c>
      <c r="AN186" s="77">
        <v>1053.663</v>
      </c>
      <c r="AO186" s="77">
        <v>2147.067</v>
      </c>
      <c r="AP186" s="77">
        <v>1164.972</v>
      </c>
      <c r="AQ186" s="77">
        <v>552.63499999999999</v>
      </c>
      <c r="AR186" s="77">
        <v>247.05</v>
      </c>
      <c r="AS186" s="77">
        <v>2205.2359999999999</v>
      </c>
      <c r="AT186" s="77">
        <v>1889.271</v>
      </c>
      <c r="AU186" s="77">
        <v>1467.856</v>
      </c>
      <c r="AV186" s="77">
        <v>940.11199999999997</v>
      </c>
      <c r="AW186" s="77">
        <v>1855.193</v>
      </c>
      <c r="AX186" s="77">
        <v>1085.1579999999999</v>
      </c>
      <c r="AY186" s="77">
        <v>651.43899999999996</v>
      </c>
      <c r="AZ186" s="55">
        <v>283.61</v>
      </c>
      <c r="BA186" s="55">
        <v>726.61400000000003</v>
      </c>
      <c r="BB186" s="55">
        <v>501.24799999999999</v>
      </c>
      <c r="BC186" s="55">
        <v>289.32299999999998</v>
      </c>
      <c r="BD186" s="55">
        <v>126.934</v>
      </c>
      <c r="BE186" s="55">
        <v>543.48299999999995</v>
      </c>
      <c r="BF186" s="55">
        <v>412.58100000000002</v>
      </c>
      <c r="BG186" s="55">
        <v>277.08800000000002</v>
      </c>
      <c r="BH186" s="55">
        <v>58.463000000000001</v>
      </c>
      <c r="BI186" s="55">
        <v>259.68799999999999</v>
      </c>
      <c r="BJ186" s="55">
        <v>166.69200000000001</v>
      </c>
      <c r="BK186" s="55">
        <v>104.154</v>
      </c>
      <c r="BL186" s="55">
        <v>49.070999999999998</v>
      </c>
      <c r="BM186" s="1">
        <v>200.18100000000001</v>
      </c>
      <c r="BN186" s="1">
        <v>138.96299999999999</v>
      </c>
      <c r="BO186" s="1">
        <v>99.418000000000006</v>
      </c>
      <c r="BP186" s="1">
        <v>44.572000000000003</v>
      </c>
      <c r="BQ186" s="1" t="s">
        <v>121</v>
      </c>
      <c r="BR186" s="1" t="s">
        <v>121</v>
      </c>
      <c r="BS186" s="1" t="s">
        <v>121</v>
      </c>
      <c r="BT186" s="1" t="s">
        <v>121</v>
      </c>
      <c r="BU186" s="1" t="s">
        <v>121</v>
      </c>
      <c r="BV186" s="1" t="s">
        <v>121</v>
      </c>
      <c r="BW186" s="1" t="s">
        <v>121</v>
      </c>
      <c r="BX186" s="1" t="s">
        <v>121</v>
      </c>
      <c r="BY186" s="1" t="s">
        <v>121</v>
      </c>
      <c r="BZ186" s="1" t="s">
        <v>121</v>
      </c>
      <c r="CA186" s="1" t="s">
        <v>121</v>
      </c>
      <c r="CB186" s="1" t="s">
        <v>121</v>
      </c>
      <c r="CC186" s="1" t="s">
        <v>121</v>
      </c>
      <c r="CD186" s="1" t="s">
        <v>121</v>
      </c>
      <c r="CE186" s="1" t="s">
        <v>121</v>
      </c>
      <c r="CF186" s="1" t="s">
        <v>121</v>
      </c>
      <c r="CG186" s="1" t="s">
        <v>121</v>
      </c>
      <c r="CH186" s="1" t="s">
        <v>121</v>
      </c>
      <c r="CI186" s="1" t="s">
        <v>121</v>
      </c>
      <c r="CJ186" s="1" t="s">
        <v>121</v>
      </c>
      <c r="CK186" s="1" t="s">
        <v>121</v>
      </c>
      <c r="CL186" s="1" t="s">
        <v>121</v>
      </c>
      <c r="CM186" s="1" t="s">
        <v>121</v>
      </c>
      <c r="CN186" s="1" t="s">
        <v>121</v>
      </c>
      <c r="CO186" s="1" t="s">
        <v>121</v>
      </c>
      <c r="CP186" s="1" t="s">
        <v>121</v>
      </c>
      <c r="CQ186" s="1" t="s">
        <v>121</v>
      </c>
      <c r="CR186" s="1" t="s">
        <v>121</v>
      </c>
      <c r="CS186" s="1" t="s">
        <v>121</v>
      </c>
      <c r="CT186" s="1" t="s">
        <v>121</v>
      </c>
      <c r="CU186" s="1" t="s">
        <v>121</v>
      </c>
      <c r="CV186" s="1" t="s">
        <v>121</v>
      </c>
      <c r="CW186" s="1" t="s">
        <v>121</v>
      </c>
      <c r="CX186" s="1" t="s">
        <v>121</v>
      </c>
      <c r="CY186" s="1" t="s">
        <v>121</v>
      </c>
      <c r="CZ186" s="1" t="s">
        <v>121</v>
      </c>
      <c r="DA186" s="1" t="s">
        <v>121</v>
      </c>
      <c r="DB186" s="1" t="s">
        <v>121</v>
      </c>
      <c r="DC186" s="1" t="s">
        <v>121</v>
      </c>
      <c r="DD186" s="1" t="s">
        <v>121</v>
      </c>
      <c r="DE186" s="1" t="s">
        <v>121</v>
      </c>
      <c r="DF186" s="1" t="s">
        <v>121</v>
      </c>
      <c r="DG186" s="1" t="s">
        <v>121</v>
      </c>
      <c r="DH186" s="1" t="s">
        <v>121</v>
      </c>
      <c r="DI186" s="1" t="s">
        <v>121</v>
      </c>
      <c r="DJ186" s="1" t="s">
        <v>121</v>
      </c>
      <c r="DK186" s="1" t="s">
        <v>121</v>
      </c>
      <c r="DL186" s="1" t="s">
        <v>121</v>
      </c>
      <c r="DM186" s="1" t="s">
        <v>121</v>
      </c>
      <c r="DN186" s="1" t="s">
        <v>121</v>
      </c>
      <c r="DO186" s="1" t="s">
        <v>121</v>
      </c>
      <c r="DP186" s="1" t="s">
        <v>121</v>
      </c>
      <c r="DQ186" s="1" t="s">
        <v>121</v>
      </c>
      <c r="DR186" s="1" t="s">
        <v>121</v>
      </c>
      <c r="DS186" s="1" t="s">
        <v>121</v>
      </c>
      <c r="DT186" s="1" t="s">
        <v>121</v>
      </c>
      <c r="DU186" s="1" t="s">
        <v>121</v>
      </c>
      <c r="DV186" s="1" t="s">
        <v>121</v>
      </c>
      <c r="DW186" s="1" t="s">
        <v>121</v>
      </c>
      <c r="DX186" s="1" t="s">
        <v>121</v>
      </c>
      <c r="DY186" s="1" t="s">
        <v>121</v>
      </c>
      <c r="DZ186" s="1" t="s">
        <v>121</v>
      </c>
      <c r="EA186" s="1" t="s">
        <v>121</v>
      </c>
      <c r="EB186" s="1" t="s">
        <v>121</v>
      </c>
      <c r="EC186" s="1" t="s">
        <v>121</v>
      </c>
      <c r="ED186" s="1" t="s">
        <v>121</v>
      </c>
      <c r="EE186" s="1" t="s">
        <v>121</v>
      </c>
      <c r="EF186" s="1" t="s">
        <v>121</v>
      </c>
      <c r="EG186" s="1" t="s">
        <v>121</v>
      </c>
      <c r="EH186" s="1" t="s">
        <v>121</v>
      </c>
      <c r="EI186" s="1" t="s">
        <v>121</v>
      </c>
      <c r="EJ186" s="1" t="s">
        <v>121</v>
      </c>
      <c r="EK186" s="1" t="s">
        <v>121</v>
      </c>
      <c r="EL186" s="1" t="s">
        <v>121</v>
      </c>
      <c r="EM186" s="1" t="s">
        <v>121</v>
      </c>
      <c r="EN186" s="1" t="s">
        <v>121</v>
      </c>
      <c r="EO186" s="1" t="s">
        <v>121</v>
      </c>
      <c r="EP186" s="1" t="s">
        <v>121</v>
      </c>
      <c r="EQ186" s="1" t="s">
        <v>121</v>
      </c>
      <c r="ER186" s="1" t="s">
        <v>121</v>
      </c>
      <c r="ES186" s="1" t="s">
        <v>121</v>
      </c>
      <c r="ET186" s="1" t="s">
        <v>121</v>
      </c>
      <c r="EU186" s="1" t="s">
        <v>121</v>
      </c>
      <c r="EV186" s="1" t="s">
        <v>121</v>
      </c>
      <c r="EW186" s="1" t="s">
        <v>121</v>
      </c>
      <c r="EX186" s="1" t="s">
        <v>121</v>
      </c>
    </row>
    <row r="187" spans="1:154" x14ac:dyDescent="0.25">
      <c r="A187" s="72">
        <v>187</v>
      </c>
      <c r="B187" s="74" t="s">
        <v>449</v>
      </c>
      <c r="C187" s="91" t="s">
        <v>121</v>
      </c>
      <c r="D187" s="86" t="s">
        <v>121</v>
      </c>
      <c r="E187" s="92">
        <v>-0.5572938689217759</v>
      </c>
      <c r="F187" s="313">
        <v>2094</v>
      </c>
      <c r="G187" s="313">
        <v>1099</v>
      </c>
      <c r="H187" s="313">
        <v>402</v>
      </c>
      <c r="I187" s="313">
        <v>6039</v>
      </c>
      <c r="J187" s="313">
        <v>4730</v>
      </c>
      <c r="K187" s="313">
        <v>3213</v>
      </c>
      <c r="L187" s="313">
        <v>1538</v>
      </c>
      <c r="M187" s="313">
        <v>2093</v>
      </c>
      <c r="N187" s="313">
        <v>1104</v>
      </c>
      <c r="O187" s="313">
        <v>823</v>
      </c>
      <c r="P187" s="313">
        <v>527</v>
      </c>
      <c r="Q187" s="405"/>
      <c r="R187" s="405"/>
      <c r="S187" s="405"/>
      <c r="T187" s="405"/>
      <c r="U187" s="313">
        <v>607</v>
      </c>
      <c r="V187" s="77">
        <v>385</v>
      </c>
      <c r="W187" s="77">
        <v>236</v>
      </c>
      <c r="X187" s="77">
        <v>112</v>
      </c>
      <c r="Y187" s="77">
        <v>969</v>
      </c>
      <c r="Z187" s="77">
        <v>874.346</v>
      </c>
      <c r="AA187" s="77">
        <v>722.798</v>
      </c>
      <c r="AB187" s="77">
        <v>534.39300000000003</v>
      </c>
      <c r="AC187" s="77">
        <v>3218.636</v>
      </c>
      <c r="AD187" s="77">
        <v>2673.1030000000001</v>
      </c>
      <c r="AE187" s="77">
        <v>2100.7869999999998</v>
      </c>
      <c r="AF187" s="77">
        <v>1504.9860000000001</v>
      </c>
      <c r="AG187" s="77">
        <v>4889.0309999999999</v>
      </c>
      <c r="AH187" s="77">
        <v>3617.66</v>
      </c>
      <c r="AI187" s="77">
        <v>2225.518</v>
      </c>
      <c r="AJ187" s="77">
        <v>901.02</v>
      </c>
      <c r="AK187" s="77">
        <v>3132.9540000000002</v>
      </c>
      <c r="AL187" s="77">
        <v>2070.5709999999999</v>
      </c>
      <c r="AM187" s="77">
        <v>1297.211</v>
      </c>
      <c r="AN187" s="77">
        <v>658.65700000000004</v>
      </c>
      <c r="AO187" s="77">
        <v>2534.116</v>
      </c>
      <c r="AP187" s="77">
        <v>1913.7840000000001</v>
      </c>
      <c r="AQ187" s="77">
        <v>1205.8140000000001</v>
      </c>
      <c r="AR187" s="77">
        <v>550.09</v>
      </c>
      <c r="AS187" s="77">
        <v>1131.42</v>
      </c>
      <c r="AT187" s="77">
        <v>418.48399999999998</v>
      </c>
      <c r="AU187" s="77">
        <v>145.334</v>
      </c>
      <c r="AV187" s="77">
        <v>91.983999999999995</v>
      </c>
      <c r="AW187" s="77">
        <v>4472.0479999999998</v>
      </c>
      <c r="AX187" s="77">
        <v>3797.4</v>
      </c>
      <c r="AY187" s="77">
        <v>2520.9650000000001</v>
      </c>
      <c r="AZ187" s="55">
        <v>1275.798</v>
      </c>
      <c r="BA187" s="55">
        <v>4182.1819999999998</v>
      </c>
      <c r="BB187" s="55">
        <v>3017.2979999999998</v>
      </c>
      <c r="BC187" s="55">
        <v>1996.675</v>
      </c>
      <c r="BD187" s="55">
        <v>978.72699999999998</v>
      </c>
      <c r="BE187" s="55">
        <v>3648.6880000000001</v>
      </c>
      <c r="BF187" s="55">
        <v>2770.3319999999999</v>
      </c>
      <c r="BG187" s="55">
        <v>1875.3520000000001</v>
      </c>
      <c r="BH187" s="55">
        <v>846.04200000000003</v>
      </c>
      <c r="BI187" s="55">
        <v>3311.357</v>
      </c>
      <c r="BJ187" s="55">
        <v>2404.7660000000001</v>
      </c>
      <c r="BK187" s="55">
        <v>1594.0219999999999</v>
      </c>
      <c r="BL187" s="55">
        <v>746.88800000000003</v>
      </c>
      <c r="BM187" s="1">
        <v>2636.7530000000002</v>
      </c>
      <c r="BN187" s="1">
        <v>1972.673</v>
      </c>
      <c r="BO187" s="1">
        <v>1368.829</v>
      </c>
      <c r="BP187" s="1">
        <v>684.74300000000005</v>
      </c>
      <c r="BQ187" s="1" t="s">
        <v>121</v>
      </c>
      <c r="BR187" s="1" t="s">
        <v>121</v>
      </c>
      <c r="BS187" s="1" t="s">
        <v>121</v>
      </c>
      <c r="BT187" s="1" t="s">
        <v>121</v>
      </c>
      <c r="BU187" s="1" t="s">
        <v>121</v>
      </c>
      <c r="BV187" s="1" t="s">
        <v>121</v>
      </c>
      <c r="BW187" s="1" t="s">
        <v>121</v>
      </c>
      <c r="BX187" s="1" t="s">
        <v>121</v>
      </c>
      <c r="BY187" s="1" t="s">
        <v>121</v>
      </c>
      <c r="BZ187" s="1" t="s">
        <v>121</v>
      </c>
      <c r="CA187" s="1" t="s">
        <v>121</v>
      </c>
      <c r="CB187" s="1" t="s">
        <v>121</v>
      </c>
      <c r="CC187" s="1" t="s">
        <v>121</v>
      </c>
      <c r="CD187" s="1" t="s">
        <v>121</v>
      </c>
      <c r="CE187" s="1" t="s">
        <v>121</v>
      </c>
      <c r="CF187" s="1" t="s">
        <v>121</v>
      </c>
      <c r="CG187" s="1" t="s">
        <v>121</v>
      </c>
      <c r="CH187" s="1" t="s">
        <v>121</v>
      </c>
      <c r="CI187" s="1" t="s">
        <v>121</v>
      </c>
      <c r="CJ187" s="1" t="s">
        <v>121</v>
      </c>
      <c r="CK187" s="1" t="s">
        <v>121</v>
      </c>
      <c r="CL187" s="1" t="s">
        <v>121</v>
      </c>
      <c r="CM187" s="1" t="s">
        <v>121</v>
      </c>
      <c r="CN187" s="1" t="s">
        <v>121</v>
      </c>
      <c r="CO187" s="1" t="s">
        <v>121</v>
      </c>
      <c r="CP187" s="1" t="s">
        <v>121</v>
      </c>
      <c r="CQ187" s="1" t="s">
        <v>121</v>
      </c>
      <c r="CR187" s="1" t="s">
        <v>121</v>
      </c>
      <c r="CS187" s="1" t="s">
        <v>121</v>
      </c>
      <c r="CT187" s="1" t="s">
        <v>121</v>
      </c>
      <c r="CU187" s="1" t="s">
        <v>121</v>
      </c>
      <c r="CV187" s="1" t="s">
        <v>121</v>
      </c>
      <c r="CW187" s="1" t="s">
        <v>121</v>
      </c>
      <c r="CX187" s="1" t="s">
        <v>121</v>
      </c>
      <c r="CY187" s="1" t="s">
        <v>121</v>
      </c>
      <c r="CZ187" s="1" t="s">
        <v>121</v>
      </c>
      <c r="DA187" s="1" t="s">
        <v>121</v>
      </c>
      <c r="DB187" s="1" t="s">
        <v>121</v>
      </c>
      <c r="DC187" s="1" t="s">
        <v>121</v>
      </c>
      <c r="DD187" s="1" t="s">
        <v>121</v>
      </c>
      <c r="DE187" s="1" t="s">
        <v>121</v>
      </c>
      <c r="DF187" s="1" t="s">
        <v>121</v>
      </c>
      <c r="DG187" s="1" t="s">
        <v>121</v>
      </c>
      <c r="DH187" s="1" t="s">
        <v>121</v>
      </c>
      <c r="DI187" s="1" t="s">
        <v>121</v>
      </c>
      <c r="DJ187" s="1" t="s">
        <v>121</v>
      </c>
      <c r="DK187" s="1" t="s">
        <v>121</v>
      </c>
      <c r="DL187" s="1" t="s">
        <v>121</v>
      </c>
      <c r="DM187" s="1" t="s">
        <v>121</v>
      </c>
      <c r="DN187" s="1" t="s">
        <v>121</v>
      </c>
      <c r="DO187" s="1" t="s">
        <v>121</v>
      </c>
      <c r="DP187" s="1" t="s">
        <v>121</v>
      </c>
      <c r="DQ187" s="1" t="s">
        <v>121</v>
      </c>
      <c r="DR187" s="1" t="s">
        <v>121</v>
      </c>
      <c r="DS187" s="1" t="s">
        <v>121</v>
      </c>
      <c r="DT187" s="1" t="s">
        <v>121</v>
      </c>
      <c r="DU187" s="1" t="s">
        <v>121</v>
      </c>
      <c r="DV187" s="1" t="s">
        <v>121</v>
      </c>
      <c r="DW187" s="1" t="s">
        <v>121</v>
      </c>
      <c r="DX187" s="1" t="s">
        <v>121</v>
      </c>
      <c r="DY187" s="1" t="s">
        <v>121</v>
      </c>
      <c r="DZ187" s="1" t="s">
        <v>121</v>
      </c>
      <c r="EA187" s="1" t="s">
        <v>121</v>
      </c>
      <c r="EB187" s="1" t="s">
        <v>121</v>
      </c>
      <c r="EC187" s="1" t="s">
        <v>121</v>
      </c>
      <c r="ED187" s="1" t="s">
        <v>121</v>
      </c>
      <c r="EE187" s="1" t="s">
        <v>121</v>
      </c>
      <c r="EF187" s="1" t="s">
        <v>121</v>
      </c>
      <c r="EG187" s="1" t="s">
        <v>121</v>
      </c>
      <c r="EH187" s="1" t="s">
        <v>121</v>
      </c>
      <c r="EI187" s="1" t="s">
        <v>121</v>
      </c>
      <c r="EJ187" s="1" t="s">
        <v>121</v>
      </c>
      <c r="EK187" s="1" t="s">
        <v>121</v>
      </c>
      <c r="EL187" s="1" t="s">
        <v>121</v>
      </c>
      <c r="EM187" s="1" t="s">
        <v>121</v>
      </c>
      <c r="EN187" s="1" t="s">
        <v>121</v>
      </c>
      <c r="EO187" s="1" t="s">
        <v>121</v>
      </c>
      <c r="EP187" s="1" t="s">
        <v>121</v>
      </c>
      <c r="EQ187" s="1" t="s">
        <v>121</v>
      </c>
      <c r="ER187" s="1" t="s">
        <v>121</v>
      </c>
      <c r="ES187" s="1" t="s">
        <v>121</v>
      </c>
      <c r="ET187" s="1" t="s">
        <v>121</v>
      </c>
      <c r="EU187" s="1" t="s">
        <v>121</v>
      </c>
      <c r="EV187" s="1" t="s">
        <v>121</v>
      </c>
      <c r="EW187" s="1" t="s">
        <v>121</v>
      </c>
      <c r="EX187" s="1" t="s">
        <v>121</v>
      </c>
    </row>
    <row r="188" spans="1:154" x14ac:dyDescent="0.25">
      <c r="A188" s="72">
        <v>188</v>
      </c>
      <c r="B188" s="239" t="s">
        <v>450</v>
      </c>
      <c r="C188" s="91" t="s">
        <v>121</v>
      </c>
      <c r="D188" s="86" t="s">
        <v>121</v>
      </c>
      <c r="E188" s="92">
        <v>-0.82417582417582413</v>
      </c>
      <c r="F188" s="313">
        <v>32</v>
      </c>
      <c r="G188" s="313">
        <v>7</v>
      </c>
      <c r="H188" s="313" t="s">
        <v>121</v>
      </c>
      <c r="I188" s="313">
        <v>182</v>
      </c>
      <c r="J188" s="313">
        <v>182</v>
      </c>
      <c r="K188" s="313">
        <v>152</v>
      </c>
      <c r="L188" s="313">
        <v>75</v>
      </c>
      <c r="M188" s="313">
        <v>809</v>
      </c>
      <c r="N188" s="313">
        <v>730</v>
      </c>
      <c r="O188" s="313">
        <v>432</v>
      </c>
      <c r="P188" s="313">
        <v>169</v>
      </c>
      <c r="Q188" s="405"/>
      <c r="R188" s="405"/>
      <c r="S188" s="405"/>
      <c r="T188" s="405"/>
      <c r="U188" s="313">
        <v>241</v>
      </c>
      <c r="V188" s="77">
        <v>167</v>
      </c>
      <c r="W188" s="77">
        <v>132</v>
      </c>
      <c r="X188" s="77">
        <v>102</v>
      </c>
      <c r="Y188" s="77">
        <v>493</v>
      </c>
      <c r="Z188" s="77">
        <v>372.91300000000001</v>
      </c>
      <c r="AA188" s="77">
        <v>255.809</v>
      </c>
      <c r="AB188" s="77">
        <v>126.727</v>
      </c>
      <c r="AC188" s="77">
        <v>1450.9880000000001</v>
      </c>
      <c r="AD188" s="77">
        <v>1194.981</v>
      </c>
      <c r="AE188" s="77">
        <v>910.38</v>
      </c>
      <c r="AF188" s="77">
        <v>524.00099999999998</v>
      </c>
      <c r="AG188" s="77">
        <v>3241.1039999999998</v>
      </c>
      <c r="AH188" s="77">
        <v>2306.3110000000001</v>
      </c>
      <c r="AI188" s="77">
        <v>1639.29</v>
      </c>
      <c r="AJ188" s="77">
        <v>875.18700000000001</v>
      </c>
      <c r="AK188" s="77">
        <v>4258.165</v>
      </c>
      <c r="AL188" s="77">
        <v>3174.6170000000002</v>
      </c>
      <c r="AM188" s="77">
        <v>2227.2959999999998</v>
      </c>
      <c r="AN188" s="77">
        <v>1202.412</v>
      </c>
      <c r="AO188" s="77">
        <v>7054.5169999999998</v>
      </c>
      <c r="AP188" s="77">
        <v>5746.5959999999995</v>
      </c>
      <c r="AQ188" s="77">
        <v>3984.5349999999999</v>
      </c>
      <c r="AR188" s="77">
        <v>2031.248</v>
      </c>
      <c r="AS188" s="77">
        <v>5960.165</v>
      </c>
      <c r="AT188" s="77">
        <v>4369.32</v>
      </c>
      <c r="AU188" s="77">
        <v>2758.8389999999999</v>
      </c>
      <c r="AV188" s="77">
        <v>1160.8209999999999</v>
      </c>
      <c r="AW188" s="77">
        <v>635.42100000000005</v>
      </c>
      <c r="AX188" s="77" t="s">
        <v>121</v>
      </c>
      <c r="AY188" s="77" t="s">
        <v>121</v>
      </c>
      <c r="AZ188" s="55" t="s">
        <v>121</v>
      </c>
      <c r="BA188" s="55" t="s">
        <v>121</v>
      </c>
      <c r="BB188" s="55" t="s">
        <v>121</v>
      </c>
      <c r="BC188" s="55" t="s">
        <v>121</v>
      </c>
      <c r="BD188" s="55" t="s">
        <v>121</v>
      </c>
      <c r="BE188" s="55" t="s">
        <v>121</v>
      </c>
      <c r="BF188" s="55" t="s">
        <v>121</v>
      </c>
      <c r="BG188" s="55" t="s">
        <v>121</v>
      </c>
      <c r="BH188" s="55" t="s">
        <v>121</v>
      </c>
      <c r="BI188" s="55" t="s">
        <v>121</v>
      </c>
      <c r="BJ188" s="55" t="s">
        <v>121</v>
      </c>
      <c r="BK188" s="55" t="s">
        <v>121</v>
      </c>
      <c r="BL188" s="55" t="s">
        <v>121</v>
      </c>
      <c r="BM188" s="1" t="s">
        <v>121</v>
      </c>
      <c r="BN188" s="1" t="s">
        <v>121</v>
      </c>
      <c r="BO188" s="1" t="s">
        <v>121</v>
      </c>
      <c r="BP188" s="1" t="s">
        <v>121</v>
      </c>
      <c r="BQ188" s="1" t="s">
        <v>121</v>
      </c>
      <c r="BR188" s="1" t="s">
        <v>121</v>
      </c>
      <c r="BS188" s="1" t="s">
        <v>121</v>
      </c>
      <c r="BT188" s="1" t="s">
        <v>121</v>
      </c>
      <c r="BU188" s="1" t="s">
        <v>121</v>
      </c>
      <c r="BV188" s="1" t="s">
        <v>121</v>
      </c>
      <c r="BW188" s="1" t="s">
        <v>121</v>
      </c>
      <c r="BX188" s="1" t="s">
        <v>121</v>
      </c>
      <c r="BY188" s="1" t="s">
        <v>121</v>
      </c>
      <c r="BZ188" s="1" t="s">
        <v>121</v>
      </c>
      <c r="CA188" s="1" t="s">
        <v>121</v>
      </c>
      <c r="CB188" s="1" t="s">
        <v>121</v>
      </c>
      <c r="CC188" s="1" t="s">
        <v>121</v>
      </c>
      <c r="CD188" s="1" t="s">
        <v>121</v>
      </c>
      <c r="CE188" s="1" t="s">
        <v>121</v>
      </c>
      <c r="CF188" s="1" t="s">
        <v>121</v>
      </c>
      <c r="CG188" s="1" t="s">
        <v>121</v>
      </c>
      <c r="CH188" s="1" t="s">
        <v>121</v>
      </c>
      <c r="CI188" s="1" t="s">
        <v>121</v>
      </c>
      <c r="CJ188" s="1" t="s">
        <v>121</v>
      </c>
      <c r="CK188" s="1" t="s">
        <v>121</v>
      </c>
      <c r="CL188" s="1" t="s">
        <v>121</v>
      </c>
      <c r="CM188" s="1" t="s">
        <v>121</v>
      </c>
      <c r="CN188" s="1" t="s">
        <v>121</v>
      </c>
      <c r="CO188" s="1" t="s">
        <v>121</v>
      </c>
      <c r="CP188" s="1" t="s">
        <v>121</v>
      </c>
      <c r="CQ188" s="1" t="s">
        <v>121</v>
      </c>
      <c r="CR188" s="1" t="s">
        <v>121</v>
      </c>
      <c r="CS188" s="1" t="s">
        <v>121</v>
      </c>
      <c r="CT188" s="1" t="s">
        <v>121</v>
      </c>
      <c r="CU188" s="1" t="s">
        <v>121</v>
      </c>
      <c r="CV188" s="1" t="s">
        <v>121</v>
      </c>
      <c r="CW188" s="1" t="s">
        <v>121</v>
      </c>
      <c r="CX188" s="1" t="s">
        <v>121</v>
      </c>
      <c r="CY188" s="1" t="s">
        <v>121</v>
      </c>
      <c r="CZ188" s="1" t="s">
        <v>121</v>
      </c>
      <c r="DA188" s="1" t="s">
        <v>121</v>
      </c>
      <c r="DB188" s="1" t="s">
        <v>121</v>
      </c>
      <c r="DC188" s="1" t="s">
        <v>121</v>
      </c>
      <c r="DD188" s="1" t="s">
        <v>121</v>
      </c>
      <c r="DE188" s="1" t="s">
        <v>121</v>
      </c>
      <c r="DF188" s="1" t="s">
        <v>121</v>
      </c>
      <c r="DG188" s="1" t="s">
        <v>121</v>
      </c>
      <c r="DH188" s="1" t="s">
        <v>121</v>
      </c>
      <c r="DI188" s="1" t="s">
        <v>121</v>
      </c>
      <c r="DJ188" s="1" t="s">
        <v>121</v>
      </c>
      <c r="DK188" s="1" t="s">
        <v>121</v>
      </c>
      <c r="DL188" s="1" t="s">
        <v>121</v>
      </c>
      <c r="DM188" s="1" t="s">
        <v>121</v>
      </c>
      <c r="DN188" s="1" t="s">
        <v>121</v>
      </c>
      <c r="DO188" s="1" t="s">
        <v>121</v>
      </c>
      <c r="DP188" s="1" t="s">
        <v>121</v>
      </c>
      <c r="DQ188" s="1" t="s">
        <v>121</v>
      </c>
      <c r="DR188" s="1" t="s">
        <v>121</v>
      </c>
      <c r="DS188" s="1" t="s">
        <v>121</v>
      </c>
      <c r="DT188" s="1" t="s">
        <v>121</v>
      </c>
      <c r="DU188" s="1" t="s">
        <v>121</v>
      </c>
      <c r="DV188" s="1" t="s">
        <v>121</v>
      </c>
      <c r="DW188" s="1" t="s">
        <v>121</v>
      </c>
      <c r="DX188" s="1" t="s">
        <v>121</v>
      </c>
      <c r="DY188" s="1" t="s">
        <v>121</v>
      </c>
      <c r="DZ188" s="1" t="s">
        <v>121</v>
      </c>
      <c r="EA188" s="1" t="s">
        <v>121</v>
      </c>
      <c r="EB188" s="1" t="s">
        <v>121</v>
      </c>
      <c r="EC188" s="1" t="s">
        <v>121</v>
      </c>
      <c r="ED188" s="1" t="s">
        <v>121</v>
      </c>
      <c r="EE188" s="1" t="s">
        <v>121</v>
      </c>
      <c r="EF188" s="1" t="s">
        <v>121</v>
      </c>
      <c r="EG188" s="1" t="s">
        <v>121</v>
      </c>
      <c r="EH188" s="1" t="s">
        <v>121</v>
      </c>
      <c r="EI188" s="1" t="s">
        <v>121</v>
      </c>
      <c r="EJ188" s="1" t="s">
        <v>121</v>
      </c>
      <c r="EK188" s="1" t="s">
        <v>121</v>
      </c>
      <c r="EL188" s="1" t="s">
        <v>121</v>
      </c>
      <c r="EM188" s="1" t="s">
        <v>121</v>
      </c>
      <c r="EN188" s="1" t="s">
        <v>121</v>
      </c>
      <c r="EO188" s="1" t="s">
        <v>121</v>
      </c>
      <c r="EP188" s="1" t="s">
        <v>121</v>
      </c>
      <c r="EQ188" s="1" t="s">
        <v>121</v>
      </c>
      <c r="ER188" s="1" t="s">
        <v>121</v>
      </c>
      <c r="ES188" s="1" t="s">
        <v>121</v>
      </c>
      <c r="ET188" s="1" t="s">
        <v>121</v>
      </c>
      <c r="EU188" s="1" t="s">
        <v>121</v>
      </c>
      <c r="EV188" s="1" t="s">
        <v>121</v>
      </c>
      <c r="EW188" s="1" t="s">
        <v>121</v>
      </c>
      <c r="EX188" s="1" t="s">
        <v>121</v>
      </c>
    </row>
    <row r="189" spans="1:154" x14ac:dyDescent="0.25">
      <c r="A189" s="72">
        <v>189</v>
      </c>
      <c r="B189" s="73" t="s">
        <v>451</v>
      </c>
      <c r="C189" s="91" t="s">
        <v>121</v>
      </c>
      <c r="D189" s="86" t="s">
        <v>121</v>
      </c>
      <c r="E189" s="94">
        <v>0.4446339849175498</v>
      </c>
      <c r="F189" s="314">
        <v>154976</v>
      </c>
      <c r="G189" s="314">
        <v>100422</v>
      </c>
      <c r="H189" s="314">
        <v>49474</v>
      </c>
      <c r="I189" s="314">
        <v>154188</v>
      </c>
      <c r="J189" s="314">
        <v>107277</v>
      </c>
      <c r="K189" s="314">
        <v>68848</v>
      </c>
      <c r="L189" s="314">
        <v>33965</v>
      </c>
      <c r="M189" s="314">
        <v>84659</v>
      </c>
      <c r="N189" s="314">
        <v>54520</v>
      </c>
      <c r="O189" s="314">
        <v>34134</v>
      </c>
      <c r="P189" s="314">
        <v>16768</v>
      </c>
      <c r="Q189" s="405"/>
      <c r="R189" s="405"/>
      <c r="S189" s="405"/>
      <c r="T189" s="405"/>
      <c r="U189" s="314">
        <v>44992.683000000005</v>
      </c>
      <c r="V189" s="124">
        <v>31723</v>
      </c>
      <c r="W189" s="124">
        <v>20661</v>
      </c>
      <c r="X189" s="124">
        <v>10080</v>
      </c>
      <c r="Y189" s="124">
        <v>43430</v>
      </c>
      <c r="Z189" s="124">
        <v>32351.346000000001</v>
      </c>
      <c r="AA189" s="124">
        <v>21976.860000000004</v>
      </c>
      <c r="AB189" s="124">
        <v>11265.894</v>
      </c>
      <c r="AC189" s="124">
        <v>48493.553999999996</v>
      </c>
      <c r="AD189" s="124">
        <v>36488.233000000007</v>
      </c>
      <c r="AE189" s="124">
        <v>24420.763000000003</v>
      </c>
      <c r="AF189" s="124">
        <v>12846.71</v>
      </c>
      <c r="AG189" s="124">
        <v>46038.572000000007</v>
      </c>
      <c r="AH189" s="124">
        <v>33707.930999999997</v>
      </c>
      <c r="AI189" s="124">
        <v>22295.563000000002</v>
      </c>
      <c r="AJ189" s="124">
        <v>10962.854000000001</v>
      </c>
      <c r="AK189" s="124">
        <v>47169.917999999998</v>
      </c>
      <c r="AL189" s="124">
        <v>35325.815000000002</v>
      </c>
      <c r="AM189" s="124">
        <v>23790.750999999997</v>
      </c>
      <c r="AN189" s="124">
        <v>12116.298999999999</v>
      </c>
      <c r="AO189" s="124">
        <v>51851.810000000005</v>
      </c>
      <c r="AP189" s="124">
        <v>39007.531999999999</v>
      </c>
      <c r="AQ189" s="124">
        <v>26001.119999999995</v>
      </c>
      <c r="AR189" s="124">
        <v>12896.994999999999</v>
      </c>
      <c r="AS189" s="124">
        <v>50793.474999999999</v>
      </c>
      <c r="AT189" s="124">
        <v>37637.544999999991</v>
      </c>
      <c r="AU189" s="124">
        <v>24888.204999999998</v>
      </c>
      <c r="AV189" s="124">
        <v>12278.331</v>
      </c>
      <c r="AW189" s="124">
        <v>38760.300000000003</v>
      </c>
      <c r="AX189" s="124">
        <v>27625.877000000004</v>
      </c>
      <c r="AY189" s="124">
        <v>18007.181</v>
      </c>
      <c r="AZ189" s="124">
        <v>8721.7070000000003</v>
      </c>
      <c r="BA189" s="124">
        <v>30831.525000000001</v>
      </c>
      <c r="BB189" s="124">
        <v>22480.62</v>
      </c>
      <c r="BC189" s="124">
        <v>14542.767999999998</v>
      </c>
      <c r="BD189" s="124">
        <v>7005.1410000000005</v>
      </c>
      <c r="BE189" s="124">
        <v>27361.167000000001</v>
      </c>
      <c r="BF189" s="124">
        <v>20205.708999999995</v>
      </c>
      <c r="BG189" s="124">
        <v>13419.94</v>
      </c>
      <c r="BH189" s="124">
        <v>6422.6959999999999</v>
      </c>
      <c r="BI189" s="124">
        <v>25777.104999999996</v>
      </c>
      <c r="BJ189" s="124">
        <v>19199.566999999999</v>
      </c>
      <c r="BK189" s="124">
        <v>12612.402999999998</v>
      </c>
      <c r="BL189" s="124">
        <v>6121.1849999999995</v>
      </c>
      <c r="BM189" s="1">
        <v>24259.767</v>
      </c>
      <c r="BN189" s="1">
        <v>18355.764999999999</v>
      </c>
      <c r="BO189" s="1">
        <v>12609.635</v>
      </c>
      <c r="BP189" s="1">
        <v>6497.2579999999998</v>
      </c>
      <c r="BQ189" s="1" t="s">
        <v>121</v>
      </c>
      <c r="BR189" s="1" t="s">
        <v>121</v>
      </c>
      <c r="BS189" s="1" t="s">
        <v>121</v>
      </c>
      <c r="BT189" s="1" t="s">
        <v>121</v>
      </c>
      <c r="BU189" s="1" t="s">
        <v>121</v>
      </c>
      <c r="BV189" s="1" t="s">
        <v>121</v>
      </c>
      <c r="BW189" s="1" t="s">
        <v>121</v>
      </c>
      <c r="BX189" s="1" t="s">
        <v>121</v>
      </c>
      <c r="BY189" s="1" t="s">
        <v>121</v>
      </c>
      <c r="BZ189" s="1" t="s">
        <v>121</v>
      </c>
      <c r="CA189" s="1" t="s">
        <v>121</v>
      </c>
      <c r="CB189" s="1" t="s">
        <v>121</v>
      </c>
      <c r="CC189" s="1" t="s">
        <v>121</v>
      </c>
      <c r="CD189" s="1" t="s">
        <v>121</v>
      </c>
      <c r="CE189" s="1" t="s">
        <v>121</v>
      </c>
      <c r="CF189" s="1" t="s">
        <v>121</v>
      </c>
      <c r="CG189" s="1" t="s">
        <v>121</v>
      </c>
      <c r="CH189" s="1" t="s">
        <v>121</v>
      </c>
      <c r="CI189" s="1" t="s">
        <v>121</v>
      </c>
      <c r="CJ189" s="1" t="s">
        <v>121</v>
      </c>
      <c r="CK189" s="1" t="s">
        <v>121</v>
      </c>
      <c r="CL189" s="1" t="s">
        <v>121</v>
      </c>
      <c r="CM189" s="1" t="s">
        <v>121</v>
      </c>
      <c r="CN189" s="1" t="s">
        <v>121</v>
      </c>
      <c r="CO189" s="1" t="s">
        <v>121</v>
      </c>
      <c r="CP189" s="1" t="s">
        <v>121</v>
      </c>
      <c r="CQ189" s="1" t="s">
        <v>121</v>
      </c>
      <c r="CR189" s="1" t="s">
        <v>121</v>
      </c>
      <c r="CS189" s="1" t="s">
        <v>121</v>
      </c>
      <c r="CT189" s="1" t="s">
        <v>121</v>
      </c>
      <c r="CU189" s="1" t="s">
        <v>121</v>
      </c>
      <c r="CV189" s="1" t="s">
        <v>121</v>
      </c>
      <c r="CW189" s="1" t="s">
        <v>121</v>
      </c>
      <c r="CX189" s="1" t="s">
        <v>121</v>
      </c>
      <c r="CY189" s="1" t="s">
        <v>121</v>
      </c>
      <c r="CZ189" s="1" t="s">
        <v>121</v>
      </c>
      <c r="DA189" s="1" t="s">
        <v>121</v>
      </c>
      <c r="DB189" s="1" t="s">
        <v>121</v>
      </c>
      <c r="DC189" s="1" t="s">
        <v>121</v>
      </c>
      <c r="DD189" s="1" t="s">
        <v>121</v>
      </c>
      <c r="DE189" s="1" t="s">
        <v>121</v>
      </c>
      <c r="DF189" s="1" t="s">
        <v>121</v>
      </c>
      <c r="DG189" s="1" t="s">
        <v>121</v>
      </c>
      <c r="DH189" s="1" t="s">
        <v>121</v>
      </c>
      <c r="DI189" s="1" t="s">
        <v>121</v>
      </c>
      <c r="DJ189" s="1" t="s">
        <v>121</v>
      </c>
      <c r="DK189" s="1" t="s">
        <v>121</v>
      </c>
      <c r="DL189" s="1" t="s">
        <v>121</v>
      </c>
      <c r="DM189" s="1" t="s">
        <v>121</v>
      </c>
      <c r="DN189" s="1" t="s">
        <v>121</v>
      </c>
      <c r="DO189" s="1" t="s">
        <v>121</v>
      </c>
      <c r="DP189" s="1" t="s">
        <v>121</v>
      </c>
      <c r="DQ189" s="1" t="s">
        <v>121</v>
      </c>
      <c r="DR189" s="1" t="s">
        <v>121</v>
      </c>
      <c r="DS189" s="1" t="s">
        <v>121</v>
      </c>
      <c r="DT189" s="1" t="s">
        <v>121</v>
      </c>
      <c r="DU189" s="1" t="s">
        <v>121</v>
      </c>
      <c r="DV189" s="1" t="s">
        <v>121</v>
      </c>
      <c r="DW189" s="1" t="s">
        <v>121</v>
      </c>
      <c r="DX189" s="1" t="s">
        <v>121</v>
      </c>
      <c r="DY189" s="1" t="s">
        <v>121</v>
      </c>
      <c r="DZ189" s="1" t="s">
        <v>121</v>
      </c>
      <c r="EA189" s="1" t="s">
        <v>121</v>
      </c>
      <c r="EB189" s="1" t="s">
        <v>121</v>
      </c>
      <c r="EC189" s="1" t="s">
        <v>121</v>
      </c>
      <c r="ED189" s="1" t="s">
        <v>121</v>
      </c>
      <c r="EE189" s="1" t="s">
        <v>121</v>
      </c>
      <c r="EF189" s="1" t="s">
        <v>121</v>
      </c>
      <c r="EG189" s="1" t="s">
        <v>121</v>
      </c>
      <c r="EH189" s="1" t="s">
        <v>121</v>
      </c>
      <c r="EI189" s="1" t="s">
        <v>121</v>
      </c>
      <c r="EJ189" s="1" t="s">
        <v>121</v>
      </c>
      <c r="EK189" s="1" t="s">
        <v>121</v>
      </c>
      <c r="EL189" s="1" t="s">
        <v>121</v>
      </c>
      <c r="EM189" s="1" t="s">
        <v>121</v>
      </c>
      <c r="EN189" s="1" t="s">
        <v>121</v>
      </c>
      <c r="EO189" s="1" t="s">
        <v>121</v>
      </c>
      <c r="EP189" s="1" t="s">
        <v>121</v>
      </c>
      <c r="EQ189" s="1" t="s">
        <v>121</v>
      </c>
      <c r="ER189" s="1" t="s">
        <v>121</v>
      </c>
      <c r="ES189" s="1" t="s">
        <v>121</v>
      </c>
      <c r="ET189" s="1" t="s">
        <v>121</v>
      </c>
      <c r="EU189" s="1" t="s">
        <v>121</v>
      </c>
      <c r="EV189" s="1" t="s">
        <v>121</v>
      </c>
      <c r="EW189" s="1" t="s">
        <v>121</v>
      </c>
      <c r="EX189" s="1" t="s">
        <v>121</v>
      </c>
    </row>
    <row r="190" spans="1:154" x14ac:dyDescent="0.25">
      <c r="A190" s="72">
        <v>190</v>
      </c>
      <c r="B190" s="73" t="s">
        <v>410</v>
      </c>
      <c r="C190" s="91" t="s">
        <v>121</v>
      </c>
      <c r="D190" s="86" t="s">
        <v>121</v>
      </c>
      <c r="E190" s="270" t="s">
        <v>121</v>
      </c>
      <c r="F190" s="330" t="s">
        <v>121</v>
      </c>
      <c r="G190" s="330" t="s">
        <v>121</v>
      </c>
      <c r="H190" s="330" t="s">
        <v>121</v>
      </c>
      <c r="I190" s="330" t="s">
        <v>121</v>
      </c>
      <c r="J190" s="330" t="s">
        <v>121</v>
      </c>
      <c r="K190" s="330" t="s">
        <v>121</v>
      </c>
      <c r="L190" s="330" t="s">
        <v>121</v>
      </c>
      <c r="M190" s="330" t="s">
        <v>121</v>
      </c>
      <c r="N190" s="330" t="s">
        <v>121</v>
      </c>
      <c r="O190" s="330" t="s">
        <v>121</v>
      </c>
      <c r="P190" s="330" t="s">
        <v>121</v>
      </c>
      <c r="Q190" s="405"/>
      <c r="R190" s="405"/>
      <c r="S190" s="405"/>
      <c r="T190" s="405"/>
      <c r="U190" s="275" t="s">
        <v>121</v>
      </c>
      <c r="V190" s="86" t="s">
        <v>121</v>
      </c>
      <c r="W190" s="86" t="s">
        <v>121</v>
      </c>
      <c r="X190" s="86" t="s">
        <v>121</v>
      </c>
      <c r="Y190" s="86" t="s">
        <v>121</v>
      </c>
      <c r="Z190" s="86" t="s">
        <v>121</v>
      </c>
      <c r="AA190" s="86" t="s">
        <v>121</v>
      </c>
      <c r="AB190" s="86" t="s">
        <v>121</v>
      </c>
      <c r="AC190" s="86" t="s">
        <v>121</v>
      </c>
      <c r="AD190" s="86" t="s">
        <v>121</v>
      </c>
      <c r="AE190" s="86" t="s">
        <v>121</v>
      </c>
      <c r="AF190" s="86" t="s">
        <v>121</v>
      </c>
      <c r="AG190" s="86" t="s">
        <v>121</v>
      </c>
      <c r="AH190" s="86" t="s">
        <v>121</v>
      </c>
      <c r="AI190" s="86" t="s">
        <v>121</v>
      </c>
      <c r="AJ190" s="86" t="s">
        <v>121</v>
      </c>
      <c r="AK190" s="86" t="s">
        <v>121</v>
      </c>
      <c r="AL190" s="86" t="s">
        <v>121</v>
      </c>
      <c r="AM190" s="86" t="s">
        <v>121</v>
      </c>
      <c r="AN190" s="86" t="s">
        <v>121</v>
      </c>
      <c r="AO190" s="86" t="s">
        <v>121</v>
      </c>
      <c r="AP190" s="86" t="s">
        <v>121</v>
      </c>
      <c r="AQ190" s="86" t="s">
        <v>121</v>
      </c>
      <c r="AR190" s="86" t="s">
        <v>121</v>
      </c>
      <c r="AS190" s="86" t="s">
        <v>121</v>
      </c>
      <c r="AT190" s="86" t="s">
        <v>121</v>
      </c>
      <c r="AU190" s="86" t="s">
        <v>121</v>
      </c>
      <c r="AV190" s="86" t="s">
        <v>121</v>
      </c>
      <c r="AW190" s="86" t="s">
        <v>121</v>
      </c>
      <c r="AX190" s="86" t="s">
        <v>121</v>
      </c>
      <c r="AY190" s="77" t="s">
        <v>121</v>
      </c>
      <c r="AZ190" s="55" t="s">
        <v>121</v>
      </c>
      <c r="BA190" s="55" t="s">
        <v>121</v>
      </c>
      <c r="BB190" s="55" t="s">
        <v>121</v>
      </c>
      <c r="BC190" s="55" t="s">
        <v>121</v>
      </c>
      <c r="BD190" s="55" t="s">
        <v>121</v>
      </c>
      <c r="BE190" s="55" t="s">
        <v>121</v>
      </c>
      <c r="BF190" s="55" t="s">
        <v>121</v>
      </c>
      <c r="BG190" s="55" t="s">
        <v>121</v>
      </c>
      <c r="BH190" s="55" t="s">
        <v>121</v>
      </c>
      <c r="BI190" s="55" t="s">
        <v>121</v>
      </c>
      <c r="BJ190" s="55" t="s">
        <v>121</v>
      </c>
      <c r="BK190" s="55" t="s">
        <v>121</v>
      </c>
      <c r="BL190" s="55" t="s">
        <v>121</v>
      </c>
      <c r="BM190" s="1" t="s">
        <v>121</v>
      </c>
      <c r="BN190" s="1" t="s">
        <v>121</v>
      </c>
      <c r="BO190" s="1" t="s">
        <v>121</v>
      </c>
      <c r="BP190" s="1" t="s">
        <v>121</v>
      </c>
      <c r="BQ190" s="1" t="s">
        <v>121</v>
      </c>
      <c r="BR190" s="1" t="s">
        <v>121</v>
      </c>
      <c r="BS190" s="1" t="s">
        <v>121</v>
      </c>
      <c r="BT190" s="1" t="s">
        <v>121</v>
      </c>
      <c r="BU190" s="1" t="s">
        <v>121</v>
      </c>
      <c r="BV190" s="1" t="s">
        <v>121</v>
      </c>
      <c r="BW190" s="1" t="s">
        <v>121</v>
      </c>
      <c r="BX190" s="1" t="s">
        <v>121</v>
      </c>
      <c r="BY190" s="1" t="s">
        <v>121</v>
      </c>
      <c r="BZ190" s="1" t="s">
        <v>121</v>
      </c>
      <c r="CA190" s="1" t="s">
        <v>121</v>
      </c>
      <c r="CB190" s="1" t="s">
        <v>121</v>
      </c>
      <c r="CC190" s="1" t="s">
        <v>121</v>
      </c>
      <c r="CD190" s="1" t="s">
        <v>121</v>
      </c>
      <c r="CE190" s="1" t="s">
        <v>121</v>
      </c>
      <c r="CF190" s="1" t="s">
        <v>121</v>
      </c>
      <c r="CG190" s="1" t="s">
        <v>121</v>
      </c>
      <c r="CH190" s="1" t="s">
        <v>121</v>
      </c>
      <c r="CI190" s="1" t="s">
        <v>121</v>
      </c>
      <c r="CJ190" s="1" t="s">
        <v>121</v>
      </c>
      <c r="CK190" s="1" t="s">
        <v>121</v>
      </c>
      <c r="CL190" s="1" t="s">
        <v>121</v>
      </c>
      <c r="CM190" s="1" t="s">
        <v>121</v>
      </c>
      <c r="CN190" s="1" t="s">
        <v>121</v>
      </c>
      <c r="CO190" s="1" t="s">
        <v>121</v>
      </c>
      <c r="CP190" s="1" t="s">
        <v>121</v>
      </c>
      <c r="CQ190" s="1" t="s">
        <v>121</v>
      </c>
      <c r="CR190" s="1" t="s">
        <v>121</v>
      </c>
      <c r="CS190" s="1" t="s">
        <v>121</v>
      </c>
      <c r="CT190" s="1" t="s">
        <v>121</v>
      </c>
      <c r="CU190" s="1" t="s">
        <v>121</v>
      </c>
      <c r="CV190" s="1" t="s">
        <v>121</v>
      </c>
      <c r="CW190" s="1" t="s">
        <v>121</v>
      </c>
      <c r="CX190" s="1" t="s">
        <v>121</v>
      </c>
      <c r="CY190" s="1" t="s">
        <v>121</v>
      </c>
      <c r="CZ190" s="1" t="s">
        <v>121</v>
      </c>
      <c r="DA190" s="1" t="s">
        <v>121</v>
      </c>
      <c r="DB190" s="1" t="s">
        <v>121</v>
      </c>
      <c r="DC190" s="1" t="s">
        <v>121</v>
      </c>
      <c r="DD190" s="1" t="s">
        <v>121</v>
      </c>
      <c r="DE190" s="1" t="s">
        <v>121</v>
      </c>
      <c r="DF190" s="1" t="s">
        <v>121</v>
      </c>
      <c r="DG190" s="1" t="s">
        <v>121</v>
      </c>
      <c r="DH190" s="1" t="s">
        <v>121</v>
      </c>
      <c r="DI190" s="1" t="s">
        <v>121</v>
      </c>
      <c r="DJ190" s="1" t="s">
        <v>121</v>
      </c>
      <c r="DK190" s="1" t="s">
        <v>121</v>
      </c>
      <c r="DL190" s="1" t="s">
        <v>121</v>
      </c>
      <c r="DM190" s="1" t="s">
        <v>121</v>
      </c>
      <c r="DN190" s="1" t="s">
        <v>121</v>
      </c>
      <c r="DO190" s="1" t="s">
        <v>121</v>
      </c>
      <c r="DP190" s="1" t="s">
        <v>121</v>
      </c>
      <c r="DQ190" s="1" t="s">
        <v>121</v>
      </c>
      <c r="DR190" s="1" t="s">
        <v>121</v>
      </c>
      <c r="DS190" s="1" t="s">
        <v>121</v>
      </c>
      <c r="DT190" s="1" t="s">
        <v>121</v>
      </c>
      <c r="DU190" s="1" t="s">
        <v>121</v>
      </c>
      <c r="DV190" s="1" t="s">
        <v>121</v>
      </c>
      <c r="DW190" s="1" t="s">
        <v>121</v>
      </c>
      <c r="DX190" s="1" t="s">
        <v>121</v>
      </c>
      <c r="DY190" s="1" t="s">
        <v>121</v>
      </c>
      <c r="DZ190" s="1" t="s">
        <v>121</v>
      </c>
      <c r="EA190" s="1" t="s">
        <v>121</v>
      </c>
      <c r="EB190" s="1" t="s">
        <v>121</v>
      </c>
      <c r="EC190" s="1" t="s">
        <v>121</v>
      </c>
      <c r="ED190" s="1" t="s">
        <v>121</v>
      </c>
      <c r="EE190" s="1" t="s">
        <v>121</v>
      </c>
      <c r="EF190" s="1" t="s">
        <v>121</v>
      </c>
      <c r="EG190" s="1" t="s">
        <v>121</v>
      </c>
      <c r="EH190" s="1" t="s">
        <v>121</v>
      </c>
      <c r="EI190" s="1" t="s">
        <v>121</v>
      </c>
      <c r="EJ190" s="1" t="s">
        <v>121</v>
      </c>
      <c r="EK190" s="1" t="s">
        <v>121</v>
      </c>
      <c r="EL190" s="1" t="s">
        <v>121</v>
      </c>
      <c r="EM190" s="1" t="s">
        <v>121</v>
      </c>
      <c r="EN190" s="1" t="s">
        <v>121</v>
      </c>
      <c r="EO190" s="1" t="s">
        <v>121</v>
      </c>
      <c r="EP190" s="1" t="s">
        <v>121</v>
      </c>
      <c r="EQ190" s="1" t="s">
        <v>121</v>
      </c>
      <c r="ER190" s="1" t="s">
        <v>121</v>
      </c>
      <c r="ES190" s="1" t="s">
        <v>121</v>
      </c>
      <c r="ET190" s="1" t="s">
        <v>121</v>
      </c>
      <c r="EU190" s="1" t="s">
        <v>121</v>
      </c>
      <c r="EV190" s="1" t="s">
        <v>121</v>
      </c>
      <c r="EW190" s="1" t="s">
        <v>121</v>
      </c>
      <c r="EX190" s="1" t="s">
        <v>121</v>
      </c>
    </row>
    <row r="191" spans="1:154" x14ac:dyDescent="0.25">
      <c r="A191" s="72">
        <v>191</v>
      </c>
      <c r="B191" s="61" t="s">
        <v>287</v>
      </c>
      <c r="C191" s="91" t="s">
        <v>121</v>
      </c>
      <c r="D191" s="86" t="s">
        <v>121</v>
      </c>
      <c r="E191" s="92">
        <v>0.25501820558304544</v>
      </c>
      <c r="F191" s="313">
        <v>26885</v>
      </c>
      <c r="G191" s="313">
        <v>14924</v>
      </c>
      <c r="H191" s="313">
        <v>7060</v>
      </c>
      <c r="I191" s="313">
        <v>31270</v>
      </c>
      <c r="J191" s="313">
        <v>21422</v>
      </c>
      <c r="K191" s="313">
        <v>13329</v>
      </c>
      <c r="L191" s="313">
        <v>6306</v>
      </c>
      <c r="M191" s="313">
        <v>10293</v>
      </c>
      <c r="N191" s="313">
        <v>4465</v>
      </c>
      <c r="O191" s="313">
        <v>2185</v>
      </c>
      <c r="P191" s="313">
        <v>696</v>
      </c>
      <c r="Q191" s="405"/>
      <c r="R191" s="405"/>
      <c r="S191" s="405"/>
      <c r="T191" s="405"/>
      <c r="U191" s="313">
        <v>4361</v>
      </c>
      <c r="V191" s="77">
        <v>2515</v>
      </c>
      <c r="W191" s="77">
        <v>1766</v>
      </c>
      <c r="X191" s="77">
        <v>815</v>
      </c>
      <c r="Y191" s="77">
        <v>4741</v>
      </c>
      <c r="Z191" s="77">
        <v>3764.7890000000002</v>
      </c>
      <c r="AA191" s="77">
        <v>2527.9459999999999</v>
      </c>
      <c r="AB191" s="77">
        <v>1232.8430000000001</v>
      </c>
      <c r="AC191" s="77">
        <v>7458.7790000000005</v>
      </c>
      <c r="AD191" s="77">
        <v>5841.1210000000001</v>
      </c>
      <c r="AE191" s="77">
        <v>4049.2959999999998</v>
      </c>
      <c r="AF191" s="77">
        <v>2422.357</v>
      </c>
      <c r="AG191" s="77">
        <v>8372.5290000000005</v>
      </c>
      <c r="AH191" s="77">
        <v>6197.3180000000002</v>
      </c>
      <c r="AI191" s="77">
        <v>4168.75</v>
      </c>
      <c r="AJ191" s="77">
        <v>1885.0029999999999</v>
      </c>
      <c r="AK191" s="77">
        <v>10376.755999999999</v>
      </c>
      <c r="AL191" s="77">
        <v>8367.36</v>
      </c>
      <c r="AM191" s="77">
        <v>5922.5469999999996</v>
      </c>
      <c r="AN191" s="77">
        <v>2746.4609999999998</v>
      </c>
      <c r="AO191" s="77">
        <v>10778.701999999999</v>
      </c>
      <c r="AP191" s="77">
        <v>8440.5339999999997</v>
      </c>
      <c r="AQ191" s="77">
        <v>5811.1409999999996</v>
      </c>
      <c r="AR191" s="77">
        <v>2777.8359999999998</v>
      </c>
      <c r="AS191" s="77">
        <v>11209.66</v>
      </c>
      <c r="AT191" s="77">
        <v>8737.7440000000006</v>
      </c>
      <c r="AU191" s="77">
        <v>5799.6390000000001</v>
      </c>
      <c r="AV191" s="77">
        <v>2849.5630000000001</v>
      </c>
      <c r="AW191" s="77">
        <v>6256.0780000000004</v>
      </c>
      <c r="AX191" s="77">
        <v>4147.384</v>
      </c>
      <c r="AY191" s="77">
        <v>2634.136</v>
      </c>
      <c r="AZ191" s="55">
        <v>1171.8589999999999</v>
      </c>
      <c r="BA191" s="55">
        <v>3569.84</v>
      </c>
      <c r="BB191" s="55">
        <v>2509.7060000000001</v>
      </c>
      <c r="BC191" s="55">
        <v>1520.9870000000001</v>
      </c>
      <c r="BD191" s="55">
        <v>689.08</v>
      </c>
      <c r="BE191" s="55">
        <v>2506.7629999999999</v>
      </c>
      <c r="BF191" s="55">
        <v>1710.7049999999999</v>
      </c>
      <c r="BG191" s="55">
        <v>1042.1559999999999</v>
      </c>
      <c r="BH191" s="55">
        <v>357.72899999999998</v>
      </c>
      <c r="BI191" s="55">
        <v>785.99099999999999</v>
      </c>
      <c r="BJ191" s="55">
        <v>414.97899999999998</v>
      </c>
      <c r="BK191" s="55">
        <v>241.881</v>
      </c>
      <c r="BL191" s="55">
        <v>70.22</v>
      </c>
      <c r="BM191" s="1">
        <v>612.90099999999995</v>
      </c>
      <c r="BN191" s="1">
        <v>544.16600000000005</v>
      </c>
      <c r="BO191" s="1">
        <v>327.49099999999999</v>
      </c>
      <c r="BP191" s="1">
        <v>299.25599999999997</v>
      </c>
      <c r="BQ191" s="1" t="s">
        <v>121</v>
      </c>
      <c r="BR191" s="1" t="s">
        <v>121</v>
      </c>
      <c r="BS191" s="1" t="s">
        <v>121</v>
      </c>
      <c r="BT191" s="1" t="s">
        <v>121</v>
      </c>
      <c r="BU191" s="1" t="s">
        <v>121</v>
      </c>
      <c r="BV191" s="1" t="s">
        <v>121</v>
      </c>
      <c r="BW191" s="1" t="s">
        <v>121</v>
      </c>
      <c r="BX191" s="1" t="s">
        <v>121</v>
      </c>
      <c r="BY191" s="1" t="s">
        <v>121</v>
      </c>
      <c r="BZ191" s="1" t="s">
        <v>121</v>
      </c>
      <c r="CA191" s="1" t="s">
        <v>121</v>
      </c>
      <c r="CB191" s="1" t="s">
        <v>121</v>
      </c>
      <c r="CC191" s="1" t="s">
        <v>121</v>
      </c>
      <c r="CD191" s="1" t="s">
        <v>121</v>
      </c>
      <c r="CE191" s="1" t="s">
        <v>121</v>
      </c>
      <c r="CF191" s="1" t="s">
        <v>121</v>
      </c>
      <c r="CG191" s="1" t="s">
        <v>121</v>
      </c>
      <c r="CH191" s="1" t="s">
        <v>121</v>
      </c>
      <c r="CI191" s="1" t="s">
        <v>121</v>
      </c>
      <c r="CJ191" s="1" t="s">
        <v>121</v>
      </c>
      <c r="CK191" s="1" t="s">
        <v>121</v>
      </c>
      <c r="CL191" s="1" t="s">
        <v>121</v>
      </c>
      <c r="CM191" s="1" t="s">
        <v>121</v>
      </c>
      <c r="CN191" s="1" t="s">
        <v>121</v>
      </c>
      <c r="CO191" s="1" t="s">
        <v>121</v>
      </c>
      <c r="CP191" s="1" t="s">
        <v>121</v>
      </c>
      <c r="CQ191" s="1" t="s">
        <v>121</v>
      </c>
      <c r="CR191" s="1" t="s">
        <v>121</v>
      </c>
      <c r="CS191" s="1" t="s">
        <v>121</v>
      </c>
      <c r="CT191" s="1" t="s">
        <v>121</v>
      </c>
      <c r="CU191" s="1" t="s">
        <v>121</v>
      </c>
      <c r="CV191" s="1" t="s">
        <v>121</v>
      </c>
      <c r="CW191" s="1" t="s">
        <v>121</v>
      </c>
      <c r="CX191" s="1" t="s">
        <v>121</v>
      </c>
      <c r="CY191" s="1" t="s">
        <v>121</v>
      </c>
      <c r="CZ191" s="1" t="s">
        <v>121</v>
      </c>
      <c r="DA191" s="1" t="s">
        <v>121</v>
      </c>
      <c r="DB191" s="1" t="s">
        <v>121</v>
      </c>
      <c r="DC191" s="1" t="s">
        <v>121</v>
      </c>
      <c r="DD191" s="1" t="s">
        <v>121</v>
      </c>
      <c r="DE191" s="1" t="s">
        <v>121</v>
      </c>
      <c r="DF191" s="1" t="s">
        <v>121</v>
      </c>
      <c r="DG191" s="1" t="s">
        <v>121</v>
      </c>
      <c r="DH191" s="1" t="s">
        <v>121</v>
      </c>
      <c r="DI191" s="1" t="s">
        <v>121</v>
      </c>
      <c r="DJ191" s="1" t="s">
        <v>121</v>
      </c>
      <c r="DK191" s="1" t="s">
        <v>121</v>
      </c>
      <c r="DL191" s="1" t="s">
        <v>121</v>
      </c>
      <c r="DM191" s="1" t="s">
        <v>121</v>
      </c>
      <c r="DN191" s="1" t="s">
        <v>121</v>
      </c>
      <c r="DO191" s="1" t="s">
        <v>121</v>
      </c>
      <c r="DP191" s="1" t="s">
        <v>121</v>
      </c>
      <c r="DQ191" s="1" t="s">
        <v>121</v>
      </c>
      <c r="DR191" s="1" t="s">
        <v>121</v>
      </c>
      <c r="DS191" s="1" t="s">
        <v>121</v>
      </c>
      <c r="DT191" s="1" t="s">
        <v>121</v>
      </c>
      <c r="DU191" s="1" t="s">
        <v>121</v>
      </c>
      <c r="DV191" s="1" t="s">
        <v>121</v>
      </c>
      <c r="DW191" s="1" t="s">
        <v>121</v>
      </c>
      <c r="DX191" s="1" t="s">
        <v>121</v>
      </c>
      <c r="DY191" s="1" t="s">
        <v>121</v>
      </c>
      <c r="DZ191" s="1" t="s">
        <v>121</v>
      </c>
      <c r="EA191" s="1" t="s">
        <v>121</v>
      </c>
      <c r="EB191" s="1" t="s">
        <v>121</v>
      </c>
      <c r="EC191" s="1" t="s">
        <v>121</v>
      </c>
      <c r="ED191" s="1" t="s">
        <v>121</v>
      </c>
      <c r="EE191" s="1" t="s">
        <v>121</v>
      </c>
      <c r="EF191" s="1" t="s">
        <v>121</v>
      </c>
      <c r="EG191" s="1" t="s">
        <v>121</v>
      </c>
      <c r="EH191" s="1" t="s">
        <v>121</v>
      </c>
      <c r="EI191" s="1" t="s">
        <v>121</v>
      </c>
      <c r="EJ191" s="1" t="s">
        <v>121</v>
      </c>
      <c r="EK191" s="1" t="s">
        <v>121</v>
      </c>
      <c r="EL191" s="1" t="s">
        <v>121</v>
      </c>
      <c r="EM191" s="1" t="s">
        <v>121</v>
      </c>
      <c r="EN191" s="1" t="s">
        <v>121</v>
      </c>
      <c r="EO191" s="1" t="s">
        <v>121</v>
      </c>
      <c r="EP191" s="1" t="s">
        <v>121</v>
      </c>
      <c r="EQ191" s="1" t="s">
        <v>121</v>
      </c>
      <c r="ER191" s="1" t="s">
        <v>121</v>
      </c>
      <c r="ES191" s="1" t="s">
        <v>121</v>
      </c>
      <c r="ET191" s="1" t="s">
        <v>121</v>
      </c>
      <c r="EU191" s="1" t="s">
        <v>121</v>
      </c>
      <c r="EV191" s="1" t="s">
        <v>121</v>
      </c>
      <c r="EW191" s="1" t="s">
        <v>121</v>
      </c>
      <c r="EX191" s="1" t="s">
        <v>121</v>
      </c>
    </row>
    <row r="192" spans="1:154" x14ac:dyDescent="0.25">
      <c r="A192" s="72">
        <v>192</v>
      </c>
      <c r="B192" s="136" t="s">
        <v>452</v>
      </c>
      <c r="C192" s="91" t="s">
        <v>121</v>
      </c>
      <c r="D192" s="86" t="s">
        <v>121</v>
      </c>
      <c r="E192" s="92">
        <v>0.86123045982265278</v>
      </c>
      <c r="F192" s="313">
        <v>20360</v>
      </c>
      <c r="G192" s="313">
        <v>14005</v>
      </c>
      <c r="H192" s="313">
        <v>7201</v>
      </c>
      <c r="I192" s="313">
        <v>16782</v>
      </c>
      <c r="J192" s="313">
        <v>10939</v>
      </c>
      <c r="K192" s="313">
        <v>6887</v>
      </c>
      <c r="L192" s="313">
        <v>3415</v>
      </c>
      <c r="M192" s="313">
        <v>7186</v>
      </c>
      <c r="N192" s="313">
        <v>4447</v>
      </c>
      <c r="O192" s="313">
        <v>3010</v>
      </c>
      <c r="P192" s="313">
        <v>1504</v>
      </c>
      <c r="Q192" s="405"/>
      <c r="R192" s="405"/>
      <c r="S192" s="405"/>
      <c r="T192" s="405"/>
      <c r="U192" s="313">
        <v>3918</v>
      </c>
      <c r="V192" s="77">
        <v>2778</v>
      </c>
      <c r="W192" s="77">
        <v>1710</v>
      </c>
      <c r="X192" s="77">
        <v>744</v>
      </c>
      <c r="Y192" s="77">
        <v>3531</v>
      </c>
      <c r="Z192" s="77">
        <v>2815.4609999999998</v>
      </c>
      <c r="AA192" s="77">
        <v>2079.6729999999998</v>
      </c>
      <c r="AB192" s="77">
        <v>1005.768</v>
      </c>
      <c r="AC192" s="77">
        <v>4977.0770000000002</v>
      </c>
      <c r="AD192" s="77">
        <v>3812.2710000000002</v>
      </c>
      <c r="AE192" s="77">
        <v>2641.1759999999999</v>
      </c>
      <c r="AF192" s="77">
        <v>1321.2850000000001</v>
      </c>
      <c r="AG192" s="77">
        <v>4671.04</v>
      </c>
      <c r="AH192" s="77">
        <v>3511.9070000000002</v>
      </c>
      <c r="AI192" s="77">
        <v>2363.9250000000002</v>
      </c>
      <c r="AJ192" s="77">
        <v>1291.636</v>
      </c>
      <c r="AK192" s="77">
        <v>5563.9369999999999</v>
      </c>
      <c r="AL192" s="77">
        <v>4320.8689999999997</v>
      </c>
      <c r="AM192" s="77">
        <v>3118.4119999999998</v>
      </c>
      <c r="AN192" s="77">
        <v>1852.498</v>
      </c>
      <c r="AO192" s="77">
        <v>6515.1350000000002</v>
      </c>
      <c r="AP192" s="77">
        <v>5041.8710000000001</v>
      </c>
      <c r="AQ192" s="77">
        <v>3462.799</v>
      </c>
      <c r="AR192" s="77">
        <v>1750.7170000000001</v>
      </c>
      <c r="AS192" s="77">
        <v>8636.3269999999993</v>
      </c>
      <c r="AT192" s="77">
        <v>6579.9160000000002</v>
      </c>
      <c r="AU192" s="77">
        <v>4456.982</v>
      </c>
      <c r="AV192" s="77">
        <v>2164.5430000000001</v>
      </c>
      <c r="AW192" s="77">
        <v>4899.6769999999997</v>
      </c>
      <c r="AX192" s="77">
        <v>3565.53</v>
      </c>
      <c r="AY192" s="77">
        <v>2297.0340000000001</v>
      </c>
      <c r="AZ192" s="77">
        <v>1141.1690000000001</v>
      </c>
      <c r="BA192" s="77">
        <v>5164.482</v>
      </c>
      <c r="BB192" s="77">
        <v>3930.4560000000001</v>
      </c>
      <c r="BC192" s="77">
        <v>2653.5549999999998</v>
      </c>
      <c r="BD192" s="77">
        <v>1286.2349999999999</v>
      </c>
      <c r="BE192" s="77">
        <v>5251.7510000000002</v>
      </c>
      <c r="BF192" s="55">
        <v>4012.6280000000002</v>
      </c>
      <c r="BG192" s="55">
        <v>2699.5</v>
      </c>
      <c r="BH192" s="55">
        <v>1400.5450000000001</v>
      </c>
      <c r="BI192" s="55">
        <v>4587.3130000000001</v>
      </c>
      <c r="BJ192" s="55">
        <v>3375.8470000000002</v>
      </c>
      <c r="BK192" s="55">
        <v>2249.0650000000001</v>
      </c>
      <c r="BL192" s="55">
        <v>1093.9469999999999</v>
      </c>
      <c r="BM192" s="1">
        <v>4766.9229999999998</v>
      </c>
      <c r="BN192" s="1">
        <v>3638.7730000000001</v>
      </c>
      <c r="BO192" s="1">
        <v>2772.0140000000001</v>
      </c>
      <c r="BP192" s="1">
        <v>1464.078</v>
      </c>
      <c r="BQ192" s="1" t="s">
        <v>121</v>
      </c>
      <c r="BR192" s="1" t="s">
        <v>121</v>
      </c>
      <c r="BS192" s="1" t="s">
        <v>121</v>
      </c>
      <c r="BT192" s="1" t="s">
        <v>121</v>
      </c>
      <c r="BU192" s="1" t="s">
        <v>121</v>
      </c>
      <c r="BV192" s="1" t="s">
        <v>121</v>
      </c>
      <c r="BW192" s="1" t="s">
        <v>121</v>
      </c>
      <c r="BX192" s="1" t="s">
        <v>121</v>
      </c>
      <c r="BY192" s="1" t="s">
        <v>121</v>
      </c>
      <c r="BZ192" s="1" t="s">
        <v>121</v>
      </c>
      <c r="CA192" s="1" t="s">
        <v>121</v>
      </c>
      <c r="CB192" s="1" t="s">
        <v>121</v>
      </c>
      <c r="CC192" s="1" t="s">
        <v>121</v>
      </c>
      <c r="CD192" s="1" t="s">
        <v>121</v>
      </c>
      <c r="CE192" s="1" t="s">
        <v>121</v>
      </c>
      <c r="CF192" s="1" t="s">
        <v>121</v>
      </c>
      <c r="CG192" s="1" t="s">
        <v>121</v>
      </c>
      <c r="CH192" s="1" t="s">
        <v>121</v>
      </c>
      <c r="CI192" s="1" t="s">
        <v>121</v>
      </c>
      <c r="CJ192" s="1" t="s">
        <v>121</v>
      </c>
      <c r="CK192" s="1" t="s">
        <v>121</v>
      </c>
      <c r="CL192" s="1" t="s">
        <v>121</v>
      </c>
      <c r="CM192" s="1" t="s">
        <v>121</v>
      </c>
      <c r="CN192" s="1" t="s">
        <v>121</v>
      </c>
      <c r="CO192" s="1" t="s">
        <v>121</v>
      </c>
      <c r="CP192" s="1" t="s">
        <v>121</v>
      </c>
      <c r="CQ192" s="1" t="s">
        <v>121</v>
      </c>
      <c r="CR192" s="1" t="s">
        <v>121</v>
      </c>
      <c r="CS192" s="1" t="s">
        <v>121</v>
      </c>
      <c r="CT192" s="1" t="s">
        <v>121</v>
      </c>
      <c r="CU192" s="1" t="s">
        <v>121</v>
      </c>
      <c r="CV192" s="1" t="s">
        <v>121</v>
      </c>
      <c r="CW192" s="1" t="s">
        <v>121</v>
      </c>
      <c r="CX192" s="1" t="s">
        <v>121</v>
      </c>
      <c r="CY192" s="1" t="s">
        <v>121</v>
      </c>
      <c r="CZ192" s="1" t="s">
        <v>121</v>
      </c>
      <c r="DA192" s="1" t="s">
        <v>121</v>
      </c>
      <c r="DB192" s="1" t="s">
        <v>121</v>
      </c>
      <c r="DC192" s="1" t="s">
        <v>121</v>
      </c>
      <c r="DD192" s="1" t="s">
        <v>121</v>
      </c>
      <c r="DE192" s="1" t="s">
        <v>121</v>
      </c>
      <c r="DF192" s="1" t="s">
        <v>121</v>
      </c>
      <c r="DG192" s="1" t="s">
        <v>121</v>
      </c>
      <c r="DH192" s="1" t="s">
        <v>121</v>
      </c>
      <c r="DI192" s="1" t="s">
        <v>121</v>
      </c>
      <c r="DJ192" s="1" t="s">
        <v>121</v>
      </c>
      <c r="DK192" s="1" t="s">
        <v>121</v>
      </c>
      <c r="DL192" s="1" t="s">
        <v>121</v>
      </c>
      <c r="DM192" s="1" t="s">
        <v>121</v>
      </c>
      <c r="DN192" s="1" t="s">
        <v>121</v>
      </c>
      <c r="DO192" s="1" t="s">
        <v>121</v>
      </c>
      <c r="DP192" s="1" t="s">
        <v>121</v>
      </c>
      <c r="DQ192" s="1" t="s">
        <v>121</v>
      </c>
      <c r="DR192" s="1" t="s">
        <v>121</v>
      </c>
      <c r="DS192" s="1" t="s">
        <v>121</v>
      </c>
      <c r="DT192" s="1" t="s">
        <v>121</v>
      </c>
      <c r="DU192" s="1" t="s">
        <v>121</v>
      </c>
      <c r="DV192" s="1" t="s">
        <v>121</v>
      </c>
      <c r="DW192" s="1" t="s">
        <v>121</v>
      </c>
      <c r="DX192" s="1" t="s">
        <v>121</v>
      </c>
      <c r="DY192" s="1" t="s">
        <v>121</v>
      </c>
      <c r="DZ192" s="1" t="s">
        <v>121</v>
      </c>
      <c r="EA192" s="1" t="s">
        <v>121</v>
      </c>
      <c r="EB192" s="1" t="s">
        <v>121</v>
      </c>
      <c r="EC192" s="1" t="s">
        <v>121</v>
      </c>
      <c r="ED192" s="1" t="s">
        <v>121</v>
      </c>
      <c r="EE192" s="1" t="s">
        <v>121</v>
      </c>
      <c r="EF192" s="1" t="s">
        <v>121</v>
      </c>
      <c r="EG192" s="1" t="s">
        <v>121</v>
      </c>
      <c r="EH192" s="1" t="s">
        <v>121</v>
      </c>
      <c r="EI192" s="1" t="s">
        <v>121</v>
      </c>
      <c r="EJ192" s="1" t="s">
        <v>121</v>
      </c>
      <c r="EK192" s="1" t="s">
        <v>121</v>
      </c>
      <c r="EL192" s="1" t="s">
        <v>121</v>
      </c>
      <c r="EM192" s="1" t="s">
        <v>121</v>
      </c>
      <c r="EN192" s="1" t="s">
        <v>121</v>
      </c>
      <c r="EO192" s="1" t="s">
        <v>121</v>
      </c>
      <c r="EP192" s="1" t="s">
        <v>121</v>
      </c>
      <c r="EQ192" s="1" t="s">
        <v>121</v>
      </c>
      <c r="ER192" s="1" t="s">
        <v>121</v>
      </c>
      <c r="ES192" s="1" t="s">
        <v>121</v>
      </c>
      <c r="ET192" s="1" t="s">
        <v>121</v>
      </c>
      <c r="EU192" s="1" t="s">
        <v>121</v>
      </c>
      <c r="EV192" s="1" t="s">
        <v>121</v>
      </c>
      <c r="EW192" s="1" t="s">
        <v>121</v>
      </c>
      <c r="EX192" s="1" t="s">
        <v>121</v>
      </c>
    </row>
    <row r="193" spans="1:154" x14ac:dyDescent="0.25">
      <c r="A193" s="72">
        <v>193</v>
      </c>
      <c r="B193" s="61" t="s">
        <v>453</v>
      </c>
      <c r="C193" s="91" t="s">
        <v>121</v>
      </c>
      <c r="D193" s="86" t="s">
        <v>121</v>
      </c>
      <c r="E193" s="92">
        <v>1.145950899532147</v>
      </c>
      <c r="F193" s="313">
        <v>44492</v>
      </c>
      <c r="G193" s="313">
        <v>29172</v>
      </c>
      <c r="H193" s="313">
        <v>13930</v>
      </c>
      <c r="I193" s="313">
        <v>31392</v>
      </c>
      <c r="J193" s="313">
        <v>20733</v>
      </c>
      <c r="K193" s="313">
        <v>12862</v>
      </c>
      <c r="L193" s="313">
        <v>6092</v>
      </c>
      <c r="M193" s="313">
        <v>13399</v>
      </c>
      <c r="N193" s="313">
        <v>8784</v>
      </c>
      <c r="O193" s="313">
        <v>5525</v>
      </c>
      <c r="P193" s="313">
        <v>2697</v>
      </c>
      <c r="Q193" s="405"/>
      <c r="R193" s="405"/>
      <c r="S193" s="405"/>
      <c r="T193" s="405"/>
      <c r="U193" s="313">
        <v>6427</v>
      </c>
      <c r="V193" s="77">
        <v>4688</v>
      </c>
      <c r="W193" s="77">
        <v>3073</v>
      </c>
      <c r="X193" s="77">
        <v>1546</v>
      </c>
      <c r="Y193" s="77">
        <v>7540</v>
      </c>
      <c r="Z193" s="77">
        <v>5853.1790000000001</v>
      </c>
      <c r="AA193" s="77">
        <v>4031.2689999999998</v>
      </c>
      <c r="AB193" s="77">
        <v>2107.998</v>
      </c>
      <c r="AC193" s="77">
        <v>9669.3179999999993</v>
      </c>
      <c r="AD193" s="77">
        <v>7513.4610000000002</v>
      </c>
      <c r="AE193" s="77">
        <v>4992.8890000000001</v>
      </c>
      <c r="AF193" s="77">
        <v>2451.4989999999998</v>
      </c>
      <c r="AG193" s="77">
        <v>8459.6859999999997</v>
      </c>
      <c r="AH193" s="77">
        <v>6268.2380000000003</v>
      </c>
      <c r="AI193" s="77">
        <v>4178.9799999999996</v>
      </c>
      <c r="AJ193" s="77">
        <v>2105.0070000000001</v>
      </c>
      <c r="AK193" s="77">
        <v>8656.0059999999994</v>
      </c>
      <c r="AL193" s="77">
        <v>6538.8829999999998</v>
      </c>
      <c r="AM193" s="77">
        <v>4380.3379999999997</v>
      </c>
      <c r="AN193" s="77">
        <v>2181.8879999999999</v>
      </c>
      <c r="AO193" s="77">
        <v>9371.0650000000005</v>
      </c>
      <c r="AP193" s="77">
        <v>7184.8689999999997</v>
      </c>
      <c r="AQ193" s="77">
        <v>4851.2839999999997</v>
      </c>
      <c r="AR193" s="77">
        <v>2499.1840000000002</v>
      </c>
      <c r="AS193" s="77">
        <v>10182.789000000001</v>
      </c>
      <c r="AT193" s="77">
        <v>7503.3590000000004</v>
      </c>
      <c r="AU193" s="77">
        <v>4787.54</v>
      </c>
      <c r="AV193" s="77">
        <v>2214.5070000000001</v>
      </c>
      <c r="AW193" s="77">
        <v>5926.8879999999999</v>
      </c>
      <c r="AX193" s="77">
        <v>4610.1019999999999</v>
      </c>
      <c r="AY193" s="77">
        <v>3016.3589999999999</v>
      </c>
      <c r="AZ193" s="77">
        <v>1526.7249999999999</v>
      </c>
      <c r="BA193" s="77">
        <v>5809.0969999999998</v>
      </c>
      <c r="BB193" s="77">
        <v>4339.7569999999996</v>
      </c>
      <c r="BC193" s="77">
        <v>2802.5</v>
      </c>
      <c r="BD193" s="77">
        <v>1342.403</v>
      </c>
      <c r="BE193" s="77">
        <v>4812.6779999999999</v>
      </c>
      <c r="BF193" s="55">
        <v>3559.1320000000001</v>
      </c>
      <c r="BG193" s="55">
        <v>2314.6840000000002</v>
      </c>
      <c r="BH193" s="55">
        <v>1101.0340000000001</v>
      </c>
      <c r="BI193" s="55">
        <v>3745.145</v>
      </c>
      <c r="BJ193" s="55">
        <v>2764.7339999999999</v>
      </c>
      <c r="BK193" s="55">
        <v>1824.175</v>
      </c>
      <c r="BL193" s="55">
        <v>933.34799999999996</v>
      </c>
      <c r="BM193" s="1">
        <v>4469.7330000000002</v>
      </c>
      <c r="BN193" s="1">
        <v>3450.0390000000002</v>
      </c>
      <c r="BO193" s="1">
        <v>2382.181</v>
      </c>
      <c r="BP193" s="1">
        <v>1207.587</v>
      </c>
      <c r="BQ193" s="1" t="s">
        <v>121</v>
      </c>
      <c r="BR193" s="1" t="s">
        <v>121</v>
      </c>
      <c r="BS193" s="1" t="s">
        <v>121</v>
      </c>
      <c r="BT193" s="1" t="s">
        <v>121</v>
      </c>
      <c r="BU193" s="1" t="s">
        <v>121</v>
      </c>
      <c r="BV193" s="1" t="s">
        <v>121</v>
      </c>
      <c r="BW193" s="1" t="s">
        <v>121</v>
      </c>
      <c r="BX193" s="1" t="s">
        <v>121</v>
      </c>
      <c r="BY193" s="1" t="s">
        <v>121</v>
      </c>
      <c r="BZ193" s="1" t="s">
        <v>121</v>
      </c>
      <c r="CA193" s="1" t="s">
        <v>121</v>
      </c>
      <c r="CB193" s="1" t="s">
        <v>121</v>
      </c>
      <c r="CC193" s="1" t="s">
        <v>121</v>
      </c>
      <c r="CD193" s="1" t="s">
        <v>121</v>
      </c>
      <c r="CE193" s="1" t="s">
        <v>121</v>
      </c>
      <c r="CF193" s="1" t="s">
        <v>121</v>
      </c>
      <c r="CG193" s="1" t="s">
        <v>121</v>
      </c>
      <c r="CH193" s="1" t="s">
        <v>121</v>
      </c>
      <c r="CI193" s="1" t="s">
        <v>121</v>
      </c>
      <c r="CJ193" s="1" t="s">
        <v>121</v>
      </c>
      <c r="CK193" s="1" t="s">
        <v>121</v>
      </c>
      <c r="CL193" s="1" t="s">
        <v>121</v>
      </c>
      <c r="CM193" s="1" t="s">
        <v>121</v>
      </c>
      <c r="CN193" s="1" t="s">
        <v>121</v>
      </c>
      <c r="CO193" s="1" t="s">
        <v>121</v>
      </c>
      <c r="CP193" s="1" t="s">
        <v>121</v>
      </c>
      <c r="CQ193" s="1" t="s">
        <v>121</v>
      </c>
      <c r="CR193" s="1" t="s">
        <v>121</v>
      </c>
      <c r="CS193" s="1" t="s">
        <v>121</v>
      </c>
      <c r="CT193" s="1" t="s">
        <v>121</v>
      </c>
      <c r="CU193" s="1" t="s">
        <v>121</v>
      </c>
      <c r="CV193" s="1" t="s">
        <v>121</v>
      </c>
      <c r="CW193" s="1" t="s">
        <v>121</v>
      </c>
      <c r="CX193" s="1" t="s">
        <v>121</v>
      </c>
      <c r="CY193" s="1" t="s">
        <v>121</v>
      </c>
      <c r="CZ193" s="1" t="s">
        <v>121</v>
      </c>
      <c r="DA193" s="1" t="s">
        <v>121</v>
      </c>
      <c r="DB193" s="1" t="s">
        <v>121</v>
      </c>
      <c r="DC193" s="1" t="s">
        <v>121</v>
      </c>
      <c r="DD193" s="1" t="s">
        <v>121</v>
      </c>
      <c r="DE193" s="1" t="s">
        <v>121</v>
      </c>
      <c r="DF193" s="1" t="s">
        <v>121</v>
      </c>
      <c r="DG193" s="1" t="s">
        <v>121</v>
      </c>
      <c r="DH193" s="1" t="s">
        <v>121</v>
      </c>
      <c r="DI193" s="1" t="s">
        <v>121</v>
      </c>
      <c r="DJ193" s="1" t="s">
        <v>121</v>
      </c>
      <c r="DK193" s="1" t="s">
        <v>121</v>
      </c>
      <c r="DL193" s="1" t="s">
        <v>121</v>
      </c>
      <c r="DM193" s="1" t="s">
        <v>121</v>
      </c>
      <c r="DN193" s="1" t="s">
        <v>121</v>
      </c>
      <c r="DO193" s="1" t="s">
        <v>121</v>
      </c>
      <c r="DP193" s="1" t="s">
        <v>121</v>
      </c>
      <c r="DQ193" s="1" t="s">
        <v>121</v>
      </c>
      <c r="DR193" s="1" t="s">
        <v>121</v>
      </c>
      <c r="DS193" s="1" t="s">
        <v>121</v>
      </c>
      <c r="DT193" s="1" t="s">
        <v>121</v>
      </c>
      <c r="DU193" s="1" t="s">
        <v>121</v>
      </c>
      <c r="DV193" s="1" t="s">
        <v>121</v>
      </c>
      <c r="DW193" s="1" t="s">
        <v>121</v>
      </c>
      <c r="DX193" s="1" t="s">
        <v>121</v>
      </c>
      <c r="DY193" s="1" t="s">
        <v>121</v>
      </c>
      <c r="DZ193" s="1" t="s">
        <v>121</v>
      </c>
      <c r="EA193" s="1" t="s">
        <v>121</v>
      </c>
      <c r="EB193" s="1" t="s">
        <v>121</v>
      </c>
      <c r="EC193" s="1" t="s">
        <v>121</v>
      </c>
      <c r="ED193" s="1" t="s">
        <v>121</v>
      </c>
      <c r="EE193" s="1" t="s">
        <v>121</v>
      </c>
      <c r="EF193" s="1" t="s">
        <v>121</v>
      </c>
      <c r="EG193" s="1" t="s">
        <v>121</v>
      </c>
      <c r="EH193" s="1" t="s">
        <v>121</v>
      </c>
      <c r="EI193" s="1" t="s">
        <v>121</v>
      </c>
      <c r="EJ193" s="1" t="s">
        <v>121</v>
      </c>
      <c r="EK193" s="1" t="s">
        <v>121</v>
      </c>
      <c r="EL193" s="1" t="s">
        <v>121</v>
      </c>
      <c r="EM193" s="1" t="s">
        <v>121</v>
      </c>
      <c r="EN193" s="1" t="s">
        <v>121</v>
      </c>
      <c r="EO193" s="1" t="s">
        <v>121</v>
      </c>
      <c r="EP193" s="1" t="s">
        <v>121</v>
      </c>
      <c r="EQ193" s="1" t="s">
        <v>121</v>
      </c>
      <c r="ER193" s="1" t="s">
        <v>121</v>
      </c>
      <c r="ES193" s="1" t="s">
        <v>121</v>
      </c>
      <c r="ET193" s="1" t="s">
        <v>121</v>
      </c>
      <c r="EU193" s="1" t="s">
        <v>121</v>
      </c>
      <c r="EV193" s="1" t="s">
        <v>121</v>
      </c>
      <c r="EW193" s="1" t="s">
        <v>121</v>
      </c>
      <c r="EX193" s="1" t="s">
        <v>121</v>
      </c>
    </row>
    <row r="194" spans="1:154" x14ac:dyDescent="0.25">
      <c r="A194" s="72">
        <v>194</v>
      </c>
      <c r="B194" s="61" t="s">
        <v>294</v>
      </c>
      <c r="C194" s="91" t="s">
        <v>121</v>
      </c>
      <c r="D194" s="86" t="s">
        <v>121</v>
      </c>
      <c r="E194" s="92">
        <v>1.2097902097902096</v>
      </c>
      <c r="F194" s="313">
        <v>316</v>
      </c>
      <c r="G194" s="313">
        <v>252</v>
      </c>
      <c r="H194" s="313">
        <v>164</v>
      </c>
      <c r="I194" s="313">
        <v>201</v>
      </c>
      <c r="J194" s="313">
        <v>143</v>
      </c>
      <c r="K194" s="313">
        <v>96</v>
      </c>
      <c r="L194" s="313">
        <v>49</v>
      </c>
      <c r="M194" s="313">
        <v>158</v>
      </c>
      <c r="N194" s="313">
        <v>108</v>
      </c>
      <c r="O194" s="313">
        <v>64</v>
      </c>
      <c r="P194" s="313">
        <v>35</v>
      </c>
      <c r="Q194" s="405"/>
      <c r="R194" s="405"/>
      <c r="S194" s="405"/>
      <c r="T194" s="405"/>
      <c r="U194" s="313">
        <v>200</v>
      </c>
      <c r="V194" s="77">
        <v>121</v>
      </c>
      <c r="W194" s="77">
        <v>89</v>
      </c>
      <c r="X194" s="77">
        <v>47</v>
      </c>
      <c r="Y194" s="77">
        <v>297</v>
      </c>
      <c r="Z194" s="77">
        <v>242.39500000000001</v>
      </c>
      <c r="AA194" s="77">
        <v>159.41999999999999</v>
      </c>
      <c r="AB194" s="77">
        <v>75.617000000000004</v>
      </c>
      <c r="AC194" s="77">
        <v>288.21699999999998</v>
      </c>
      <c r="AD194" s="77">
        <v>215.86799999999999</v>
      </c>
      <c r="AE194" s="77">
        <v>144.50299999999999</v>
      </c>
      <c r="AF194" s="77">
        <v>74.117000000000004</v>
      </c>
      <c r="AG194" s="77">
        <v>311.53399999999999</v>
      </c>
      <c r="AH194" s="77">
        <v>228.917</v>
      </c>
      <c r="AI194" s="77">
        <v>156.83699999999999</v>
      </c>
      <c r="AJ194" s="77">
        <v>78.581999999999994</v>
      </c>
      <c r="AK194" s="77">
        <v>306.01299999999998</v>
      </c>
      <c r="AL194" s="77">
        <v>224.11699999999999</v>
      </c>
      <c r="AM194" s="77">
        <v>153.10300000000001</v>
      </c>
      <c r="AN194" s="77">
        <v>76.625</v>
      </c>
      <c r="AO194" s="77">
        <v>442.51900000000001</v>
      </c>
      <c r="AP194" s="77">
        <v>359.55599999999998</v>
      </c>
      <c r="AQ194" s="77">
        <v>281.55</v>
      </c>
      <c r="AR194" s="77">
        <v>169.04400000000001</v>
      </c>
      <c r="AS194" s="77">
        <v>625.14099999999996</v>
      </c>
      <c r="AT194" s="77">
        <v>449.72500000000002</v>
      </c>
      <c r="AU194" s="77">
        <v>291.16199999999998</v>
      </c>
      <c r="AV194" s="77">
        <v>160.477</v>
      </c>
      <c r="AW194" s="77">
        <v>447.37900000000002</v>
      </c>
      <c r="AX194" s="77">
        <v>298.85399999999998</v>
      </c>
      <c r="AY194" s="77">
        <v>196.36699999999999</v>
      </c>
      <c r="AZ194" s="55">
        <v>96.344999999999999</v>
      </c>
      <c r="BA194" s="55">
        <v>318.44200000000001</v>
      </c>
      <c r="BB194" s="55">
        <v>205.68</v>
      </c>
      <c r="BC194" s="55">
        <v>119.03400000000001</v>
      </c>
      <c r="BD194" s="55">
        <v>48.482999999999997</v>
      </c>
      <c r="BE194" s="55">
        <v>352.45699999999999</v>
      </c>
      <c r="BF194" s="55">
        <v>290.34699999999998</v>
      </c>
      <c r="BG194" s="55">
        <v>211.322</v>
      </c>
      <c r="BH194" s="55">
        <v>106.66200000000001</v>
      </c>
      <c r="BI194" s="55">
        <v>590.34799999999996</v>
      </c>
      <c r="BJ194" s="55">
        <v>443.57600000000002</v>
      </c>
      <c r="BK194" s="55">
        <v>287.64400000000001</v>
      </c>
      <c r="BL194" s="55">
        <v>153.60400000000001</v>
      </c>
      <c r="BM194" s="1">
        <v>555.83000000000004</v>
      </c>
      <c r="BN194" s="1">
        <v>411.738</v>
      </c>
      <c r="BO194" s="1">
        <v>251.928</v>
      </c>
      <c r="BP194" s="1">
        <v>96.381</v>
      </c>
      <c r="BQ194" s="1" t="s">
        <v>121</v>
      </c>
      <c r="BR194" s="1" t="s">
        <v>121</v>
      </c>
      <c r="BS194" s="1" t="s">
        <v>121</v>
      </c>
      <c r="BT194" s="1" t="s">
        <v>121</v>
      </c>
      <c r="BU194" s="1" t="s">
        <v>121</v>
      </c>
      <c r="BV194" s="1" t="s">
        <v>121</v>
      </c>
      <c r="BW194" s="1" t="s">
        <v>121</v>
      </c>
      <c r="BX194" s="1" t="s">
        <v>121</v>
      </c>
      <c r="BY194" s="1" t="s">
        <v>121</v>
      </c>
      <c r="BZ194" s="1" t="s">
        <v>121</v>
      </c>
      <c r="CA194" s="1" t="s">
        <v>121</v>
      </c>
      <c r="CB194" s="1" t="s">
        <v>121</v>
      </c>
      <c r="CC194" s="1" t="s">
        <v>121</v>
      </c>
      <c r="CD194" s="1" t="s">
        <v>121</v>
      </c>
      <c r="CE194" s="1" t="s">
        <v>121</v>
      </c>
      <c r="CF194" s="1" t="s">
        <v>121</v>
      </c>
      <c r="CG194" s="1" t="s">
        <v>121</v>
      </c>
      <c r="CH194" s="1" t="s">
        <v>121</v>
      </c>
      <c r="CI194" s="1" t="s">
        <v>121</v>
      </c>
      <c r="CJ194" s="1" t="s">
        <v>121</v>
      </c>
      <c r="CK194" s="1" t="s">
        <v>121</v>
      </c>
      <c r="CL194" s="1" t="s">
        <v>121</v>
      </c>
      <c r="CM194" s="1" t="s">
        <v>121</v>
      </c>
      <c r="CN194" s="1" t="s">
        <v>121</v>
      </c>
      <c r="CO194" s="1" t="s">
        <v>121</v>
      </c>
      <c r="CP194" s="1" t="s">
        <v>121</v>
      </c>
      <c r="CQ194" s="1" t="s">
        <v>121</v>
      </c>
      <c r="CR194" s="1" t="s">
        <v>121</v>
      </c>
      <c r="CS194" s="1" t="s">
        <v>121</v>
      </c>
      <c r="CT194" s="1" t="s">
        <v>121</v>
      </c>
      <c r="CU194" s="1" t="s">
        <v>121</v>
      </c>
      <c r="CV194" s="1" t="s">
        <v>121</v>
      </c>
      <c r="CW194" s="1" t="s">
        <v>121</v>
      </c>
      <c r="CX194" s="1" t="s">
        <v>121</v>
      </c>
      <c r="CY194" s="1" t="s">
        <v>121</v>
      </c>
      <c r="CZ194" s="1" t="s">
        <v>121</v>
      </c>
      <c r="DA194" s="1" t="s">
        <v>121</v>
      </c>
      <c r="DB194" s="1" t="s">
        <v>121</v>
      </c>
      <c r="DC194" s="1" t="s">
        <v>121</v>
      </c>
      <c r="DD194" s="1" t="s">
        <v>121</v>
      </c>
      <c r="DE194" s="1" t="s">
        <v>121</v>
      </c>
      <c r="DF194" s="1" t="s">
        <v>121</v>
      </c>
      <c r="DG194" s="1" t="s">
        <v>121</v>
      </c>
      <c r="DH194" s="1" t="s">
        <v>121</v>
      </c>
      <c r="DI194" s="1" t="s">
        <v>121</v>
      </c>
      <c r="DJ194" s="1" t="s">
        <v>121</v>
      </c>
      <c r="DK194" s="1" t="s">
        <v>121</v>
      </c>
      <c r="DL194" s="1" t="s">
        <v>121</v>
      </c>
      <c r="DM194" s="1" t="s">
        <v>121</v>
      </c>
      <c r="DN194" s="1" t="s">
        <v>121</v>
      </c>
      <c r="DO194" s="1" t="s">
        <v>121</v>
      </c>
      <c r="DP194" s="1" t="s">
        <v>121</v>
      </c>
      <c r="DQ194" s="1" t="s">
        <v>121</v>
      </c>
      <c r="DR194" s="1" t="s">
        <v>121</v>
      </c>
      <c r="DS194" s="1" t="s">
        <v>121</v>
      </c>
      <c r="DT194" s="1" t="s">
        <v>121</v>
      </c>
      <c r="DU194" s="1" t="s">
        <v>121</v>
      </c>
      <c r="DV194" s="1" t="s">
        <v>121</v>
      </c>
      <c r="DW194" s="1" t="s">
        <v>121</v>
      </c>
      <c r="DX194" s="1" t="s">
        <v>121</v>
      </c>
      <c r="DY194" s="1" t="s">
        <v>121</v>
      </c>
      <c r="DZ194" s="1" t="s">
        <v>121</v>
      </c>
      <c r="EA194" s="1" t="s">
        <v>121</v>
      </c>
      <c r="EB194" s="1" t="s">
        <v>121</v>
      </c>
      <c r="EC194" s="1" t="s">
        <v>121</v>
      </c>
      <c r="ED194" s="1" t="s">
        <v>121</v>
      </c>
      <c r="EE194" s="1" t="s">
        <v>121</v>
      </c>
      <c r="EF194" s="1" t="s">
        <v>121</v>
      </c>
      <c r="EG194" s="1" t="s">
        <v>121</v>
      </c>
      <c r="EH194" s="1" t="s">
        <v>121</v>
      </c>
      <c r="EI194" s="1" t="s">
        <v>121</v>
      </c>
      <c r="EJ194" s="1" t="s">
        <v>121</v>
      </c>
      <c r="EK194" s="1" t="s">
        <v>121</v>
      </c>
      <c r="EL194" s="1" t="s">
        <v>121</v>
      </c>
      <c r="EM194" s="1" t="s">
        <v>121</v>
      </c>
      <c r="EN194" s="1" t="s">
        <v>121</v>
      </c>
      <c r="EO194" s="1" t="s">
        <v>121</v>
      </c>
      <c r="EP194" s="1" t="s">
        <v>121</v>
      </c>
      <c r="EQ194" s="1" t="s">
        <v>121</v>
      </c>
      <c r="ER194" s="1" t="s">
        <v>121</v>
      </c>
      <c r="ES194" s="1" t="s">
        <v>121</v>
      </c>
      <c r="ET194" s="1" t="s">
        <v>121</v>
      </c>
      <c r="EU194" s="1" t="s">
        <v>121</v>
      </c>
      <c r="EV194" s="1" t="s">
        <v>121</v>
      </c>
      <c r="EW194" s="1" t="s">
        <v>121</v>
      </c>
      <c r="EX194" s="1" t="s">
        <v>121</v>
      </c>
    </row>
    <row r="195" spans="1:154" x14ac:dyDescent="0.25">
      <c r="A195" s="72">
        <v>195</v>
      </c>
      <c r="B195" s="61" t="s">
        <v>372</v>
      </c>
      <c r="C195" s="91" t="s">
        <v>121</v>
      </c>
      <c r="D195" s="86" t="s">
        <v>121</v>
      </c>
      <c r="E195" s="92">
        <v>0.72926162260711025</v>
      </c>
      <c r="F195" s="313">
        <v>1897</v>
      </c>
      <c r="G195" s="313">
        <v>1365</v>
      </c>
      <c r="H195" s="313">
        <v>560</v>
      </c>
      <c r="I195" s="313">
        <v>1667</v>
      </c>
      <c r="J195" s="313">
        <v>1097</v>
      </c>
      <c r="K195" s="313">
        <v>647</v>
      </c>
      <c r="L195" s="313">
        <v>324</v>
      </c>
      <c r="M195" s="313">
        <v>647</v>
      </c>
      <c r="N195" s="313">
        <v>363</v>
      </c>
      <c r="O195" s="313">
        <v>176</v>
      </c>
      <c r="P195" s="313">
        <v>80</v>
      </c>
      <c r="Q195" s="405"/>
      <c r="R195" s="405"/>
      <c r="S195" s="405"/>
      <c r="T195" s="405"/>
      <c r="U195" s="313">
        <v>266</v>
      </c>
      <c r="V195" s="77">
        <v>217</v>
      </c>
      <c r="W195" s="77">
        <v>140</v>
      </c>
      <c r="X195" s="77">
        <v>64</v>
      </c>
      <c r="Y195" s="77">
        <v>192</v>
      </c>
      <c r="Z195" s="77">
        <v>140.65100000000001</v>
      </c>
      <c r="AA195" s="77">
        <v>90.587999999999994</v>
      </c>
      <c r="AB195" s="77">
        <v>47.101999999999997</v>
      </c>
      <c r="AC195" s="77">
        <v>183.38</v>
      </c>
      <c r="AD195" s="77">
        <v>119.526</v>
      </c>
      <c r="AE195" s="77">
        <v>69.951999999999998</v>
      </c>
      <c r="AF195" s="77">
        <v>34.6</v>
      </c>
      <c r="AG195" s="77">
        <v>146.75</v>
      </c>
      <c r="AH195" s="77">
        <v>108.373</v>
      </c>
      <c r="AI195" s="77">
        <v>104.414</v>
      </c>
      <c r="AJ195" s="77">
        <v>52.116</v>
      </c>
      <c r="AK195" s="77">
        <v>404.95299999999997</v>
      </c>
      <c r="AL195" s="77">
        <v>356.03</v>
      </c>
      <c r="AM195" s="77">
        <v>308.40100000000001</v>
      </c>
      <c r="AN195" s="77">
        <v>190.89099999999999</v>
      </c>
      <c r="AO195" s="77">
        <v>726.298</v>
      </c>
      <c r="AP195" s="77">
        <v>458.01100000000002</v>
      </c>
      <c r="AQ195" s="77">
        <v>209.31800000000001</v>
      </c>
      <c r="AR195" s="77">
        <v>90.617999999999995</v>
      </c>
      <c r="AS195" s="77">
        <v>248.339</v>
      </c>
      <c r="AT195" s="77">
        <v>185.744</v>
      </c>
      <c r="AU195" s="77">
        <v>130.19999999999999</v>
      </c>
      <c r="AV195" s="77">
        <v>74.396000000000001</v>
      </c>
      <c r="AW195" s="77">
        <v>220.935</v>
      </c>
      <c r="AX195" s="77">
        <v>162.16200000000001</v>
      </c>
      <c r="AY195" s="77">
        <v>111.622</v>
      </c>
      <c r="AZ195" s="55">
        <v>50.079000000000001</v>
      </c>
      <c r="BA195" s="55">
        <v>181.762</v>
      </c>
      <c r="BB195" s="55">
        <v>118.943</v>
      </c>
      <c r="BC195" s="55">
        <v>83.872</v>
      </c>
      <c r="BD195" s="55">
        <v>49.220999999999997</v>
      </c>
      <c r="BE195" s="55">
        <v>338.09899999999999</v>
      </c>
      <c r="BF195" s="55">
        <v>270.91899999999998</v>
      </c>
      <c r="BG195" s="55">
        <v>204.13399999999999</v>
      </c>
      <c r="BH195" s="55">
        <v>70.355000000000004</v>
      </c>
      <c r="BI195" s="55">
        <v>142.41999999999999</v>
      </c>
      <c r="BJ195" s="55">
        <v>104.569</v>
      </c>
      <c r="BK195" s="55">
        <v>67.221999999999994</v>
      </c>
      <c r="BL195" s="55">
        <v>27.071000000000002</v>
      </c>
      <c r="BM195" s="1">
        <v>143.96799999999999</v>
      </c>
      <c r="BN195" s="1">
        <v>116.467</v>
      </c>
      <c r="BO195" s="1">
        <v>71.066000000000003</v>
      </c>
      <c r="BP195" s="1">
        <v>49.17</v>
      </c>
      <c r="BQ195" s="1" t="s">
        <v>121</v>
      </c>
      <c r="BR195" s="1" t="s">
        <v>121</v>
      </c>
      <c r="BS195" s="1" t="s">
        <v>121</v>
      </c>
      <c r="BT195" s="1" t="s">
        <v>121</v>
      </c>
      <c r="BU195" s="1" t="s">
        <v>121</v>
      </c>
      <c r="BV195" s="1" t="s">
        <v>121</v>
      </c>
      <c r="BW195" s="1" t="s">
        <v>121</v>
      </c>
      <c r="BX195" s="1" t="s">
        <v>121</v>
      </c>
      <c r="BY195" s="1" t="s">
        <v>121</v>
      </c>
      <c r="BZ195" s="1" t="s">
        <v>121</v>
      </c>
      <c r="CA195" s="1" t="s">
        <v>121</v>
      </c>
      <c r="CB195" s="1" t="s">
        <v>121</v>
      </c>
      <c r="CC195" s="1" t="s">
        <v>121</v>
      </c>
      <c r="CD195" s="1" t="s">
        <v>121</v>
      </c>
      <c r="CE195" s="1" t="s">
        <v>121</v>
      </c>
      <c r="CF195" s="1" t="s">
        <v>121</v>
      </c>
      <c r="CG195" s="1" t="s">
        <v>121</v>
      </c>
      <c r="CH195" s="1" t="s">
        <v>121</v>
      </c>
      <c r="CI195" s="1" t="s">
        <v>121</v>
      </c>
      <c r="CJ195" s="1" t="s">
        <v>121</v>
      </c>
      <c r="CK195" s="1" t="s">
        <v>121</v>
      </c>
      <c r="CL195" s="1" t="s">
        <v>121</v>
      </c>
      <c r="CM195" s="1" t="s">
        <v>121</v>
      </c>
      <c r="CN195" s="1" t="s">
        <v>121</v>
      </c>
      <c r="CO195" s="1" t="s">
        <v>121</v>
      </c>
      <c r="CP195" s="1" t="s">
        <v>121</v>
      </c>
      <c r="CQ195" s="1" t="s">
        <v>121</v>
      </c>
      <c r="CR195" s="1" t="s">
        <v>121</v>
      </c>
      <c r="CS195" s="1" t="s">
        <v>121</v>
      </c>
      <c r="CT195" s="1" t="s">
        <v>121</v>
      </c>
      <c r="CU195" s="1" t="s">
        <v>121</v>
      </c>
      <c r="CV195" s="1" t="s">
        <v>121</v>
      </c>
      <c r="CW195" s="1" t="s">
        <v>121</v>
      </c>
      <c r="CX195" s="1" t="s">
        <v>121</v>
      </c>
      <c r="CY195" s="1" t="s">
        <v>121</v>
      </c>
      <c r="CZ195" s="1" t="s">
        <v>121</v>
      </c>
      <c r="DA195" s="1" t="s">
        <v>121</v>
      </c>
      <c r="DB195" s="1" t="s">
        <v>121</v>
      </c>
      <c r="DC195" s="1" t="s">
        <v>121</v>
      </c>
      <c r="DD195" s="1" t="s">
        <v>121</v>
      </c>
      <c r="DE195" s="1" t="s">
        <v>121</v>
      </c>
      <c r="DF195" s="1" t="s">
        <v>121</v>
      </c>
      <c r="DG195" s="1" t="s">
        <v>121</v>
      </c>
      <c r="DH195" s="1" t="s">
        <v>121</v>
      </c>
      <c r="DI195" s="1" t="s">
        <v>121</v>
      </c>
      <c r="DJ195" s="1" t="s">
        <v>121</v>
      </c>
      <c r="DK195" s="1" t="s">
        <v>121</v>
      </c>
      <c r="DL195" s="1" t="s">
        <v>121</v>
      </c>
      <c r="DM195" s="1" t="s">
        <v>121</v>
      </c>
      <c r="DN195" s="1" t="s">
        <v>121</v>
      </c>
      <c r="DO195" s="1" t="s">
        <v>121</v>
      </c>
      <c r="DP195" s="1" t="s">
        <v>121</v>
      </c>
      <c r="DQ195" s="1" t="s">
        <v>121</v>
      </c>
      <c r="DR195" s="1" t="s">
        <v>121</v>
      </c>
      <c r="DS195" s="1" t="s">
        <v>121</v>
      </c>
      <c r="DT195" s="1" t="s">
        <v>121</v>
      </c>
      <c r="DU195" s="1" t="s">
        <v>121</v>
      </c>
      <c r="DV195" s="1" t="s">
        <v>121</v>
      </c>
      <c r="DW195" s="1" t="s">
        <v>121</v>
      </c>
      <c r="DX195" s="1" t="s">
        <v>121</v>
      </c>
      <c r="DY195" s="1" t="s">
        <v>121</v>
      </c>
      <c r="DZ195" s="1" t="s">
        <v>121</v>
      </c>
      <c r="EA195" s="1" t="s">
        <v>121</v>
      </c>
      <c r="EB195" s="1" t="s">
        <v>121</v>
      </c>
      <c r="EC195" s="1" t="s">
        <v>121</v>
      </c>
      <c r="ED195" s="1" t="s">
        <v>121</v>
      </c>
      <c r="EE195" s="1" t="s">
        <v>121</v>
      </c>
      <c r="EF195" s="1" t="s">
        <v>121</v>
      </c>
      <c r="EG195" s="1" t="s">
        <v>121</v>
      </c>
      <c r="EH195" s="1" t="s">
        <v>121</v>
      </c>
      <c r="EI195" s="1" t="s">
        <v>121</v>
      </c>
      <c r="EJ195" s="1" t="s">
        <v>121</v>
      </c>
      <c r="EK195" s="1" t="s">
        <v>121</v>
      </c>
      <c r="EL195" s="1" t="s">
        <v>121</v>
      </c>
      <c r="EM195" s="1" t="s">
        <v>121</v>
      </c>
      <c r="EN195" s="1" t="s">
        <v>121</v>
      </c>
      <c r="EO195" s="1" t="s">
        <v>121</v>
      </c>
      <c r="EP195" s="1" t="s">
        <v>121</v>
      </c>
      <c r="EQ195" s="1" t="s">
        <v>121</v>
      </c>
      <c r="ER195" s="1" t="s">
        <v>121</v>
      </c>
      <c r="ES195" s="1" t="s">
        <v>121</v>
      </c>
      <c r="ET195" s="1" t="s">
        <v>121</v>
      </c>
      <c r="EU195" s="1" t="s">
        <v>121</v>
      </c>
      <c r="EV195" s="1" t="s">
        <v>121</v>
      </c>
      <c r="EW195" s="1" t="s">
        <v>121</v>
      </c>
      <c r="EX195" s="1" t="s">
        <v>121</v>
      </c>
    </row>
    <row r="196" spans="1:154" x14ac:dyDescent="0.25">
      <c r="A196" s="72">
        <v>196</v>
      </c>
      <c r="B196" s="61" t="s">
        <v>293</v>
      </c>
      <c r="C196" s="91" t="s">
        <v>121</v>
      </c>
      <c r="D196" s="86" t="s">
        <v>121</v>
      </c>
      <c r="E196" s="92" t="s">
        <v>121</v>
      </c>
      <c r="F196" s="313" t="s">
        <v>121</v>
      </c>
      <c r="G196" s="313" t="s">
        <v>121</v>
      </c>
      <c r="H196" s="313" t="s">
        <v>121</v>
      </c>
      <c r="I196" s="313" t="s">
        <v>121</v>
      </c>
      <c r="J196" s="313" t="s">
        <v>121</v>
      </c>
      <c r="K196" s="313" t="s">
        <v>121</v>
      </c>
      <c r="L196" s="313" t="s">
        <v>121</v>
      </c>
      <c r="M196" s="313">
        <v>30</v>
      </c>
      <c r="N196" s="313">
        <v>30</v>
      </c>
      <c r="O196" s="313">
        <v>30</v>
      </c>
      <c r="P196" s="313">
        <v>18</v>
      </c>
      <c r="Q196" s="405"/>
      <c r="R196" s="405"/>
      <c r="S196" s="405"/>
      <c r="T196" s="405"/>
      <c r="U196" s="313">
        <v>192</v>
      </c>
      <c r="V196" s="77">
        <v>154</v>
      </c>
      <c r="W196" s="77">
        <v>111</v>
      </c>
      <c r="X196" s="77">
        <v>60</v>
      </c>
      <c r="Y196" s="77">
        <v>363</v>
      </c>
      <c r="Z196" s="77">
        <v>289.57900000000001</v>
      </c>
      <c r="AA196" s="77">
        <v>204.82599999999999</v>
      </c>
      <c r="AB196" s="77">
        <v>108.526</v>
      </c>
      <c r="AC196" s="77">
        <v>773.14200000000005</v>
      </c>
      <c r="AD196" s="77">
        <v>676.71600000000001</v>
      </c>
      <c r="AE196" s="77">
        <v>536.34100000000001</v>
      </c>
      <c r="AF196" s="77">
        <v>341.11700000000002</v>
      </c>
      <c r="AG196" s="77">
        <v>833.04499999999996</v>
      </c>
      <c r="AH196" s="77">
        <v>571.51800000000003</v>
      </c>
      <c r="AI196" s="77">
        <v>363.59699999999998</v>
      </c>
      <c r="AJ196" s="77">
        <v>176.43299999999999</v>
      </c>
      <c r="AK196" s="77">
        <v>1197.287</v>
      </c>
      <c r="AL196" s="77">
        <v>824.471</v>
      </c>
      <c r="AM196" s="77">
        <v>618.78399999999999</v>
      </c>
      <c r="AN196" s="77">
        <v>361.65899999999999</v>
      </c>
      <c r="AO196" s="77">
        <v>1744.529</v>
      </c>
      <c r="AP196" s="77">
        <v>1351.223</v>
      </c>
      <c r="AQ196" s="77">
        <v>942.63499999999999</v>
      </c>
      <c r="AR196" s="77">
        <v>510.815</v>
      </c>
      <c r="AS196" s="77">
        <v>2191.6489999999999</v>
      </c>
      <c r="AT196" s="77">
        <v>1668.059</v>
      </c>
      <c r="AU196" s="77">
        <v>1053.4469999999999</v>
      </c>
      <c r="AV196" s="77">
        <v>624.78399999999999</v>
      </c>
      <c r="AW196" s="77">
        <v>2033.173</v>
      </c>
      <c r="AX196" s="77">
        <v>1475.6279999999999</v>
      </c>
      <c r="AY196" s="77">
        <v>956.54399999999998</v>
      </c>
      <c r="AZ196" s="55">
        <v>487.791</v>
      </c>
      <c r="BA196" s="55">
        <v>1660.162</v>
      </c>
      <c r="BB196" s="55">
        <v>1211.8510000000001</v>
      </c>
      <c r="BC196" s="55">
        <v>791.90099999999995</v>
      </c>
      <c r="BD196" s="55">
        <v>393.48</v>
      </c>
      <c r="BE196" s="55">
        <v>1181.3630000000001</v>
      </c>
      <c r="BF196" s="55">
        <v>774.76099999999997</v>
      </c>
      <c r="BG196" s="55">
        <v>518.73599999999999</v>
      </c>
      <c r="BH196" s="55">
        <v>246.21199999999999</v>
      </c>
      <c r="BI196" s="55">
        <v>1284.808</v>
      </c>
      <c r="BJ196" s="55">
        <v>1015.638</v>
      </c>
      <c r="BK196" s="55">
        <v>672.024</v>
      </c>
      <c r="BL196" s="55">
        <v>335.27499999999998</v>
      </c>
      <c r="BM196" s="1">
        <v>729.43</v>
      </c>
      <c r="BN196" s="1">
        <v>436.94499999999999</v>
      </c>
      <c r="BO196" s="1">
        <v>249.078</v>
      </c>
      <c r="BP196" s="1">
        <v>76.381</v>
      </c>
      <c r="BQ196" s="1" t="s">
        <v>121</v>
      </c>
      <c r="BR196" s="1" t="s">
        <v>121</v>
      </c>
      <c r="BS196" s="1" t="s">
        <v>121</v>
      </c>
      <c r="BT196" s="1" t="s">
        <v>121</v>
      </c>
      <c r="BU196" s="1" t="s">
        <v>121</v>
      </c>
      <c r="BV196" s="1" t="s">
        <v>121</v>
      </c>
      <c r="BW196" s="1" t="s">
        <v>121</v>
      </c>
      <c r="BX196" s="1" t="s">
        <v>121</v>
      </c>
      <c r="BY196" s="1" t="s">
        <v>121</v>
      </c>
      <c r="BZ196" s="1" t="s">
        <v>121</v>
      </c>
      <c r="CA196" s="1" t="s">
        <v>121</v>
      </c>
      <c r="CB196" s="1" t="s">
        <v>121</v>
      </c>
      <c r="CC196" s="1" t="s">
        <v>121</v>
      </c>
      <c r="CD196" s="1" t="s">
        <v>121</v>
      </c>
      <c r="CE196" s="1" t="s">
        <v>121</v>
      </c>
      <c r="CF196" s="1" t="s">
        <v>121</v>
      </c>
      <c r="CG196" s="1" t="s">
        <v>121</v>
      </c>
      <c r="CH196" s="1" t="s">
        <v>121</v>
      </c>
      <c r="CI196" s="1" t="s">
        <v>121</v>
      </c>
      <c r="CJ196" s="1" t="s">
        <v>121</v>
      </c>
      <c r="CK196" s="1" t="s">
        <v>121</v>
      </c>
      <c r="CL196" s="1" t="s">
        <v>121</v>
      </c>
      <c r="CM196" s="1" t="s">
        <v>121</v>
      </c>
      <c r="CN196" s="1" t="s">
        <v>121</v>
      </c>
      <c r="CO196" s="1" t="s">
        <v>121</v>
      </c>
      <c r="CP196" s="1" t="s">
        <v>121</v>
      </c>
      <c r="CQ196" s="1" t="s">
        <v>121</v>
      </c>
      <c r="CR196" s="1" t="s">
        <v>121</v>
      </c>
      <c r="CS196" s="1" t="s">
        <v>121</v>
      </c>
      <c r="CT196" s="1" t="s">
        <v>121</v>
      </c>
      <c r="CU196" s="1" t="s">
        <v>121</v>
      </c>
      <c r="CV196" s="1" t="s">
        <v>121</v>
      </c>
      <c r="CW196" s="1" t="s">
        <v>121</v>
      </c>
      <c r="CX196" s="1" t="s">
        <v>121</v>
      </c>
      <c r="CY196" s="1" t="s">
        <v>121</v>
      </c>
      <c r="CZ196" s="1" t="s">
        <v>121</v>
      </c>
      <c r="DA196" s="1" t="s">
        <v>121</v>
      </c>
      <c r="DB196" s="1" t="s">
        <v>121</v>
      </c>
      <c r="DC196" s="1" t="s">
        <v>121</v>
      </c>
      <c r="DD196" s="1" t="s">
        <v>121</v>
      </c>
      <c r="DE196" s="1" t="s">
        <v>121</v>
      </c>
      <c r="DF196" s="1" t="s">
        <v>121</v>
      </c>
      <c r="DG196" s="1" t="s">
        <v>121</v>
      </c>
      <c r="DH196" s="1" t="s">
        <v>121</v>
      </c>
      <c r="DI196" s="1" t="s">
        <v>121</v>
      </c>
      <c r="DJ196" s="1" t="s">
        <v>121</v>
      </c>
      <c r="DK196" s="1" t="s">
        <v>121</v>
      </c>
      <c r="DL196" s="1" t="s">
        <v>121</v>
      </c>
      <c r="DM196" s="1" t="s">
        <v>121</v>
      </c>
      <c r="DN196" s="1" t="s">
        <v>121</v>
      </c>
      <c r="DO196" s="1" t="s">
        <v>121</v>
      </c>
      <c r="DP196" s="1" t="s">
        <v>121</v>
      </c>
      <c r="DQ196" s="1" t="s">
        <v>121</v>
      </c>
      <c r="DR196" s="1" t="s">
        <v>121</v>
      </c>
      <c r="DS196" s="1" t="s">
        <v>121</v>
      </c>
      <c r="DT196" s="1" t="s">
        <v>121</v>
      </c>
      <c r="DU196" s="1" t="s">
        <v>121</v>
      </c>
      <c r="DV196" s="1" t="s">
        <v>121</v>
      </c>
      <c r="DW196" s="1" t="s">
        <v>121</v>
      </c>
      <c r="DX196" s="1" t="s">
        <v>121</v>
      </c>
      <c r="DY196" s="1" t="s">
        <v>121</v>
      </c>
      <c r="DZ196" s="1" t="s">
        <v>121</v>
      </c>
      <c r="EA196" s="1" t="s">
        <v>121</v>
      </c>
      <c r="EB196" s="1" t="s">
        <v>121</v>
      </c>
      <c r="EC196" s="1" t="s">
        <v>121</v>
      </c>
      <c r="ED196" s="1" t="s">
        <v>121</v>
      </c>
      <c r="EE196" s="1" t="s">
        <v>121</v>
      </c>
      <c r="EF196" s="1" t="s">
        <v>121</v>
      </c>
      <c r="EG196" s="1" t="s">
        <v>121</v>
      </c>
      <c r="EH196" s="1" t="s">
        <v>121</v>
      </c>
      <c r="EI196" s="1" t="s">
        <v>121</v>
      </c>
      <c r="EJ196" s="1" t="s">
        <v>121</v>
      </c>
      <c r="EK196" s="1" t="s">
        <v>121</v>
      </c>
      <c r="EL196" s="1" t="s">
        <v>121</v>
      </c>
      <c r="EM196" s="1" t="s">
        <v>121</v>
      </c>
      <c r="EN196" s="1" t="s">
        <v>121</v>
      </c>
      <c r="EO196" s="1" t="s">
        <v>121</v>
      </c>
      <c r="EP196" s="1" t="s">
        <v>121</v>
      </c>
      <c r="EQ196" s="1" t="s">
        <v>121</v>
      </c>
      <c r="ER196" s="1" t="s">
        <v>121</v>
      </c>
      <c r="ES196" s="1" t="s">
        <v>121</v>
      </c>
      <c r="ET196" s="1" t="s">
        <v>121</v>
      </c>
      <c r="EU196" s="1" t="s">
        <v>121</v>
      </c>
      <c r="EV196" s="1" t="s">
        <v>121</v>
      </c>
      <c r="EW196" s="1" t="s">
        <v>121</v>
      </c>
      <c r="EX196" s="1" t="s">
        <v>121</v>
      </c>
    </row>
    <row r="197" spans="1:154" x14ac:dyDescent="0.25">
      <c r="A197" s="72">
        <v>197</v>
      </c>
      <c r="B197" s="61" t="s">
        <v>295</v>
      </c>
      <c r="C197" s="91" t="s">
        <v>121</v>
      </c>
      <c r="D197" s="86" t="s">
        <v>121</v>
      </c>
      <c r="E197" s="92" t="s">
        <v>121</v>
      </c>
      <c r="F197" s="313" t="s">
        <v>121</v>
      </c>
      <c r="G197" s="313" t="s">
        <v>121</v>
      </c>
      <c r="H197" s="313" t="s">
        <v>121</v>
      </c>
      <c r="I197" s="313" t="s">
        <v>121</v>
      </c>
      <c r="J197" s="313" t="s">
        <v>121</v>
      </c>
      <c r="K197" s="313" t="s">
        <v>121</v>
      </c>
      <c r="L197" s="313" t="s">
        <v>121</v>
      </c>
      <c r="M197" s="313" t="s">
        <v>121</v>
      </c>
      <c r="N197" s="313" t="s">
        <v>121</v>
      </c>
      <c r="O197" s="313" t="s">
        <v>121</v>
      </c>
      <c r="P197" s="313" t="s">
        <v>121</v>
      </c>
      <c r="Q197" s="405"/>
      <c r="R197" s="405"/>
      <c r="S197" s="405"/>
      <c r="T197" s="405"/>
      <c r="U197" s="313" t="s">
        <v>121</v>
      </c>
      <c r="V197" s="77" t="s">
        <v>121</v>
      </c>
      <c r="W197" s="77" t="s">
        <v>121</v>
      </c>
      <c r="X197" s="77" t="s">
        <v>121</v>
      </c>
      <c r="Y197" s="77" t="s">
        <v>121</v>
      </c>
      <c r="Z197" s="77" t="s">
        <v>121</v>
      </c>
      <c r="AA197" s="77" t="s">
        <v>121</v>
      </c>
      <c r="AB197" s="77" t="s">
        <v>121</v>
      </c>
      <c r="AC197" s="77">
        <v>94.680999999999997</v>
      </c>
      <c r="AD197" s="77">
        <v>71.603999999999999</v>
      </c>
      <c r="AE197" s="77">
        <v>47.462000000000003</v>
      </c>
      <c r="AF197" s="77">
        <v>23.594000000000001</v>
      </c>
      <c r="AG197" s="77">
        <v>98.412000000000006</v>
      </c>
      <c r="AH197" s="77">
        <v>74.272999999999996</v>
      </c>
      <c r="AI197" s="77">
        <v>50.146000000000001</v>
      </c>
      <c r="AJ197" s="77">
        <v>26.207999999999998</v>
      </c>
      <c r="AK197" s="77">
        <v>117.001</v>
      </c>
      <c r="AL197" s="77">
        <v>88.790999999999997</v>
      </c>
      <c r="AM197" s="77">
        <v>59.142000000000003</v>
      </c>
      <c r="AN197" s="77">
        <v>37.405999999999999</v>
      </c>
      <c r="AO197" s="77">
        <v>128.673</v>
      </c>
      <c r="AP197" s="77">
        <v>92.896000000000001</v>
      </c>
      <c r="AQ197" s="77">
        <v>61.552999999999997</v>
      </c>
      <c r="AR197" s="77">
        <v>30.914000000000001</v>
      </c>
      <c r="AS197" s="77">
        <v>222.08799999999999</v>
      </c>
      <c r="AT197" s="77">
        <v>190.434</v>
      </c>
      <c r="AU197" s="77">
        <v>129.316</v>
      </c>
      <c r="AV197" s="77">
        <v>67.94</v>
      </c>
      <c r="AW197" s="77">
        <v>465.274</v>
      </c>
      <c r="AX197" s="77">
        <v>391.928</v>
      </c>
      <c r="AY197" s="77">
        <v>291.62</v>
      </c>
      <c r="AZ197" s="55">
        <v>157.97900000000001</v>
      </c>
      <c r="BA197" s="55">
        <v>755.74699999999996</v>
      </c>
      <c r="BB197" s="55">
        <v>610.18399999999997</v>
      </c>
      <c r="BC197" s="55">
        <v>421.84500000000003</v>
      </c>
      <c r="BD197" s="55">
        <v>208.881</v>
      </c>
      <c r="BE197" s="55">
        <v>935.91</v>
      </c>
      <c r="BF197" s="55">
        <v>706.48500000000001</v>
      </c>
      <c r="BG197" s="55">
        <v>467.90800000000002</v>
      </c>
      <c r="BH197" s="55">
        <v>216.84399999999999</v>
      </c>
      <c r="BI197" s="55">
        <v>1021.153</v>
      </c>
      <c r="BJ197" s="55">
        <v>744.35900000000004</v>
      </c>
      <c r="BK197" s="55">
        <v>482.58100000000002</v>
      </c>
      <c r="BL197" s="55">
        <v>239.94900000000001</v>
      </c>
      <c r="BM197" s="1">
        <v>956.55399999999997</v>
      </c>
      <c r="BN197" s="1">
        <v>710.803</v>
      </c>
      <c r="BO197" s="1">
        <v>477.642</v>
      </c>
      <c r="BP197" s="1">
        <v>219.24299999999999</v>
      </c>
      <c r="BQ197" s="1" t="s">
        <v>121</v>
      </c>
      <c r="BR197" s="1" t="s">
        <v>121</v>
      </c>
      <c r="BS197" s="1" t="s">
        <v>121</v>
      </c>
      <c r="BT197" s="1" t="s">
        <v>121</v>
      </c>
      <c r="BU197" s="1" t="s">
        <v>121</v>
      </c>
      <c r="BV197" s="1" t="s">
        <v>121</v>
      </c>
      <c r="BW197" s="1" t="s">
        <v>121</v>
      </c>
      <c r="BX197" s="1" t="s">
        <v>121</v>
      </c>
      <c r="BY197" s="1" t="s">
        <v>121</v>
      </c>
      <c r="BZ197" s="1" t="s">
        <v>121</v>
      </c>
      <c r="CA197" s="1" t="s">
        <v>121</v>
      </c>
      <c r="CB197" s="1" t="s">
        <v>121</v>
      </c>
      <c r="CC197" s="1" t="s">
        <v>121</v>
      </c>
      <c r="CD197" s="1" t="s">
        <v>121</v>
      </c>
      <c r="CE197" s="1" t="s">
        <v>121</v>
      </c>
      <c r="CF197" s="1" t="s">
        <v>121</v>
      </c>
      <c r="CG197" s="1" t="s">
        <v>121</v>
      </c>
      <c r="CH197" s="1" t="s">
        <v>121</v>
      </c>
      <c r="CI197" s="1" t="s">
        <v>121</v>
      </c>
      <c r="CJ197" s="1" t="s">
        <v>121</v>
      </c>
      <c r="CK197" s="1" t="s">
        <v>121</v>
      </c>
      <c r="CL197" s="1" t="s">
        <v>121</v>
      </c>
      <c r="CM197" s="1" t="s">
        <v>121</v>
      </c>
      <c r="CN197" s="1" t="s">
        <v>121</v>
      </c>
      <c r="CO197" s="1" t="s">
        <v>121</v>
      </c>
      <c r="CP197" s="1" t="s">
        <v>121</v>
      </c>
      <c r="CQ197" s="1" t="s">
        <v>121</v>
      </c>
      <c r="CR197" s="1" t="s">
        <v>121</v>
      </c>
      <c r="CS197" s="1" t="s">
        <v>121</v>
      </c>
      <c r="CT197" s="1" t="s">
        <v>121</v>
      </c>
      <c r="CU197" s="1" t="s">
        <v>121</v>
      </c>
      <c r="CV197" s="1" t="s">
        <v>121</v>
      </c>
      <c r="CW197" s="1" t="s">
        <v>121</v>
      </c>
      <c r="CX197" s="1" t="s">
        <v>121</v>
      </c>
      <c r="CY197" s="1" t="s">
        <v>121</v>
      </c>
      <c r="CZ197" s="1" t="s">
        <v>121</v>
      </c>
      <c r="DA197" s="1" t="s">
        <v>121</v>
      </c>
      <c r="DB197" s="1" t="s">
        <v>121</v>
      </c>
      <c r="DC197" s="1" t="s">
        <v>121</v>
      </c>
      <c r="DD197" s="1" t="s">
        <v>121</v>
      </c>
      <c r="DE197" s="1" t="s">
        <v>121</v>
      </c>
      <c r="DF197" s="1" t="s">
        <v>121</v>
      </c>
      <c r="DG197" s="1" t="s">
        <v>121</v>
      </c>
      <c r="DH197" s="1" t="s">
        <v>121</v>
      </c>
      <c r="DI197" s="1" t="s">
        <v>121</v>
      </c>
      <c r="DJ197" s="1" t="s">
        <v>121</v>
      </c>
      <c r="DK197" s="1" t="s">
        <v>121</v>
      </c>
      <c r="DL197" s="1" t="s">
        <v>121</v>
      </c>
      <c r="DM197" s="1" t="s">
        <v>121</v>
      </c>
      <c r="DN197" s="1" t="s">
        <v>121</v>
      </c>
      <c r="DO197" s="1" t="s">
        <v>121</v>
      </c>
      <c r="DP197" s="1" t="s">
        <v>121</v>
      </c>
      <c r="DQ197" s="1" t="s">
        <v>121</v>
      </c>
      <c r="DR197" s="1" t="s">
        <v>121</v>
      </c>
      <c r="DS197" s="1" t="s">
        <v>121</v>
      </c>
      <c r="DT197" s="1" t="s">
        <v>121</v>
      </c>
      <c r="DU197" s="1" t="s">
        <v>121</v>
      </c>
      <c r="DV197" s="1" t="s">
        <v>121</v>
      </c>
      <c r="DW197" s="1" t="s">
        <v>121</v>
      </c>
      <c r="DX197" s="1" t="s">
        <v>121</v>
      </c>
      <c r="DY197" s="1" t="s">
        <v>121</v>
      </c>
      <c r="DZ197" s="1" t="s">
        <v>121</v>
      </c>
      <c r="EA197" s="1" t="s">
        <v>121</v>
      </c>
      <c r="EB197" s="1" t="s">
        <v>121</v>
      </c>
      <c r="EC197" s="1" t="s">
        <v>121</v>
      </c>
      <c r="ED197" s="1" t="s">
        <v>121</v>
      </c>
      <c r="EE197" s="1" t="s">
        <v>121</v>
      </c>
      <c r="EF197" s="1" t="s">
        <v>121</v>
      </c>
      <c r="EG197" s="1" t="s">
        <v>121</v>
      </c>
      <c r="EH197" s="1" t="s">
        <v>121</v>
      </c>
      <c r="EI197" s="1" t="s">
        <v>121</v>
      </c>
      <c r="EJ197" s="1" t="s">
        <v>121</v>
      </c>
      <c r="EK197" s="1" t="s">
        <v>121</v>
      </c>
      <c r="EL197" s="1" t="s">
        <v>121</v>
      </c>
      <c r="EM197" s="1" t="s">
        <v>121</v>
      </c>
      <c r="EN197" s="1" t="s">
        <v>121</v>
      </c>
      <c r="EO197" s="1" t="s">
        <v>121</v>
      </c>
      <c r="EP197" s="1" t="s">
        <v>121</v>
      </c>
      <c r="EQ197" s="1" t="s">
        <v>121</v>
      </c>
      <c r="ER197" s="1" t="s">
        <v>121</v>
      </c>
      <c r="ES197" s="1" t="s">
        <v>121</v>
      </c>
      <c r="ET197" s="1" t="s">
        <v>121</v>
      </c>
      <c r="EU197" s="1" t="s">
        <v>121</v>
      </c>
      <c r="EV197" s="1" t="s">
        <v>121</v>
      </c>
      <c r="EW197" s="1" t="s">
        <v>121</v>
      </c>
      <c r="EX197" s="1" t="s">
        <v>121</v>
      </c>
    </row>
    <row r="198" spans="1:154" x14ac:dyDescent="0.25">
      <c r="A198" s="72">
        <v>198</v>
      </c>
      <c r="B198" s="73" t="s">
        <v>454</v>
      </c>
      <c r="C198" s="91" t="s">
        <v>121</v>
      </c>
      <c r="D198" s="86" t="s">
        <v>121</v>
      </c>
      <c r="E198" s="92">
        <v>0.72911988809953243</v>
      </c>
      <c r="F198" s="314">
        <v>93950</v>
      </c>
      <c r="G198" s="314">
        <v>59718</v>
      </c>
      <c r="H198" s="314">
        <v>28915</v>
      </c>
      <c r="I198" s="314">
        <v>81312</v>
      </c>
      <c r="J198" s="314">
        <v>54334</v>
      </c>
      <c r="K198" s="314">
        <v>33821</v>
      </c>
      <c r="L198" s="314">
        <v>16186</v>
      </c>
      <c r="M198" s="314">
        <v>31713</v>
      </c>
      <c r="N198" s="314">
        <v>18197</v>
      </c>
      <c r="O198" s="314">
        <v>10990</v>
      </c>
      <c r="P198" s="314">
        <v>5030</v>
      </c>
      <c r="Q198" s="405"/>
      <c r="R198" s="405"/>
      <c r="S198" s="405"/>
      <c r="T198" s="405"/>
      <c r="U198" s="314">
        <v>15364</v>
      </c>
      <c r="V198" s="124">
        <v>10473</v>
      </c>
      <c r="W198" s="124">
        <v>6889</v>
      </c>
      <c r="X198" s="124">
        <v>3276</v>
      </c>
      <c r="Y198" s="124">
        <v>16664</v>
      </c>
      <c r="Z198" s="124">
        <v>13106.054</v>
      </c>
      <c r="AA198" s="124">
        <v>9093.7219999999979</v>
      </c>
      <c r="AB198" s="124">
        <v>4577.8540000000003</v>
      </c>
      <c r="AC198" s="124">
        <v>23444.594000000001</v>
      </c>
      <c r="AD198" s="124">
        <v>18250.566999999999</v>
      </c>
      <c r="AE198" s="124">
        <v>12481.619000000001</v>
      </c>
      <c r="AF198" s="124">
        <v>6668.5690000000004</v>
      </c>
      <c r="AG198" s="124">
        <v>22892.995999999996</v>
      </c>
      <c r="AH198" s="124">
        <v>16960.544000000002</v>
      </c>
      <c r="AI198" s="124">
        <v>11386.648999999999</v>
      </c>
      <c r="AJ198" s="124">
        <v>5614.9850000000006</v>
      </c>
      <c r="AK198" s="124">
        <v>26621.953000000001</v>
      </c>
      <c r="AL198" s="124">
        <v>20720.521000000001</v>
      </c>
      <c r="AM198" s="124">
        <v>14560.726999999997</v>
      </c>
      <c r="AN198" s="124">
        <v>7447.427999999999</v>
      </c>
      <c r="AO198" s="124">
        <v>29706.920999999998</v>
      </c>
      <c r="AP198" s="124">
        <v>22928.959999999999</v>
      </c>
      <c r="AQ198" s="124">
        <v>15620.279999999997</v>
      </c>
      <c r="AR198" s="124">
        <v>7829.1279999999997</v>
      </c>
      <c r="AS198" s="124">
        <v>33315.993000000002</v>
      </c>
      <c r="AT198" s="124">
        <v>25314.981</v>
      </c>
      <c r="AU198" s="124">
        <v>16648.286</v>
      </c>
      <c r="AV198" s="124">
        <v>8156.2099999999982</v>
      </c>
      <c r="AW198" s="124">
        <v>20249.404000000002</v>
      </c>
      <c r="AX198" s="124">
        <v>14651.588</v>
      </c>
      <c r="AY198" s="124">
        <v>9503.6820000000007</v>
      </c>
      <c r="AZ198" s="124">
        <v>4631.9470000000001</v>
      </c>
      <c r="BA198" s="124">
        <v>17459.531999999999</v>
      </c>
      <c r="BB198" s="124">
        <v>12926.576999999999</v>
      </c>
      <c r="BC198" s="124">
        <v>8393.6939999999995</v>
      </c>
      <c r="BD198" s="124">
        <v>4017.7829999999999</v>
      </c>
      <c r="BE198" s="124">
        <v>15379.020999999999</v>
      </c>
      <c r="BF198" s="124">
        <v>11324.977000000001</v>
      </c>
      <c r="BG198" s="124">
        <v>7458.4400000000005</v>
      </c>
      <c r="BH198" s="124">
        <v>3499.3809999999999</v>
      </c>
      <c r="BI198" s="124">
        <v>12157.178000000002</v>
      </c>
      <c r="BJ198" s="124">
        <v>8863.7019999999993</v>
      </c>
      <c r="BK198" s="124">
        <v>5824.5920000000006</v>
      </c>
      <c r="BL198" s="124">
        <v>2853.4139999999998</v>
      </c>
      <c r="BM198" s="1">
        <v>12235.339000000002</v>
      </c>
      <c r="BN198" s="1">
        <v>9308.9310000000005</v>
      </c>
      <c r="BO198" s="1">
        <v>6531.4</v>
      </c>
      <c r="BP198" s="1">
        <v>3412.0959999999995</v>
      </c>
      <c r="BQ198" s="1" t="s">
        <v>121</v>
      </c>
      <c r="BR198" s="1" t="s">
        <v>121</v>
      </c>
      <c r="BS198" s="1" t="s">
        <v>121</v>
      </c>
      <c r="BT198" s="1" t="s">
        <v>121</v>
      </c>
      <c r="BU198" s="1" t="s">
        <v>121</v>
      </c>
      <c r="BV198" s="1" t="s">
        <v>121</v>
      </c>
      <c r="BW198" s="1" t="s">
        <v>121</v>
      </c>
      <c r="BX198" s="1" t="s">
        <v>121</v>
      </c>
      <c r="BY198" s="1" t="s">
        <v>121</v>
      </c>
      <c r="BZ198" s="1" t="s">
        <v>121</v>
      </c>
      <c r="CA198" s="1" t="s">
        <v>121</v>
      </c>
      <c r="CB198" s="1" t="s">
        <v>121</v>
      </c>
      <c r="CC198" s="1" t="s">
        <v>121</v>
      </c>
      <c r="CD198" s="1" t="s">
        <v>121</v>
      </c>
      <c r="CE198" s="1" t="s">
        <v>121</v>
      </c>
      <c r="CF198" s="1" t="s">
        <v>121</v>
      </c>
      <c r="CG198" s="1" t="s">
        <v>121</v>
      </c>
      <c r="CH198" s="1" t="s">
        <v>121</v>
      </c>
      <c r="CI198" s="1" t="s">
        <v>121</v>
      </c>
      <c r="CJ198" s="1" t="s">
        <v>121</v>
      </c>
      <c r="CK198" s="1" t="s">
        <v>121</v>
      </c>
      <c r="CL198" s="1" t="s">
        <v>121</v>
      </c>
      <c r="CM198" s="1" t="s">
        <v>121</v>
      </c>
      <c r="CN198" s="1" t="s">
        <v>121</v>
      </c>
      <c r="CO198" s="1" t="s">
        <v>121</v>
      </c>
      <c r="CP198" s="1" t="s">
        <v>121</v>
      </c>
      <c r="CQ198" s="1" t="s">
        <v>121</v>
      </c>
      <c r="CR198" s="1" t="s">
        <v>121</v>
      </c>
      <c r="CS198" s="1" t="s">
        <v>121</v>
      </c>
      <c r="CT198" s="1" t="s">
        <v>121</v>
      </c>
      <c r="CU198" s="1" t="s">
        <v>121</v>
      </c>
      <c r="CV198" s="1" t="s">
        <v>121</v>
      </c>
      <c r="CW198" s="1" t="s">
        <v>121</v>
      </c>
      <c r="CX198" s="1" t="s">
        <v>121</v>
      </c>
      <c r="CY198" s="1" t="s">
        <v>121</v>
      </c>
      <c r="CZ198" s="1" t="s">
        <v>121</v>
      </c>
      <c r="DA198" s="1" t="s">
        <v>121</v>
      </c>
      <c r="DB198" s="1" t="s">
        <v>121</v>
      </c>
      <c r="DC198" s="1" t="s">
        <v>121</v>
      </c>
      <c r="DD198" s="1" t="s">
        <v>121</v>
      </c>
      <c r="DE198" s="1" t="s">
        <v>121</v>
      </c>
      <c r="DF198" s="1" t="s">
        <v>121</v>
      </c>
      <c r="DG198" s="1" t="s">
        <v>121</v>
      </c>
      <c r="DH198" s="1" t="s">
        <v>121</v>
      </c>
      <c r="DI198" s="1" t="s">
        <v>121</v>
      </c>
      <c r="DJ198" s="1" t="s">
        <v>121</v>
      </c>
      <c r="DK198" s="1" t="s">
        <v>121</v>
      </c>
      <c r="DL198" s="1" t="s">
        <v>121</v>
      </c>
      <c r="DM198" s="1" t="s">
        <v>121</v>
      </c>
      <c r="DN198" s="1" t="s">
        <v>121</v>
      </c>
      <c r="DO198" s="1" t="s">
        <v>121</v>
      </c>
      <c r="DP198" s="1" t="s">
        <v>121</v>
      </c>
      <c r="DQ198" s="1" t="s">
        <v>121</v>
      </c>
      <c r="DR198" s="1" t="s">
        <v>121</v>
      </c>
      <c r="DS198" s="1" t="s">
        <v>121</v>
      </c>
      <c r="DT198" s="1" t="s">
        <v>121</v>
      </c>
      <c r="DU198" s="1" t="s">
        <v>121</v>
      </c>
      <c r="DV198" s="1" t="s">
        <v>121</v>
      </c>
      <c r="DW198" s="1" t="s">
        <v>121</v>
      </c>
      <c r="DX198" s="1" t="s">
        <v>121</v>
      </c>
      <c r="DY198" s="1" t="s">
        <v>121</v>
      </c>
      <c r="DZ198" s="1" t="s">
        <v>121</v>
      </c>
      <c r="EA198" s="1" t="s">
        <v>121</v>
      </c>
      <c r="EB198" s="1" t="s">
        <v>121</v>
      </c>
      <c r="EC198" s="1" t="s">
        <v>121</v>
      </c>
      <c r="ED198" s="1" t="s">
        <v>121</v>
      </c>
      <c r="EE198" s="1" t="s">
        <v>121</v>
      </c>
      <c r="EF198" s="1" t="s">
        <v>121</v>
      </c>
      <c r="EG198" s="1" t="s">
        <v>121</v>
      </c>
      <c r="EH198" s="1" t="s">
        <v>121</v>
      </c>
      <c r="EI198" s="1" t="s">
        <v>121</v>
      </c>
      <c r="EJ198" s="1" t="s">
        <v>121</v>
      </c>
      <c r="EK198" s="1" t="s">
        <v>121</v>
      </c>
      <c r="EL198" s="1" t="s">
        <v>121</v>
      </c>
      <c r="EM198" s="1" t="s">
        <v>121</v>
      </c>
      <c r="EN198" s="1" t="s">
        <v>121</v>
      </c>
      <c r="EO198" s="1" t="s">
        <v>121</v>
      </c>
      <c r="EP198" s="1" t="s">
        <v>121</v>
      </c>
      <c r="EQ198" s="1" t="s">
        <v>121</v>
      </c>
      <c r="ER198" s="1" t="s">
        <v>121</v>
      </c>
      <c r="ES198" s="1" t="s">
        <v>121</v>
      </c>
      <c r="ET198" s="1" t="s">
        <v>121</v>
      </c>
      <c r="EU198" s="1" t="s">
        <v>121</v>
      </c>
      <c r="EV198" s="1" t="s">
        <v>121</v>
      </c>
      <c r="EW198" s="1" t="s">
        <v>121</v>
      </c>
      <c r="EX198" s="1" t="s">
        <v>121</v>
      </c>
    </row>
    <row r="199" spans="1:154" x14ac:dyDescent="0.25">
      <c r="A199" s="72">
        <v>199</v>
      </c>
      <c r="B199" s="240" t="s">
        <v>411</v>
      </c>
      <c r="C199" s="91" t="s">
        <v>121</v>
      </c>
      <c r="D199" s="86" t="s">
        <v>121</v>
      </c>
      <c r="E199" s="94">
        <v>0.12752452394691294</v>
      </c>
      <c r="F199" s="314">
        <v>1954</v>
      </c>
      <c r="G199" s="314">
        <v>1274</v>
      </c>
      <c r="H199" s="314">
        <v>631</v>
      </c>
      <c r="I199" s="314">
        <v>2319</v>
      </c>
      <c r="J199" s="314">
        <v>1733</v>
      </c>
      <c r="K199" s="314">
        <v>1161</v>
      </c>
      <c r="L199" s="314">
        <v>577</v>
      </c>
      <c r="M199" s="314">
        <v>2114</v>
      </c>
      <c r="N199" s="314">
        <v>1568</v>
      </c>
      <c r="O199" s="314">
        <v>1049</v>
      </c>
      <c r="P199" s="314">
        <v>529</v>
      </c>
      <c r="Q199" s="405"/>
      <c r="R199" s="405"/>
      <c r="S199" s="405"/>
      <c r="T199" s="405"/>
      <c r="U199" s="315">
        <v>1521</v>
      </c>
      <c r="V199" s="219">
        <v>1095</v>
      </c>
      <c r="W199" s="219">
        <v>676</v>
      </c>
      <c r="X199" s="219">
        <v>338</v>
      </c>
      <c r="Y199" s="219">
        <v>1242</v>
      </c>
      <c r="Z199" s="219">
        <v>911.70500000000004</v>
      </c>
      <c r="AA199" s="219">
        <v>589.97500000000002</v>
      </c>
      <c r="AB199" s="219">
        <v>452.435</v>
      </c>
      <c r="AC199" s="219">
        <v>1767.491</v>
      </c>
      <c r="AD199" s="219">
        <v>1323.5319999999999</v>
      </c>
      <c r="AE199" s="219">
        <v>881.38300000000004</v>
      </c>
      <c r="AF199" s="219">
        <v>441.8</v>
      </c>
      <c r="AG199" s="219">
        <v>1250.3109999999999</v>
      </c>
      <c r="AH199" s="219">
        <v>917.92399999999998</v>
      </c>
      <c r="AI199" s="219">
        <v>598.9</v>
      </c>
      <c r="AJ199" s="219">
        <v>294.02699999999999</v>
      </c>
      <c r="AK199" s="219">
        <v>890.44399999999996</v>
      </c>
      <c r="AL199" s="219">
        <v>663.74199999999996</v>
      </c>
      <c r="AM199" s="219">
        <v>436.77199999999999</v>
      </c>
      <c r="AN199" s="219">
        <v>215.27199999999999</v>
      </c>
      <c r="AO199" s="219">
        <v>787.30700000000002</v>
      </c>
      <c r="AP199" s="219">
        <v>571.60199999999998</v>
      </c>
      <c r="AQ199" s="219">
        <v>354.22399999999999</v>
      </c>
      <c r="AR199" s="219">
        <v>178.214</v>
      </c>
      <c r="AS199" s="219">
        <v>607.73299999999995</v>
      </c>
      <c r="AT199" s="219">
        <v>444.56100000000004</v>
      </c>
      <c r="AU199" s="219">
        <v>286.928</v>
      </c>
      <c r="AV199" s="219">
        <v>144.42699999999999</v>
      </c>
      <c r="AW199" s="219">
        <v>511.19600000000003</v>
      </c>
      <c r="AX199" s="219">
        <v>371.48</v>
      </c>
      <c r="AY199" s="219">
        <v>243.864</v>
      </c>
      <c r="AZ199" s="219">
        <v>121.867</v>
      </c>
      <c r="BA199" s="219">
        <v>428.971</v>
      </c>
      <c r="BB199" s="219">
        <v>315.642</v>
      </c>
      <c r="BC199" s="219">
        <v>203.73699999999999</v>
      </c>
      <c r="BD199" s="219">
        <v>96.717999999999989</v>
      </c>
      <c r="BE199" s="219">
        <v>358.04599999999994</v>
      </c>
      <c r="BF199" s="219">
        <v>270.5</v>
      </c>
      <c r="BG199" s="219">
        <v>172.71199999999999</v>
      </c>
      <c r="BH199" s="219">
        <v>83.703000000000003</v>
      </c>
      <c r="BI199" s="219">
        <v>297.363</v>
      </c>
      <c r="BJ199" s="219">
        <v>218.03100000000001</v>
      </c>
      <c r="BK199" s="219">
        <v>141.93199999999999</v>
      </c>
      <c r="BL199" s="219" t="s">
        <v>121</v>
      </c>
      <c r="BM199" s="1">
        <v>255.06800000000001</v>
      </c>
      <c r="BN199" s="1">
        <v>187.86799999999999</v>
      </c>
      <c r="BO199" s="1">
        <v>257.86</v>
      </c>
      <c r="BP199" s="1">
        <v>60.643999999999998</v>
      </c>
      <c r="BQ199" s="1" t="s">
        <v>121</v>
      </c>
      <c r="BR199" s="1" t="s">
        <v>121</v>
      </c>
      <c r="BS199" s="1" t="s">
        <v>121</v>
      </c>
      <c r="BT199" s="1" t="s">
        <v>121</v>
      </c>
      <c r="BU199" s="1" t="s">
        <v>121</v>
      </c>
      <c r="BV199" s="1" t="s">
        <v>121</v>
      </c>
      <c r="BW199" s="1" t="s">
        <v>121</v>
      </c>
      <c r="BX199" s="1" t="s">
        <v>121</v>
      </c>
      <c r="BY199" s="1" t="s">
        <v>121</v>
      </c>
      <c r="BZ199" s="1" t="s">
        <v>121</v>
      </c>
      <c r="CA199" s="1" t="s">
        <v>121</v>
      </c>
      <c r="CB199" s="1" t="s">
        <v>121</v>
      </c>
      <c r="CC199" s="1" t="s">
        <v>121</v>
      </c>
      <c r="CD199" s="1" t="s">
        <v>121</v>
      </c>
      <c r="CE199" s="1" t="s">
        <v>121</v>
      </c>
      <c r="CF199" s="1" t="s">
        <v>121</v>
      </c>
      <c r="CG199" s="1" t="s">
        <v>121</v>
      </c>
      <c r="CH199" s="1" t="s">
        <v>121</v>
      </c>
      <c r="CI199" s="1" t="s">
        <v>121</v>
      </c>
      <c r="CJ199" s="1" t="s">
        <v>121</v>
      </c>
      <c r="CK199" s="1" t="s">
        <v>121</v>
      </c>
      <c r="CL199" s="1" t="s">
        <v>121</v>
      </c>
      <c r="CM199" s="1" t="s">
        <v>121</v>
      </c>
      <c r="CN199" s="1" t="s">
        <v>121</v>
      </c>
      <c r="CO199" s="1" t="s">
        <v>121</v>
      </c>
      <c r="CP199" s="1" t="s">
        <v>121</v>
      </c>
      <c r="CQ199" s="1" t="s">
        <v>121</v>
      </c>
      <c r="CR199" s="1" t="s">
        <v>121</v>
      </c>
      <c r="CS199" s="1" t="s">
        <v>121</v>
      </c>
      <c r="CT199" s="1" t="s">
        <v>121</v>
      </c>
      <c r="CU199" s="1" t="s">
        <v>121</v>
      </c>
      <c r="CV199" s="1" t="s">
        <v>121</v>
      </c>
      <c r="CW199" s="1" t="s">
        <v>121</v>
      </c>
      <c r="CX199" s="1" t="s">
        <v>121</v>
      </c>
      <c r="CY199" s="1" t="s">
        <v>121</v>
      </c>
      <c r="CZ199" s="1" t="s">
        <v>121</v>
      </c>
      <c r="DA199" s="1" t="s">
        <v>121</v>
      </c>
      <c r="DB199" s="1" t="s">
        <v>121</v>
      </c>
      <c r="DC199" s="1" t="s">
        <v>121</v>
      </c>
      <c r="DD199" s="1" t="s">
        <v>121</v>
      </c>
      <c r="DE199" s="1" t="s">
        <v>121</v>
      </c>
      <c r="DF199" s="1" t="s">
        <v>121</v>
      </c>
      <c r="DG199" s="1" t="s">
        <v>121</v>
      </c>
      <c r="DH199" s="1" t="s">
        <v>121</v>
      </c>
      <c r="DI199" s="1" t="s">
        <v>121</v>
      </c>
      <c r="DJ199" s="1" t="s">
        <v>121</v>
      </c>
      <c r="DK199" s="1" t="s">
        <v>121</v>
      </c>
      <c r="DL199" s="1" t="s">
        <v>121</v>
      </c>
      <c r="DM199" s="1" t="s">
        <v>121</v>
      </c>
      <c r="DN199" s="1" t="s">
        <v>121</v>
      </c>
      <c r="DO199" s="1" t="s">
        <v>121</v>
      </c>
      <c r="DP199" s="1" t="s">
        <v>121</v>
      </c>
      <c r="DQ199" s="1" t="s">
        <v>121</v>
      </c>
      <c r="DR199" s="1" t="s">
        <v>121</v>
      </c>
      <c r="DS199" s="1" t="s">
        <v>121</v>
      </c>
      <c r="DT199" s="1" t="s">
        <v>121</v>
      </c>
      <c r="DU199" s="1" t="s">
        <v>121</v>
      </c>
      <c r="DV199" s="1" t="s">
        <v>121</v>
      </c>
      <c r="DW199" s="1" t="s">
        <v>121</v>
      </c>
      <c r="DX199" s="1" t="s">
        <v>121</v>
      </c>
      <c r="DY199" s="1" t="s">
        <v>121</v>
      </c>
      <c r="DZ199" s="1" t="s">
        <v>121</v>
      </c>
      <c r="EA199" s="1" t="s">
        <v>121</v>
      </c>
      <c r="EB199" s="1" t="s">
        <v>121</v>
      </c>
      <c r="EC199" s="1" t="s">
        <v>121</v>
      </c>
      <c r="ED199" s="1" t="s">
        <v>121</v>
      </c>
      <c r="EE199" s="1" t="s">
        <v>121</v>
      </c>
      <c r="EF199" s="1" t="s">
        <v>121</v>
      </c>
      <c r="EG199" s="1" t="s">
        <v>121</v>
      </c>
      <c r="EH199" s="1" t="s">
        <v>121</v>
      </c>
      <c r="EI199" s="1" t="s">
        <v>121</v>
      </c>
      <c r="EJ199" s="1" t="s">
        <v>121</v>
      </c>
      <c r="EK199" s="1" t="s">
        <v>121</v>
      </c>
      <c r="EL199" s="1" t="s">
        <v>121</v>
      </c>
      <c r="EM199" s="1" t="s">
        <v>121</v>
      </c>
      <c r="EN199" s="1" t="s">
        <v>121</v>
      </c>
      <c r="EO199" s="1" t="s">
        <v>121</v>
      </c>
      <c r="EP199" s="1" t="s">
        <v>121</v>
      </c>
      <c r="EQ199" s="1" t="s">
        <v>121</v>
      </c>
      <c r="ER199" s="1" t="s">
        <v>121</v>
      </c>
      <c r="ES199" s="1" t="s">
        <v>121</v>
      </c>
      <c r="ET199" s="1" t="s">
        <v>121</v>
      </c>
      <c r="EU199" s="1" t="s">
        <v>121</v>
      </c>
      <c r="EV199" s="1" t="s">
        <v>121</v>
      </c>
      <c r="EW199" s="1" t="s">
        <v>121</v>
      </c>
      <c r="EX199" s="1" t="s">
        <v>121</v>
      </c>
    </row>
    <row r="200" spans="1:154" x14ac:dyDescent="0.25">
      <c r="A200" s="72">
        <v>200</v>
      </c>
      <c r="B200" s="240" t="s">
        <v>121</v>
      </c>
      <c r="C200" s="91" t="s">
        <v>121</v>
      </c>
      <c r="D200" s="86" t="s">
        <v>121</v>
      </c>
      <c r="E200" s="94">
        <v>0.71052490769971643</v>
      </c>
      <c r="F200" s="314">
        <v>95904</v>
      </c>
      <c r="G200" s="314">
        <v>60992</v>
      </c>
      <c r="H200" s="314">
        <v>29546</v>
      </c>
      <c r="I200" s="314">
        <v>83631</v>
      </c>
      <c r="J200" s="314">
        <v>56067</v>
      </c>
      <c r="K200" s="314">
        <v>34982</v>
      </c>
      <c r="L200" s="314">
        <v>16763</v>
      </c>
      <c r="M200" s="314">
        <v>33827</v>
      </c>
      <c r="N200" s="314">
        <v>19765</v>
      </c>
      <c r="O200" s="314">
        <v>12039</v>
      </c>
      <c r="P200" s="314">
        <v>5559</v>
      </c>
      <c r="Q200" s="405"/>
      <c r="R200" s="405"/>
      <c r="S200" s="405"/>
      <c r="T200" s="405"/>
      <c r="U200" s="315">
        <v>16885</v>
      </c>
      <c r="V200" s="219">
        <v>11568</v>
      </c>
      <c r="W200" s="219">
        <v>7565</v>
      </c>
      <c r="X200" s="219">
        <v>3614</v>
      </c>
      <c r="Y200" s="219">
        <v>17906</v>
      </c>
      <c r="Z200" s="219">
        <v>14017.759</v>
      </c>
      <c r="AA200" s="219">
        <v>9683.6969999999983</v>
      </c>
      <c r="AB200" s="219">
        <v>5030.2890000000007</v>
      </c>
      <c r="AC200" s="219">
        <v>25212.084999999999</v>
      </c>
      <c r="AD200" s="219">
        <v>19574.098999999998</v>
      </c>
      <c r="AE200" s="219">
        <v>13363.002</v>
      </c>
      <c r="AF200" s="219">
        <v>7110.3690000000006</v>
      </c>
      <c r="AG200" s="219">
        <v>24143.306999999997</v>
      </c>
      <c r="AH200" s="219">
        <v>17878.468000000001</v>
      </c>
      <c r="AI200" s="219">
        <v>11985.548999999999</v>
      </c>
      <c r="AJ200" s="219">
        <v>5909.0120000000006</v>
      </c>
      <c r="AK200" s="219">
        <v>27512.397000000001</v>
      </c>
      <c r="AL200" s="219">
        <v>21384.262999999999</v>
      </c>
      <c r="AM200" s="219">
        <v>14997.498999999998</v>
      </c>
      <c r="AN200" s="219">
        <v>7662.6999999999989</v>
      </c>
      <c r="AO200" s="219">
        <v>30494.227999999999</v>
      </c>
      <c r="AP200" s="219">
        <v>23500.561999999998</v>
      </c>
      <c r="AQ200" s="219">
        <v>15974.503999999997</v>
      </c>
      <c r="AR200" s="219">
        <v>8007.3419999999996</v>
      </c>
      <c r="AS200" s="219">
        <v>33923.726000000002</v>
      </c>
      <c r="AT200" s="219">
        <v>25759.542000000001</v>
      </c>
      <c r="AU200" s="219">
        <v>16935.214</v>
      </c>
      <c r="AV200" s="219">
        <v>8300.6369999999988</v>
      </c>
      <c r="AW200" s="219">
        <v>20760.600000000002</v>
      </c>
      <c r="AX200" s="219">
        <v>15023.067999999999</v>
      </c>
      <c r="AY200" s="219">
        <v>9747.5460000000003</v>
      </c>
      <c r="AZ200" s="219">
        <v>4753.8140000000003</v>
      </c>
      <c r="BA200" s="219">
        <v>17888.503000000001</v>
      </c>
      <c r="BB200" s="219">
        <v>13242.218999999999</v>
      </c>
      <c r="BC200" s="219">
        <v>8597.4309999999987</v>
      </c>
      <c r="BD200" s="219">
        <v>4114.5010000000002</v>
      </c>
      <c r="BE200" s="219">
        <v>15737.066999999999</v>
      </c>
      <c r="BF200" s="219">
        <v>11595.477000000001</v>
      </c>
      <c r="BG200" s="219">
        <v>7631.152</v>
      </c>
      <c r="BH200" s="219">
        <v>3583.0839999999998</v>
      </c>
      <c r="BI200" s="219">
        <v>12454.541000000001</v>
      </c>
      <c r="BJ200" s="219">
        <v>9081.7330000000002</v>
      </c>
      <c r="BK200" s="219">
        <v>5966.5240000000003</v>
      </c>
      <c r="BL200" s="219">
        <v>2853.4139999999998</v>
      </c>
      <c r="BM200" s="1">
        <v>12490.407000000001</v>
      </c>
      <c r="BN200" s="1">
        <v>9496.7990000000009</v>
      </c>
      <c r="BO200" s="1">
        <v>6789.2599999999993</v>
      </c>
      <c r="BP200" s="1">
        <v>3472.7399999999993</v>
      </c>
      <c r="BQ200" s="1" t="s">
        <v>121</v>
      </c>
      <c r="BR200" s="1" t="s">
        <v>121</v>
      </c>
      <c r="BS200" s="1" t="s">
        <v>121</v>
      </c>
      <c r="BT200" s="1" t="s">
        <v>121</v>
      </c>
      <c r="BU200" s="1" t="s">
        <v>121</v>
      </c>
      <c r="BV200" s="1" t="s">
        <v>121</v>
      </c>
      <c r="BW200" s="1" t="s">
        <v>121</v>
      </c>
      <c r="BX200" s="1" t="s">
        <v>121</v>
      </c>
      <c r="BY200" s="1" t="s">
        <v>121</v>
      </c>
      <c r="BZ200" s="1" t="s">
        <v>121</v>
      </c>
      <c r="CA200" s="1" t="s">
        <v>121</v>
      </c>
      <c r="CB200" s="1" t="s">
        <v>121</v>
      </c>
      <c r="CC200" s="1" t="s">
        <v>121</v>
      </c>
      <c r="CD200" s="1" t="s">
        <v>121</v>
      </c>
      <c r="CE200" s="1" t="s">
        <v>121</v>
      </c>
      <c r="CF200" s="1" t="s">
        <v>121</v>
      </c>
      <c r="CG200" s="1" t="s">
        <v>121</v>
      </c>
      <c r="CH200" s="1" t="s">
        <v>121</v>
      </c>
      <c r="CI200" s="1" t="s">
        <v>121</v>
      </c>
      <c r="CJ200" s="1" t="s">
        <v>121</v>
      </c>
      <c r="CK200" s="1" t="s">
        <v>121</v>
      </c>
      <c r="CL200" s="1" t="s">
        <v>121</v>
      </c>
      <c r="CM200" s="1" t="s">
        <v>121</v>
      </c>
      <c r="CN200" s="1" t="s">
        <v>121</v>
      </c>
      <c r="CO200" s="1" t="s">
        <v>121</v>
      </c>
      <c r="CP200" s="1" t="s">
        <v>121</v>
      </c>
      <c r="CQ200" s="1" t="s">
        <v>121</v>
      </c>
      <c r="CR200" s="1" t="s">
        <v>121</v>
      </c>
      <c r="CS200" s="1" t="s">
        <v>121</v>
      </c>
      <c r="CT200" s="1" t="s">
        <v>121</v>
      </c>
      <c r="CU200" s="1" t="s">
        <v>121</v>
      </c>
      <c r="CV200" s="1" t="s">
        <v>121</v>
      </c>
      <c r="CW200" s="1" t="s">
        <v>121</v>
      </c>
      <c r="CX200" s="1" t="s">
        <v>121</v>
      </c>
      <c r="CY200" s="1" t="s">
        <v>121</v>
      </c>
      <c r="CZ200" s="1" t="s">
        <v>121</v>
      </c>
      <c r="DA200" s="1" t="s">
        <v>121</v>
      </c>
      <c r="DB200" s="1" t="s">
        <v>121</v>
      </c>
      <c r="DC200" s="1" t="s">
        <v>121</v>
      </c>
      <c r="DD200" s="1" t="s">
        <v>121</v>
      </c>
      <c r="DE200" s="1" t="s">
        <v>121</v>
      </c>
      <c r="DF200" s="1" t="s">
        <v>121</v>
      </c>
      <c r="DG200" s="1" t="s">
        <v>121</v>
      </c>
      <c r="DH200" s="1" t="s">
        <v>121</v>
      </c>
      <c r="DI200" s="1" t="s">
        <v>121</v>
      </c>
      <c r="DJ200" s="1" t="s">
        <v>121</v>
      </c>
      <c r="DK200" s="1" t="s">
        <v>121</v>
      </c>
      <c r="DL200" s="1" t="s">
        <v>121</v>
      </c>
      <c r="DM200" s="1" t="s">
        <v>121</v>
      </c>
      <c r="DN200" s="1" t="s">
        <v>121</v>
      </c>
      <c r="DO200" s="1" t="s">
        <v>121</v>
      </c>
      <c r="DP200" s="1" t="s">
        <v>121</v>
      </c>
      <c r="DQ200" s="1" t="s">
        <v>121</v>
      </c>
      <c r="DR200" s="1" t="s">
        <v>121</v>
      </c>
      <c r="DS200" s="1" t="s">
        <v>121</v>
      </c>
      <c r="DT200" s="1" t="s">
        <v>121</v>
      </c>
      <c r="DU200" s="1" t="s">
        <v>121</v>
      </c>
      <c r="DV200" s="1" t="s">
        <v>121</v>
      </c>
      <c r="DW200" s="1" t="s">
        <v>121</v>
      </c>
      <c r="DX200" s="1" t="s">
        <v>121</v>
      </c>
      <c r="DY200" s="1" t="s">
        <v>121</v>
      </c>
      <c r="DZ200" s="1" t="s">
        <v>121</v>
      </c>
      <c r="EA200" s="1" t="s">
        <v>121</v>
      </c>
      <c r="EB200" s="1" t="s">
        <v>121</v>
      </c>
      <c r="EC200" s="1" t="s">
        <v>121</v>
      </c>
      <c r="ED200" s="1" t="s">
        <v>121</v>
      </c>
      <c r="EE200" s="1" t="s">
        <v>121</v>
      </c>
      <c r="EF200" s="1" t="s">
        <v>121</v>
      </c>
      <c r="EG200" s="1" t="s">
        <v>121</v>
      </c>
      <c r="EH200" s="1" t="s">
        <v>121</v>
      </c>
      <c r="EI200" s="1" t="s">
        <v>121</v>
      </c>
      <c r="EJ200" s="1" t="s">
        <v>121</v>
      </c>
      <c r="EK200" s="1" t="s">
        <v>121</v>
      </c>
      <c r="EL200" s="1" t="s">
        <v>121</v>
      </c>
      <c r="EM200" s="1" t="s">
        <v>121</v>
      </c>
      <c r="EN200" s="1" t="s">
        <v>121</v>
      </c>
      <c r="EO200" s="1" t="s">
        <v>121</v>
      </c>
      <c r="EP200" s="1" t="s">
        <v>121</v>
      </c>
      <c r="EQ200" s="1" t="s">
        <v>121</v>
      </c>
      <c r="ER200" s="1" t="s">
        <v>121</v>
      </c>
      <c r="ES200" s="1" t="s">
        <v>121</v>
      </c>
      <c r="ET200" s="1" t="s">
        <v>121</v>
      </c>
      <c r="EU200" s="1" t="s">
        <v>121</v>
      </c>
      <c r="EV200" s="1" t="s">
        <v>121</v>
      </c>
      <c r="EW200" s="1" t="s">
        <v>121</v>
      </c>
      <c r="EX200" s="1" t="s">
        <v>121</v>
      </c>
    </row>
    <row r="201" spans="1:154" x14ac:dyDescent="0.25">
      <c r="A201" s="72">
        <v>201</v>
      </c>
      <c r="B201" s="73" t="s">
        <v>412</v>
      </c>
      <c r="C201" s="91" t="s">
        <v>121</v>
      </c>
      <c r="D201" s="86" t="s">
        <v>121</v>
      </c>
      <c r="E201" s="94">
        <v>0.15352470220660019</v>
      </c>
      <c r="F201" s="314">
        <v>59072</v>
      </c>
      <c r="G201" s="314">
        <v>39430</v>
      </c>
      <c r="H201" s="314">
        <v>19928</v>
      </c>
      <c r="I201" s="314">
        <v>70557</v>
      </c>
      <c r="J201" s="314">
        <v>51210</v>
      </c>
      <c r="K201" s="314">
        <v>33866</v>
      </c>
      <c r="L201" s="314">
        <v>17202</v>
      </c>
      <c r="M201" s="314">
        <v>50832</v>
      </c>
      <c r="N201" s="314">
        <v>34755</v>
      </c>
      <c r="O201" s="314">
        <v>22095</v>
      </c>
      <c r="P201" s="314">
        <v>11209</v>
      </c>
      <c r="Q201" s="405"/>
      <c r="R201" s="405"/>
      <c r="S201" s="405"/>
      <c r="T201" s="405"/>
      <c r="U201" s="314">
        <v>28107.683000000005</v>
      </c>
      <c r="V201" s="124">
        <v>20155</v>
      </c>
      <c r="W201" s="124">
        <v>13096</v>
      </c>
      <c r="X201" s="124">
        <v>6466</v>
      </c>
      <c r="Y201" s="124">
        <v>25524</v>
      </c>
      <c r="Z201" s="124">
        <v>18333.587</v>
      </c>
      <c r="AA201" s="124">
        <v>12293.163000000006</v>
      </c>
      <c r="AB201" s="124">
        <v>6235.6049999999996</v>
      </c>
      <c r="AC201" s="124">
        <v>23281.468999999997</v>
      </c>
      <c r="AD201" s="124">
        <v>16914.134000000009</v>
      </c>
      <c r="AE201" s="124">
        <v>11057.761000000002</v>
      </c>
      <c r="AF201" s="124">
        <v>5736.3409999999985</v>
      </c>
      <c r="AG201" s="124">
        <v>21895.26500000001</v>
      </c>
      <c r="AH201" s="124">
        <v>15829.462999999996</v>
      </c>
      <c r="AI201" s="124">
        <v>10310.014000000003</v>
      </c>
      <c r="AJ201" s="124">
        <v>5053.8420000000006</v>
      </c>
      <c r="AK201" s="124">
        <v>19657.520999999997</v>
      </c>
      <c r="AL201" s="124">
        <v>13941.552000000001</v>
      </c>
      <c r="AM201" s="124">
        <v>8793.2519999999986</v>
      </c>
      <c r="AN201" s="124">
        <v>4453.5990000000002</v>
      </c>
      <c r="AO201" s="124">
        <v>21357.582000000006</v>
      </c>
      <c r="AP201" s="124">
        <v>15506.97</v>
      </c>
      <c r="AQ201" s="124">
        <v>10026.615999999998</v>
      </c>
      <c r="AR201" s="124">
        <v>4889.6529999999993</v>
      </c>
      <c r="AS201" s="124">
        <v>16869.748999999996</v>
      </c>
      <c r="AT201" s="124">
        <v>11878.002999999992</v>
      </c>
      <c r="AU201" s="124">
        <v>7952.9909999999982</v>
      </c>
      <c r="AV201" s="124">
        <v>3977.6940000000018</v>
      </c>
      <c r="AW201" s="124">
        <v>17999.7</v>
      </c>
      <c r="AX201" s="124">
        <v>12602.809000000005</v>
      </c>
      <c r="AY201" s="124">
        <v>8259.6350000000002</v>
      </c>
      <c r="AZ201" s="124">
        <v>3967.893</v>
      </c>
      <c r="BA201" s="124">
        <v>12943.022000000003</v>
      </c>
      <c r="BB201" s="124">
        <v>9238.4009999999998</v>
      </c>
      <c r="BC201" s="124">
        <v>5945.3369999999986</v>
      </c>
      <c r="BD201" s="124">
        <v>2890.6400000000008</v>
      </c>
      <c r="BE201" s="124">
        <v>11624.100000000002</v>
      </c>
      <c r="BF201" s="124">
        <v>8610.2319999999945</v>
      </c>
      <c r="BG201" s="124">
        <v>5788.7880000000005</v>
      </c>
      <c r="BH201" s="124">
        <v>2839.6120000000001</v>
      </c>
      <c r="BI201" s="124">
        <v>13322.563999999995</v>
      </c>
      <c r="BJ201" s="124">
        <v>10117.833999999999</v>
      </c>
      <c r="BK201" s="124">
        <v>6645.8789999999981</v>
      </c>
      <c r="BL201" s="124">
        <v>3267.7709999999997</v>
      </c>
      <c r="BM201" s="1">
        <v>11769.359999999999</v>
      </c>
      <c r="BN201" s="1">
        <v>8858.9659999999985</v>
      </c>
      <c r="BO201" s="1">
        <v>5820.3750000000009</v>
      </c>
      <c r="BP201" s="1">
        <v>3024.5180000000005</v>
      </c>
      <c r="BQ201" s="1" t="s">
        <v>121</v>
      </c>
      <c r="BR201" s="1" t="s">
        <v>121</v>
      </c>
      <c r="BS201" s="1" t="s">
        <v>121</v>
      </c>
      <c r="BT201" s="1" t="s">
        <v>121</v>
      </c>
      <c r="BU201" s="1" t="s">
        <v>121</v>
      </c>
      <c r="BV201" s="1" t="s">
        <v>121</v>
      </c>
      <c r="BW201" s="1" t="s">
        <v>121</v>
      </c>
      <c r="BX201" s="1" t="s">
        <v>121</v>
      </c>
      <c r="BY201" s="1" t="s">
        <v>121</v>
      </c>
      <c r="BZ201" s="1" t="s">
        <v>121</v>
      </c>
      <c r="CA201" s="1" t="s">
        <v>121</v>
      </c>
      <c r="CB201" s="1" t="s">
        <v>121</v>
      </c>
      <c r="CC201" s="1" t="s">
        <v>121</v>
      </c>
      <c r="CD201" s="1" t="s">
        <v>121</v>
      </c>
      <c r="CE201" s="1" t="s">
        <v>121</v>
      </c>
      <c r="CF201" s="1" t="s">
        <v>121</v>
      </c>
      <c r="CG201" s="1" t="s">
        <v>121</v>
      </c>
      <c r="CH201" s="1" t="s">
        <v>121</v>
      </c>
      <c r="CI201" s="1" t="s">
        <v>121</v>
      </c>
      <c r="CJ201" s="1" t="s">
        <v>121</v>
      </c>
      <c r="CK201" s="1" t="s">
        <v>121</v>
      </c>
      <c r="CL201" s="1" t="s">
        <v>121</v>
      </c>
      <c r="CM201" s="1" t="s">
        <v>121</v>
      </c>
      <c r="CN201" s="1" t="s">
        <v>121</v>
      </c>
      <c r="CO201" s="1" t="s">
        <v>121</v>
      </c>
      <c r="CP201" s="1" t="s">
        <v>121</v>
      </c>
      <c r="CQ201" s="1" t="s">
        <v>121</v>
      </c>
      <c r="CR201" s="1" t="s">
        <v>121</v>
      </c>
      <c r="CS201" s="1" t="s">
        <v>121</v>
      </c>
      <c r="CT201" s="1" t="s">
        <v>121</v>
      </c>
      <c r="CU201" s="1" t="s">
        <v>121</v>
      </c>
      <c r="CV201" s="1" t="s">
        <v>121</v>
      </c>
      <c r="CW201" s="1" t="s">
        <v>121</v>
      </c>
      <c r="CX201" s="1" t="s">
        <v>121</v>
      </c>
      <c r="CY201" s="1" t="s">
        <v>121</v>
      </c>
      <c r="CZ201" s="1" t="s">
        <v>121</v>
      </c>
      <c r="DA201" s="1" t="s">
        <v>121</v>
      </c>
      <c r="DB201" s="1" t="s">
        <v>121</v>
      </c>
      <c r="DC201" s="1" t="s">
        <v>121</v>
      </c>
      <c r="DD201" s="1" t="s">
        <v>121</v>
      </c>
      <c r="DE201" s="1" t="s">
        <v>121</v>
      </c>
      <c r="DF201" s="1" t="s">
        <v>121</v>
      </c>
      <c r="DG201" s="1" t="s">
        <v>121</v>
      </c>
      <c r="DH201" s="1" t="s">
        <v>121</v>
      </c>
      <c r="DI201" s="1" t="s">
        <v>121</v>
      </c>
      <c r="DJ201" s="1" t="s">
        <v>121</v>
      </c>
      <c r="DK201" s="1" t="s">
        <v>121</v>
      </c>
      <c r="DL201" s="1" t="s">
        <v>121</v>
      </c>
      <c r="DM201" s="1" t="s">
        <v>121</v>
      </c>
      <c r="DN201" s="1" t="s">
        <v>121</v>
      </c>
      <c r="DO201" s="1" t="s">
        <v>121</v>
      </c>
      <c r="DP201" s="1" t="s">
        <v>121</v>
      </c>
      <c r="DQ201" s="1" t="s">
        <v>121</v>
      </c>
      <c r="DR201" s="1" t="s">
        <v>121</v>
      </c>
      <c r="DS201" s="1" t="s">
        <v>121</v>
      </c>
      <c r="DT201" s="1" t="s">
        <v>121</v>
      </c>
      <c r="DU201" s="1" t="s">
        <v>121</v>
      </c>
      <c r="DV201" s="1" t="s">
        <v>121</v>
      </c>
      <c r="DW201" s="1" t="s">
        <v>121</v>
      </c>
      <c r="DX201" s="1" t="s">
        <v>121</v>
      </c>
      <c r="DY201" s="1" t="s">
        <v>121</v>
      </c>
      <c r="DZ201" s="1" t="s">
        <v>121</v>
      </c>
      <c r="EA201" s="1" t="s">
        <v>121</v>
      </c>
      <c r="EB201" s="1" t="s">
        <v>121</v>
      </c>
      <c r="EC201" s="1" t="s">
        <v>121</v>
      </c>
      <c r="ED201" s="1" t="s">
        <v>121</v>
      </c>
      <c r="EE201" s="1" t="s">
        <v>121</v>
      </c>
      <c r="EF201" s="1" t="s">
        <v>121</v>
      </c>
      <c r="EG201" s="1" t="s">
        <v>121</v>
      </c>
      <c r="EH201" s="1" t="s">
        <v>121</v>
      </c>
      <c r="EI201" s="1" t="s">
        <v>121</v>
      </c>
      <c r="EJ201" s="1" t="s">
        <v>121</v>
      </c>
      <c r="EK201" s="1" t="s">
        <v>121</v>
      </c>
      <c r="EL201" s="1" t="s">
        <v>121</v>
      </c>
      <c r="EM201" s="1" t="s">
        <v>121</v>
      </c>
      <c r="EN201" s="1" t="s">
        <v>121</v>
      </c>
      <c r="EO201" s="1" t="s">
        <v>121</v>
      </c>
      <c r="EP201" s="1" t="s">
        <v>121</v>
      </c>
      <c r="EQ201" s="1" t="s">
        <v>121</v>
      </c>
      <c r="ER201" s="1" t="s">
        <v>121</v>
      </c>
      <c r="ES201" s="1" t="s">
        <v>121</v>
      </c>
      <c r="ET201" s="1" t="s">
        <v>121</v>
      </c>
      <c r="EU201" s="1" t="s">
        <v>121</v>
      </c>
      <c r="EV201" s="1" t="s">
        <v>121</v>
      </c>
      <c r="EW201" s="1" t="s">
        <v>121</v>
      </c>
      <c r="EX201" s="1" t="s">
        <v>121</v>
      </c>
    </row>
    <row r="202" spans="1:154" x14ac:dyDescent="0.25">
      <c r="A202" s="72">
        <v>202</v>
      </c>
      <c r="B202" s="73"/>
      <c r="C202" s="86"/>
      <c r="D202" s="86"/>
      <c r="E202" s="270"/>
      <c r="F202" s="332"/>
      <c r="G202" s="332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2"/>
      <c r="S202" s="332"/>
      <c r="T202" s="275"/>
      <c r="U202" s="275"/>
      <c r="V202" s="275"/>
      <c r="W202" s="275"/>
      <c r="X202" s="275"/>
      <c r="Y202" s="275"/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4"/>
      <c r="AL202" s="124"/>
      <c r="AM202" s="124"/>
      <c r="AN202" s="124"/>
      <c r="AO202" s="124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  <c r="BI202" s="124"/>
      <c r="BJ202" s="124"/>
      <c r="BK202" s="124"/>
      <c r="BL202" s="124"/>
    </row>
    <row r="203" spans="1:154" x14ac:dyDescent="0.25">
      <c r="A203" s="72">
        <v>203</v>
      </c>
    </row>
    <row r="204" spans="1:154" x14ac:dyDescent="0.25">
      <c r="A204" s="72">
        <v>204</v>
      </c>
      <c r="B204" s="426" t="s">
        <v>455</v>
      </c>
      <c r="C204" s="462" t="s">
        <v>433</v>
      </c>
      <c r="D204" s="333" t="s">
        <v>121</v>
      </c>
      <c r="E204" s="462" t="s">
        <v>434</v>
      </c>
      <c r="F204" s="416" t="s">
        <v>197</v>
      </c>
      <c r="G204" s="416" t="s">
        <v>198</v>
      </c>
      <c r="H204" s="416" t="s">
        <v>131</v>
      </c>
      <c r="I204" s="416" t="s">
        <v>199</v>
      </c>
      <c r="J204" s="416" t="s">
        <v>200</v>
      </c>
      <c r="K204" s="416" t="s">
        <v>201</v>
      </c>
      <c r="L204" s="416" t="s">
        <v>135</v>
      </c>
      <c r="M204" s="416" t="s">
        <v>202</v>
      </c>
      <c r="N204" s="416" t="s">
        <v>203</v>
      </c>
      <c r="O204" s="416" t="s">
        <v>204</v>
      </c>
      <c r="P204" s="416" t="s">
        <v>139</v>
      </c>
      <c r="Q204" s="416" t="s">
        <v>205</v>
      </c>
      <c r="R204" s="416" t="s">
        <v>206</v>
      </c>
      <c r="S204" s="416" t="s">
        <v>435</v>
      </c>
      <c r="T204" s="416" t="s">
        <v>143</v>
      </c>
      <c r="U204" s="416" t="s">
        <v>208</v>
      </c>
      <c r="V204" s="416" t="s">
        <v>209</v>
      </c>
      <c r="W204" s="416" t="s">
        <v>207</v>
      </c>
      <c r="X204" s="419" t="s">
        <v>147</v>
      </c>
      <c r="Y204" s="416" t="s">
        <v>210</v>
      </c>
      <c r="Z204" s="416" t="s">
        <v>211</v>
      </c>
      <c r="AA204" s="416" t="s">
        <v>212</v>
      </c>
      <c r="AB204" s="419" t="s">
        <v>151</v>
      </c>
      <c r="AC204" s="419" t="s">
        <v>213</v>
      </c>
      <c r="AD204" s="416" t="s">
        <v>214</v>
      </c>
      <c r="AE204" s="416" t="s">
        <v>215</v>
      </c>
      <c r="AF204" s="416" t="s">
        <v>155</v>
      </c>
      <c r="AG204" s="419" t="s">
        <v>216</v>
      </c>
      <c r="AH204" s="416" t="s">
        <v>217</v>
      </c>
      <c r="AI204" s="416" t="s">
        <v>218</v>
      </c>
      <c r="AJ204" s="416" t="s">
        <v>159</v>
      </c>
      <c r="AK204" s="416" t="s">
        <v>219</v>
      </c>
      <c r="AL204" s="416" t="s">
        <v>220</v>
      </c>
      <c r="AM204" s="416" t="s">
        <v>221</v>
      </c>
      <c r="AN204" s="416" t="s">
        <v>163</v>
      </c>
      <c r="AO204" s="416" t="s">
        <v>222</v>
      </c>
      <c r="AP204" s="416" t="s">
        <v>223</v>
      </c>
      <c r="AQ204" s="416" t="s">
        <v>224</v>
      </c>
      <c r="AR204" s="416" t="s">
        <v>167</v>
      </c>
      <c r="AS204" s="419" t="s">
        <v>225</v>
      </c>
      <c r="AT204" s="419" t="s">
        <v>226</v>
      </c>
      <c r="AU204" s="419" t="s">
        <v>227</v>
      </c>
      <c r="AV204" s="419" t="s">
        <v>171</v>
      </c>
      <c r="AW204" s="419" t="s">
        <v>228</v>
      </c>
      <c r="AX204" s="416" t="s">
        <v>229</v>
      </c>
      <c r="AY204" s="416" t="s">
        <v>230</v>
      </c>
      <c r="AZ204" s="416" t="s">
        <v>175</v>
      </c>
      <c r="BA204" s="416" t="s">
        <v>231</v>
      </c>
      <c r="BB204" s="416" t="s">
        <v>232</v>
      </c>
      <c r="BC204" s="416" t="s">
        <v>233</v>
      </c>
      <c r="BD204" s="416" t="s">
        <v>179</v>
      </c>
      <c r="BE204" s="416" t="s">
        <v>234</v>
      </c>
      <c r="BF204" s="416" t="s">
        <v>235</v>
      </c>
      <c r="BG204" s="416" t="s">
        <v>236</v>
      </c>
      <c r="BH204" s="416" t="s">
        <v>183</v>
      </c>
      <c r="BI204" s="416" t="s">
        <v>237</v>
      </c>
      <c r="BJ204" s="416" t="s">
        <v>238</v>
      </c>
      <c r="BK204" s="416" t="s">
        <v>239</v>
      </c>
      <c r="BL204" s="416" t="s">
        <v>187</v>
      </c>
      <c r="BM204" s="1" t="s">
        <v>240</v>
      </c>
      <c r="BN204" s="1" t="s">
        <v>241</v>
      </c>
      <c r="BO204" s="1" t="s">
        <v>242</v>
      </c>
      <c r="BP204" s="1" t="s">
        <v>191</v>
      </c>
      <c r="BQ204" s="1" t="s">
        <v>121</v>
      </c>
      <c r="BR204" s="1" t="s">
        <v>121</v>
      </c>
      <c r="BS204" s="1" t="s">
        <v>121</v>
      </c>
      <c r="BT204" s="1" t="s">
        <v>121</v>
      </c>
      <c r="BU204" s="1" t="s">
        <v>121</v>
      </c>
      <c r="BV204" s="1" t="s">
        <v>121</v>
      </c>
      <c r="BW204" s="1" t="s">
        <v>121</v>
      </c>
      <c r="BX204" s="1" t="s">
        <v>121</v>
      </c>
      <c r="BY204" s="1" t="s">
        <v>121</v>
      </c>
      <c r="BZ204" s="1" t="s">
        <v>121</v>
      </c>
      <c r="CA204" s="1" t="s">
        <v>121</v>
      </c>
      <c r="CB204" s="1" t="s">
        <v>121</v>
      </c>
      <c r="CC204" s="1" t="s">
        <v>121</v>
      </c>
      <c r="CD204" s="1" t="s">
        <v>121</v>
      </c>
      <c r="CE204" s="1" t="s">
        <v>121</v>
      </c>
      <c r="CF204" s="1" t="s">
        <v>121</v>
      </c>
      <c r="CG204" s="1" t="s">
        <v>121</v>
      </c>
      <c r="CH204" s="1" t="s">
        <v>121</v>
      </c>
      <c r="CI204" s="1" t="s">
        <v>121</v>
      </c>
      <c r="CJ204" s="1" t="s">
        <v>121</v>
      </c>
      <c r="CK204" s="1" t="s">
        <v>121</v>
      </c>
      <c r="CL204" s="1" t="s">
        <v>121</v>
      </c>
      <c r="CM204" s="1" t="s">
        <v>121</v>
      </c>
      <c r="CN204" s="1" t="s">
        <v>121</v>
      </c>
      <c r="CO204" s="1" t="s">
        <v>121</v>
      </c>
      <c r="CP204" s="1" t="s">
        <v>121</v>
      </c>
      <c r="CQ204" s="1" t="s">
        <v>121</v>
      </c>
      <c r="CR204" s="1" t="s">
        <v>121</v>
      </c>
      <c r="CS204" s="1" t="s">
        <v>121</v>
      </c>
      <c r="CT204" s="1" t="s">
        <v>121</v>
      </c>
      <c r="CU204" s="1" t="s">
        <v>121</v>
      </c>
      <c r="CV204" s="1" t="s">
        <v>121</v>
      </c>
      <c r="CW204" s="1" t="s">
        <v>121</v>
      </c>
      <c r="CX204" s="1" t="s">
        <v>121</v>
      </c>
      <c r="CY204" s="1" t="s">
        <v>121</v>
      </c>
      <c r="CZ204" s="1" t="s">
        <v>121</v>
      </c>
      <c r="DA204" s="1" t="s">
        <v>121</v>
      </c>
      <c r="DB204" s="1" t="s">
        <v>121</v>
      </c>
      <c r="DC204" s="1" t="s">
        <v>121</v>
      </c>
      <c r="DD204" s="1" t="s">
        <v>121</v>
      </c>
      <c r="DE204" s="1" t="s">
        <v>121</v>
      </c>
      <c r="DF204" s="1" t="s">
        <v>121</v>
      </c>
      <c r="DG204" s="1" t="s">
        <v>121</v>
      </c>
      <c r="DH204" s="1" t="s">
        <v>121</v>
      </c>
      <c r="DI204" s="1" t="s">
        <v>121</v>
      </c>
      <c r="DJ204" s="1" t="s">
        <v>121</v>
      </c>
      <c r="DK204" s="1" t="s">
        <v>121</v>
      </c>
      <c r="DL204" s="1" t="s">
        <v>121</v>
      </c>
      <c r="DM204" s="1" t="s">
        <v>121</v>
      </c>
      <c r="DN204" s="1" t="s">
        <v>121</v>
      </c>
      <c r="DO204" s="1" t="s">
        <v>121</v>
      </c>
      <c r="DP204" s="1" t="s">
        <v>121</v>
      </c>
      <c r="DQ204" s="1" t="s">
        <v>121</v>
      </c>
      <c r="DR204" s="1" t="s">
        <v>121</v>
      </c>
      <c r="DS204" s="1" t="s">
        <v>121</v>
      </c>
      <c r="DT204" s="1" t="s">
        <v>121</v>
      </c>
      <c r="DU204" s="1" t="s">
        <v>121</v>
      </c>
      <c r="DV204" s="1" t="s">
        <v>121</v>
      </c>
      <c r="DW204" s="1" t="s">
        <v>121</v>
      </c>
      <c r="DX204" s="1" t="s">
        <v>121</v>
      </c>
      <c r="DY204" s="1" t="s">
        <v>121</v>
      </c>
      <c r="DZ204" s="1" t="s">
        <v>121</v>
      </c>
      <c r="EA204" s="1" t="s">
        <v>121</v>
      </c>
      <c r="EB204" s="1" t="s">
        <v>121</v>
      </c>
      <c r="EC204" s="1" t="s">
        <v>121</v>
      </c>
      <c r="ED204" s="1" t="s">
        <v>121</v>
      </c>
      <c r="EE204" s="1" t="s">
        <v>121</v>
      </c>
      <c r="EF204" s="1" t="s">
        <v>121</v>
      </c>
      <c r="EG204" s="1" t="s">
        <v>121</v>
      </c>
      <c r="EH204" s="1" t="s">
        <v>121</v>
      </c>
      <c r="EI204" s="1" t="s">
        <v>121</v>
      </c>
      <c r="EJ204" s="1" t="s">
        <v>121</v>
      </c>
      <c r="EK204" s="1" t="s">
        <v>121</v>
      </c>
      <c r="EL204" s="1" t="s">
        <v>121</v>
      </c>
      <c r="EM204" s="1" t="s">
        <v>121</v>
      </c>
      <c r="EN204" s="1" t="s">
        <v>121</v>
      </c>
      <c r="EO204" s="1" t="s">
        <v>121</v>
      </c>
      <c r="EP204" s="1" t="s">
        <v>121</v>
      </c>
      <c r="EQ204" s="1" t="s">
        <v>121</v>
      </c>
      <c r="ER204" s="1" t="s">
        <v>121</v>
      </c>
      <c r="ES204" s="1" t="s">
        <v>121</v>
      </c>
      <c r="ET204" s="1" t="s">
        <v>121</v>
      </c>
      <c r="EU204" s="1" t="s">
        <v>121</v>
      </c>
      <c r="EV204" s="1" t="s">
        <v>121</v>
      </c>
      <c r="EW204" s="1" t="s">
        <v>121</v>
      </c>
      <c r="EX204" s="1" t="s">
        <v>121</v>
      </c>
    </row>
    <row r="205" spans="1:154" x14ac:dyDescent="0.25">
      <c r="A205" s="72">
        <v>205</v>
      </c>
      <c r="B205" s="427"/>
      <c r="C205" s="463"/>
      <c r="D205" s="334"/>
      <c r="E205" s="463"/>
      <c r="F205" s="417"/>
      <c r="G205" s="417"/>
      <c r="H205" s="418"/>
      <c r="I205" s="417"/>
      <c r="J205" s="417"/>
      <c r="K205" s="417"/>
      <c r="L205" s="418"/>
      <c r="M205" s="417"/>
      <c r="N205" s="417"/>
      <c r="O205" s="417"/>
      <c r="P205" s="418"/>
      <c r="Q205" s="418"/>
      <c r="R205" s="417"/>
      <c r="S205" s="417"/>
      <c r="T205" s="418"/>
      <c r="U205" s="418"/>
      <c r="V205" s="418"/>
      <c r="W205" s="417"/>
      <c r="X205" s="420"/>
      <c r="Y205" s="418"/>
      <c r="Z205" s="418"/>
      <c r="AA205" s="417"/>
      <c r="AB205" s="420"/>
      <c r="AC205" s="420"/>
      <c r="AD205" s="417"/>
      <c r="AE205" s="417"/>
      <c r="AF205" s="417"/>
      <c r="AG205" s="420"/>
      <c r="AH205" s="417"/>
      <c r="AI205" s="417"/>
      <c r="AJ205" s="417"/>
      <c r="AK205" s="417"/>
      <c r="AL205" s="417"/>
      <c r="AM205" s="417"/>
      <c r="AN205" s="417"/>
      <c r="AO205" s="417"/>
      <c r="AP205" s="418"/>
      <c r="AQ205" s="417"/>
      <c r="AR205" s="417"/>
      <c r="AS205" s="420"/>
      <c r="AT205" s="420"/>
      <c r="AU205" s="420"/>
      <c r="AV205" s="420"/>
      <c r="AW205" s="420"/>
      <c r="AX205" s="417"/>
      <c r="AY205" s="417"/>
      <c r="AZ205" s="417"/>
      <c r="BA205" s="417"/>
      <c r="BB205" s="417"/>
      <c r="BC205" s="417"/>
      <c r="BD205" s="417"/>
      <c r="BE205" s="417"/>
      <c r="BF205" s="417"/>
      <c r="BG205" s="417"/>
      <c r="BH205" s="417"/>
      <c r="BI205" s="417"/>
      <c r="BJ205" s="417"/>
      <c r="BK205" s="417"/>
      <c r="BL205" s="417"/>
    </row>
    <row r="206" spans="1:154" ht="8.1" customHeight="1" x14ac:dyDescent="0.25">
      <c r="A206" s="72">
        <v>206</v>
      </c>
      <c r="B206" s="8" t="s">
        <v>4</v>
      </c>
      <c r="C206" s="87" t="s">
        <v>121</v>
      </c>
      <c r="D206" s="56" t="s">
        <v>121</v>
      </c>
      <c r="E206" s="88" t="s">
        <v>121</v>
      </c>
      <c r="F206" s="56" t="s">
        <v>121</v>
      </c>
      <c r="G206" s="56" t="s">
        <v>121</v>
      </c>
      <c r="H206" s="56" t="s">
        <v>121</v>
      </c>
      <c r="I206" s="56" t="s">
        <v>121</v>
      </c>
      <c r="J206" s="56" t="s">
        <v>121</v>
      </c>
      <c r="K206" s="56" t="s">
        <v>121</v>
      </c>
      <c r="L206" s="56" t="s">
        <v>121</v>
      </c>
      <c r="M206" s="56" t="s">
        <v>121</v>
      </c>
      <c r="N206" s="56" t="s">
        <v>121</v>
      </c>
      <c r="O206" s="56" t="s">
        <v>121</v>
      </c>
      <c r="P206" s="56" t="s">
        <v>121</v>
      </c>
      <c r="Q206" s="56" t="s">
        <v>121</v>
      </c>
      <c r="R206" s="56" t="s">
        <v>121</v>
      </c>
      <c r="S206" s="56" t="s">
        <v>121</v>
      </c>
      <c r="T206" s="56" t="s">
        <v>121</v>
      </c>
      <c r="U206" s="56" t="s">
        <v>121</v>
      </c>
      <c r="V206" s="56" t="s">
        <v>121</v>
      </c>
      <c r="W206" s="56" t="s">
        <v>121</v>
      </c>
      <c r="X206" s="56" t="s">
        <v>121</v>
      </c>
      <c r="Y206" s="56" t="s">
        <v>121</v>
      </c>
      <c r="Z206" s="56" t="s">
        <v>121</v>
      </c>
      <c r="AA206" s="56" t="s">
        <v>121</v>
      </c>
      <c r="AB206" s="56" t="s">
        <v>121</v>
      </c>
      <c r="AC206" s="56" t="s">
        <v>121</v>
      </c>
      <c r="AD206" s="56" t="s">
        <v>121</v>
      </c>
      <c r="AE206" s="56" t="s">
        <v>121</v>
      </c>
      <c r="AF206" s="56" t="s">
        <v>121</v>
      </c>
      <c r="AG206" s="56" t="s">
        <v>121</v>
      </c>
      <c r="AH206" s="56" t="s">
        <v>121</v>
      </c>
      <c r="AI206" s="56" t="s">
        <v>121</v>
      </c>
      <c r="AJ206" s="56" t="s">
        <v>121</v>
      </c>
      <c r="AK206" s="56" t="s">
        <v>121</v>
      </c>
      <c r="AL206" s="56" t="s">
        <v>121</v>
      </c>
      <c r="AM206" s="56" t="s">
        <v>121</v>
      </c>
      <c r="AN206" s="56" t="s">
        <v>121</v>
      </c>
      <c r="AO206" s="56" t="s">
        <v>121</v>
      </c>
      <c r="AP206" s="56" t="s">
        <v>121</v>
      </c>
      <c r="AQ206" s="56" t="s">
        <v>121</v>
      </c>
      <c r="AR206" s="56" t="s">
        <v>121</v>
      </c>
      <c r="AS206" s="56" t="s">
        <v>121</v>
      </c>
      <c r="AT206" s="56" t="s">
        <v>121</v>
      </c>
      <c r="AU206" s="56" t="s">
        <v>121</v>
      </c>
      <c r="AV206" s="56" t="s">
        <v>121</v>
      </c>
      <c r="AW206" s="56" t="s">
        <v>121</v>
      </c>
      <c r="AX206" s="56" t="s">
        <v>121</v>
      </c>
      <c r="AY206" s="56" t="s">
        <v>121</v>
      </c>
      <c r="AZ206" s="8" t="s">
        <v>121</v>
      </c>
      <c r="BA206" s="1" t="s">
        <v>121</v>
      </c>
      <c r="BB206" s="1" t="s">
        <v>121</v>
      </c>
      <c r="BC206" s="1" t="s">
        <v>121</v>
      </c>
      <c r="BD206" s="1" t="s">
        <v>121</v>
      </c>
      <c r="BE206" s="1" t="s">
        <v>121</v>
      </c>
      <c r="BF206" s="1" t="s">
        <v>121</v>
      </c>
      <c r="BG206" s="1" t="s">
        <v>121</v>
      </c>
      <c r="BH206" s="1" t="s">
        <v>121</v>
      </c>
      <c r="BI206" s="1" t="s">
        <v>121</v>
      </c>
      <c r="BJ206" s="1" t="s">
        <v>121</v>
      </c>
      <c r="BK206" s="1" t="s">
        <v>121</v>
      </c>
      <c r="BL206" s="1" t="s">
        <v>121</v>
      </c>
      <c r="BM206" s="1" t="s">
        <v>121</v>
      </c>
      <c r="BN206" s="1" t="s">
        <v>121</v>
      </c>
      <c r="BO206" s="1" t="s">
        <v>121</v>
      </c>
      <c r="BP206" s="1" t="s">
        <v>121</v>
      </c>
      <c r="BQ206" s="1" t="s">
        <v>121</v>
      </c>
      <c r="BR206" s="1" t="s">
        <v>121</v>
      </c>
      <c r="BS206" s="1" t="s">
        <v>121</v>
      </c>
      <c r="BT206" s="1" t="s">
        <v>121</v>
      </c>
      <c r="BU206" s="1" t="s">
        <v>121</v>
      </c>
      <c r="BV206" s="1" t="s">
        <v>121</v>
      </c>
      <c r="BW206" s="1" t="s">
        <v>121</v>
      </c>
      <c r="BX206" s="1" t="s">
        <v>121</v>
      </c>
      <c r="BY206" s="1" t="s">
        <v>121</v>
      </c>
      <c r="BZ206" s="1" t="s">
        <v>121</v>
      </c>
      <c r="CA206" s="1" t="s">
        <v>121</v>
      </c>
      <c r="CB206" s="1" t="s">
        <v>121</v>
      </c>
      <c r="CC206" s="1" t="s">
        <v>121</v>
      </c>
      <c r="CD206" s="1" t="s">
        <v>121</v>
      </c>
      <c r="CE206" s="1" t="s">
        <v>121</v>
      </c>
      <c r="CF206" s="1" t="s">
        <v>121</v>
      </c>
      <c r="CG206" s="1" t="s">
        <v>121</v>
      </c>
      <c r="CH206" s="1" t="s">
        <v>121</v>
      </c>
      <c r="CI206" s="1" t="s">
        <v>121</v>
      </c>
      <c r="CJ206" s="1" t="s">
        <v>121</v>
      </c>
      <c r="CK206" s="1" t="s">
        <v>121</v>
      </c>
      <c r="CL206" s="1" t="s">
        <v>121</v>
      </c>
      <c r="CM206" s="1" t="s">
        <v>121</v>
      </c>
      <c r="CN206" s="1" t="s">
        <v>121</v>
      </c>
      <c r="CO206" s="1" t="s">
        <v>121</v>
      </c>
      <c r="CP206" s="1" t="s">
        <v>121</v>
      </c>
      <c r="CQ206" s="1" t="s">
        <v>121</v>
      </c>
      <c r="CR206" s="1" t="s">
        <v>121</v>
      </c>
      <c r="CS206" s="1" t="s">
        <v>121</v>
      </c>
      <c r="CT206" s="1" t="s">
        <v>121</v>
      </c>
      <c r="CU206" s="1" t="s">
        <v>121</v>
      </c>
      <c r="CV206" s="1" t="s">
        <v>121</v>
      </c>
      <c r="CW206" s="1" t="s">
        <v>121</v>
      </c>
      <c r="CX206" s="1" t="s">
        <v>121</v>
      </c>
      <c r="CY206" s="1" t="s">
        <v>121</v>
      </c>
      <c r="CZ206" s="1" t="s">
        <v>121</v>
      </c>
      <c r="DA206" s="1" t="s">
        <v>121</v>
      </c>
      <c r="DB206" s="1" t="s">
        <v>121</v>
      </c>
      <c r="DC206" s="1" t="s">
        <v>121</v>
      </c>
      <c r="DD206" s="1" t="s">
        <v>121</v>
      </c>
      <c r="DE206" s="1" t="s">
        <v>121</v>
      </c>
      <c r="DF206" s="1" t="s">
        <v>121</v>
      </c>
      <c r="DG206" s="1" t="s">
        <v>121</v>
      </c>
      <c r="DH206" s="1" t="s">
        <v>121</v>
      </c>
      <c r="DI206" s="1" t="s">
        <v>121</v>
      </c>
      <c r="DJ206" s="1" t="s">
        <v>121</v>
      </c>
      <c r="DK206" s="1" t="s">
        <v>121</v>
      </c>
      <c r="DL206" s="1" t="s">
        <v>121</v>
      </c>
      <c r="DM206" s="1" t="s">
        <v>121</v>
      </c>
      <c r="DN206" s="1" t="s">
        <v>121</v>
      </c>
      <c r="DO206" s="1" t="s">
        <v>121</v>
      </c>
      <c r="DP206" s="1" t="s">
        <v>121</v>
      </c>
      <c r="DQ206" s="1" t="s">
        <v>121</v>
      </c>
      <c r="DR206" s="1" t="s">
        <v>121</v>
      </c>
      <c r="DS206" s="1" t="s">
        <v>121</v>
      </c>
      <c r="DT206" s="1" t="s">
        <v>121</v>
      </c>
      <c r="DU206" s="1" t="s">
        <v>121</v>
      </c>
      <c r="DV206" s="1" t="s">
        <v>121</v>
      </c>
      <c r="DW206" s="1" t="s">
        <v>121</v>
      </c>
      <c r="DX206" s="1" t="s">
        <v>121</v>
      </c>
      <c r="DY206" s="1" t="s">
        <v>121</v>
      </c>
      <c r="DZ206" s="1" t="s">
        <v>121</v>
      </c>
      <c r="EA206" s="1" t="s">
        <v>121</v>
      </c>
      <c r="EB206" s="1" t="s">
        <v>121</v>
      </c>
      <c r="EC206" s="1" t="s">
        <v>121</v>
      </c>
      <c r="ED206" s="1" t="s">
        <v>121</v>
      </c>
      <c r="EE206" s="1" t="s">
        <v>121</v>
      </c>
      <c r="EF206" s="1" t="s">
        <v>121</v>
      </c>
      <c r="EG206" s="1" t="s">
        <v>121</v>
      </c>
      <c r="EH206" s="1" t="s">
        <v>121</v>
      </c>
      <c r="EI206" s="1" t="s">
        <v>121</v>
      </c>
      <c r="EJ206" s="1" t="s">
        <v>121</v>
      </c>
      <c r="EK206" s="1" t="s">
        <v>121</v>
      </c>
      <c r="EL206" s="1" t="s">
        <v>121</v>
      </c>
      <c r="EM206" s="1" t="s">
        <v>121</v>
      </c>
      <c r="EN206" s="1" t="s">
        <v>121</v>
      </c>
      <c r="EO206" s="1" t="s">
        <v>121</v>
      </c>
      <c r="EP206" s="1" t="s">
        <v>121</v>
      </c>
      <c r="EQ206" s="1" t="s">
        <v>121</v>
      </c>
      <c r="ER206" s="1" t="s">
        <v>121</v>
      </c>
      <c r="ES206" s="1" t="s">
        <v>121</v>
      </c>
      <c r="ET206" s="1" t="s">
        <v>121</v>
      </c>
      <c r="EU206" s="1" t="s">
        <v>121</v>
      </c>
      <c r="EV206" s="1" t="s">
        <v>121</v>
      </c>
      <c r="EW206" s="1" t="s">
        <v>121</v>
      </c>
      <c r="EX206" s="1" t="s">
        <v>121</v>
      </c>
    </row>
    <row r="207" spans="1:154" x14ac:dyDescent="0.25">
      <c r="A207" s="72">
        <v>207</v>
      </c>
      <c r="B207" s="73" t="s">
        <v>409</v>
      </c>
      <c r="C207" s="91" t="s">
        <v>121</v>
      </c>
      <c r="D207" s="86" t="s">
        <v>121</v>
      </c>
      <c r="E207" s="92" t="s">
        <v>121</v>
      </c>
      <c r="F207" s="86" t="s">
        <v>121</v>
      </c>
      <c r="G207" s="86" t="s">
        <v>121</v>
      </c>
      <c r="H207" s="86" t="s">
        <v>121</v>
      </c>
      <c r="I207" s="86" t="s">
        <v>121</v>
      </c>
      <c r="J207" s="86" t="s">
        <v>121</v>
      </c>
      <c r="K207" s="86" t="s">
        <v>121</v>
      </c>
      <c r="L207" s="86" t="s">
        <v>121</v>
      </c>
      <c r="M207" s="86" t="s">
        <v>121</v>
      </c>
      <c r="N207" s="86" t="s">
        <v>121</v>
      </c>
      <c r="O207" s="86" t="s">
        <v>121</v>
      </c>
      <c r="P207" s="86" t="s">
        <v>121</v>
      </c>
      <c r="Q207" s="86" t="s">
        <v>121</v>
      </c>
      <c r="R207" s="86" t="s">
        <v>121</v>
      </c>
      <c r="S207" s="86" t="s">
        <v>121</v>
      </c>
      <c r="T207" s="86" t="s">
        <v>121</v>
      </c>
      <c r="U207" s="86" t="s">
        <v>121</v>
      </c>
      <c r="V207" s="86" t="s">
        <v>121</v>
      </c>
      <c r="W207" s="86" t="s">
        <v>121</v>
      </c>
      <c r="X207" s="86" t="s">
        <v>121</v>
      </c>
      <c r="Y207" s="86" t="s">
        <v>121</v>
      </c>
      <c r="Z207" s="86" t="s">
        <v>121</v>
      </c>
      <c r="AA207" s="86" t="s">
        <v>121</v>
      </c>
      <c r="AB207" s="86" t="s">
        <v>121</v>
      </c>
      <c r="AC207" s="86" t="s">
        <v>121</v>
      </c>
      <c r="AD207" s="86" t="s">
        <v>121</v>
      </c>
      <c r="AE207" s="86" t="s">
        <v>121</v>
      </c>
      <c r="AF207" s="86" t="s">
        <v>121</v>
      </c>
      <c r="AG207" s="86" t="s">
        <v>121</v>
      </c>
      <c r="AH207" s="86" t="s">
        <v>121</v>
      </c>
      <c r="AI207" s="86" t="s">
        <v>121</v>
      </c>
      <c r="AJ207" s="86" t="s">
        <v>121</v>
      </c>
      <c r="AK207" s="86" t="s">
        <v>121</v>
      </c>
      <c r="AL207" s="86" t="s">
        <v>121</v>
      </c>
      <c r="AM207" s="86" t="s">
        <v>121</v>
      </c>
      <c r="AN207" s="86" t="s">
        <v>121</v>
      </c>
      <c r="AO207" s="86" t="s">
        <v>121</v>
      </c>
      <c r="AP207" s="86" t="s">
        <v>121</v>
      </c>
      <c r="AQ207" s="86" t="s">
        <v>121</v>
      </c>
      <c r="AR207" s="86" t="s">
        <v>121</v>
      </c>
      <c r="AS207" s="86" t="s">
        <v>121</v>
      </c>
      <c r="AT207" s="86" t="s">
        <v>121</v>
      </c>
      <c r="AU207" s="86" t="s">
        <v>121</v>
      </c>
      <c r="AV207" s="86" t="s">
        <v>121</v>
      </c>
      <c r="AW207" s="86" t="s">
        <v>121</v>
      </c>
      <c r="AX207" s="86" t="s">
        <v>121</v>
      </c>
      <c r="AY207" s="86" t="s">
        <v>121</v>
      </c>
      <c r="AZ207" s="73" t="s">
        <v>121</v>
      </c>
      <c r="BA207" s="55" t="s">
        <v>121</v>
      </c>
      <c r="BB207" s="55" t="s">
        <v>121</v>
      </c>
      <c r="BC207" s="55" t="s">
        <v>121</v>
      </c>
      <c r="BD207" s="55" t="s">
        <v>121</v>
      </c>
      <c r="BE207" s="55" t="s">
        <v>121</v>
      </c>
      <c r="BF207" s="55" t="s">
        <v>121</v>
      </c>
      <c r="BG207" s="55" t="s">
        <v>121</v>
      </c>
      <c r="BH207" s="55" t="s">
        <v>121</v>
      </c>
      <c r="BI207" s="55" t="s">
        <v>121</v>
      </c>
      <c r="BJ207" s="55" t="s">
        <v>121</v>
      </c>
      <c r="BK207" s="55" t="s">
        <v>121</v>
      </c>
      <c r="BL207" s="55" t="s">
        <v>121</v>
      </c>
      <c r="BM207" s="1" t="s">
        <v>121</v>
      </c>
      <c r="BN207" s="1" t="s">
        <v>121</v>
      </c>
      <c r="BO207" s="1" t="s">
        <v>121</v>
      </c>
      <c r="BP207" s="1" t="s">
        <v>121</v>
      </c>
      <c r="BQ207" s="1" t="s">
        <v>121</v>
      </c>
      <c r="BR207" s="1" t="s">
        <v>121</v>
      </c>
      <c r="BS207" s="1" t="s">
        <v>121</v>
      </c>
      <c r="BT207" s="1" t="s">
        <v>121</v>
      </c>
      <c r="BU207" s="1" t="s">
        <v>121</v>
      </c>
      <c r="BV207" s="1" t="s">
        <v>121</v>
      </c>
      <c r="BW207" s="1" t="s">
        <v>121</v>
      </c>
      <c r="BX207" s="1" t="s">
        <v>121</v>
      </c>
      <c r="BY207" s="1" t="s">
        <v>121</v>
      </c>
      <c r="BZ207" s="1" t="s">
        <v>121</v>
      </c>
      <c r="CA207" s="1" t="s">
        <v>121</v>
      </c>
      <c r="CB207" s="1" t="s">
        <v>121</v>
      </c>
      <c r="CC207" s="1" t="s">
        <v>121</v>
      </c>
      <c r="CD207" s="1" t="s">
        <v>121</v>
      </c>
      <c r="CE207" s="1" t="s">
        <v>121</v>
      </c>
      <c r="CF207" s="1" t="s">
        <v>121</v>
      </c>
      <c r="CG207" s="1" t="s">
        <v>121</v>
      </c>
      <c r="CH207" s="1" t="s">
        <v>121</v>
      </c>
      <c r="CI207" s="1" t="s">
        <v>121</v>
      </c>
      <c r="CJ207" s="1" t="s">
        <v>121</v>
      </c>
      <c r="CK207" s="1" t="s">
        <v>121</v>
      </c>
      <c r="CL207" s="1" t="s">
        <v>121</v>
      </c>
      <c r="CM207" s="1" t="s">
        <v>121</v>
      </c>
      <c r="CN207" s="1" t="s">
        <v>121</v>
      </c>
      <c r="CO207" s="1" t="s">
        <v>121</v>
      </c>
      <c r="CP207" s="1" t="s">
        <v>121</v>
      </c>
      <c r="CQ207" s="1" t="s">
        <v>121</v>
      </c>
      <c r="CR207" s="1" t="s">
        <v>121</v>
      </c>
      <c r="CS207" s="1" t="s">
        <v>121</v>
      </c>
      <c r="CT207" s="1" t="s">
        <v>121</v>
      </c>
      <c r="CU207" s="1" t="s">
        <v>121</v>
      </c>
      <c r="CV207" s="1" t="s">
        <v>121</v>
      </c>
      <c r="CW207" s="1" t="s">
        <v>121</v>
      </c>
      <c r="CX207" s="1" t="s">
        <v>121</v>
      </c>
      <c r="CY207" s="1" t="s">
        <v>121</v>
      </c>
      <c r="CZ207" s="1" t="s">
        <v>121</v>
      </c>
      <c r="DA207" s="1" t="s">
        <v>121</v>
      </c>
      <c r="DB207" s="1" t="s">
        <v>121</v>
      </c>
      <c r="DC207" s="1" t="s">
        <v>121</v>
      </c>
      <c r="DD207" s="1" t="s">
        <v>121</v>
      </c>
      <c r="DE207" s="1" t="s">
        <v>121</v>
      </c>
      <c r="DF207" s="1" t="s">
        <v>121</v>
      </c>
      <c r="DG207" s="1" t="s">
        <v>121</v>
      </c>
      <c r="DH207" s="1" t="s">
        <v>121</v>
      </c>
      <c r="DI207" s="1" t="s">
        <v>121</v>
      </c>
      <c r="DJ207" s="1" t="s">
        <v>121</v>
      </c>
      <c r="DK207" s="1" t="s">
        <v>121</v>
      </c>
      <c r="DL207" s="1" t="s">
        <v>121</v>
      </c>
      <c r="DM207" s="1" t="s">
        <v>121</v>
      </c>
      <c r="DN207" s="1" t="s">
        <v>121</v>
      </c>
      <c r="DO207" s="1" t="s">
        <v>121</v>
      </c>
      <c r="DP207" s="1" t="s">
        <v>121</v>
      </c>
      <c r="DQ207" s="1" t="s">
        <v>121</v>
      </c>
      <c r="DR207" s="1" t="s">
        <v>121</v>
      </c>
      <c r="DS207" s="1" t="s">
        <v>121</v>
      </c>
      <c r="DT207" s="1" t="s">
        <v>121</v>
      </c>
      <c r="DU207" s="1" t="s">
        <v>121</v>
      </c>
      <c r="DV207" s="1" t="s">
        <v>121</v>
      </c>
      <c r="DW207" s="1" t="s">
        <v>121</v>
      </c>
      <c r="DX207" s="1" t="s">
        <v>121</v>
      </c>
      <c r="DY207" s="1" t="s">
        <v>121</v>
      </c>
      <c r="DZ207" s="1" t="s">
        <v>121</v>
      </c>
      <c r="EA207" s="1" t="s">
        <v>121</v>
      </c>
      <c r="EB207" s="1" t="s">
        <v>121</v>
      </c>
      <c r="EC207" s="1" t="s">
        <v>121</v>
      </c>
      <c r="ED207" s="1" t="s">
        <v>121</v>
      </c>
      <c r="EE207" s="1" t="s">
        <v>121</v>
      </c>
      <c r="EF207" s="1" t="s">
        <v>121</v>
      </c>
      <c r="EG207" s="1" t="s">
        <v>121</v>
      </c>
      <c r="EH207" s="1" t="s">
        <v>121</v>
      </c>
      <c r="EI207" s="1" t="s">
        <v>121</v>
      </c>
      <c r="EJ207" s="1" t="s">
        <v>121</v>
      </c>
      <c r="EK207" s="1" t="s">
        <v>121</v>
      </c>
      <c r="EL207" s="1" t="s">
        <v>121</v>
      </c>
      <c r="EM207" s="1" t="s">
        <v>121</v>
      </c>
      <c r="EN207" s="1" t="s">
        <v>121</v>
      </c>
      <c r="EO207" s="1" t="s">
        <v>121</v>
      </c>
      <c r="EP207" s="1" t="s">
        <v>121</v>
      </c>
      <c r="EQ207" s="1" t="s">
        <v>121</v>
      </c>
      <c r="ER207" s="1" t="s">
        <v>121</v>
      </c>
      <c r="ES207" s="1" t="s">
        <v>121</v>
      </c>
      <c r="ET207" s="1" t="s">
        <v>121</v>
      </c>
      <c r="EU207" s="1" t="s">
        <v>121</v>
      </c>
      <c r="EV207" s="1" t="s">
        <v>121</v>
      </c>
      <c r="EW207" s="1" t="s">
        <v>121</v>
      </c>
      <c r="EX207" s="1" t="s">
        <v>121</v>
      </c>
    </row>
    <row r="208" spans="1:154" ht="18.75" customHeight="1" x14ac:dyDescent="0.25">
      <c r="A208" s="72">
        <v>208</v>
      </c>
      <c r="B208" s="74" t="s">
        <v>315</v>
      </c>
      <c r="C208" s="91">
        <v>1.7105505917081709E-2</v>
      </c>
      <c r="D208" s="86" t="s">
        <v>121</v>
      </c>
      <c r="E208" s="92">
        <v>0.34170085529518124</v>
      </c>
      <c r="F208" s="77">
        <v>38590</v>
      </c>
      <c r="G208" s="77">
        <v>37941</v>
      </c>
      <c r="H208" s="77">
        <v>36909</v>
      </c>
      <c r="I208" s="77">
        <v>35214</v>
      </c>
      <c r="J208" s="77">
        <v>28762</v>
      </c>
      <c r="K208" s="77">
        <v>26280</v>
      </c>
      <c r="L208" s="77">
        <v>25571</v>
      </c>
      <c r="M208" s="77">
        <v>21334</v>
      </c>
      <c r="N208" s="77">
        <v>15568</v>
      </c>
      <c r="O208" s="77">
        <v>13407</v>
      </c>
      <c r="P208" s="77">
        <v>11974</v>
      </c>
      <c r="Q208" s="405"/>
      <c r="R208" s="405"/>
      <c r="S208" s="405"/>
      <c r="T208" s="405"/>
      <c r="U208" s="77">
        <v>10983.683000000005</v>
      </c>
      <c r="V208" s="77">
        <v>9610</v>
      </c>
      <c r="W208" s="77">
        <v>8831</v>
      </c>
      <c r="X208" s="77">
        <v>8186</v>
      </c>
      <c r="Y208" s="77">
        <v>9275.0730000000003</v>
      </c>
      <c r="Z208" s="77">
        <v>8429.366</v>
      </c>
      <c r="AA208" s="77">
        <v>8936.1990000000005</v>
      </c>
      <c r="AB208" s="77">
        <v>9009.3619999999992</v>
      </c>
      <c r="AC208" s="77">
        <v>9447.7779999999984</v>
      </c>
      <c r="AD208" s="77">
        <v>9124.7060000000038</v>
      </c>
      <c r="AE208" s="77">
        <v>8976.5470000000005</v>
      </c>
      <c r="AF208" s="77">
        <v>8655.6029999999992</v>
      </c>
      <c r="AG208" s="77">
        <v>8434.8120000000017</v>
      </c>
      <c r="AH208" s="77">
        <v>8420.1960000000017</v>
      </c>
      <c r="AI208" s="77">
        <v>7937.5769999999993</v>
      </c>
      <c r="AJ208" s="77">
        <v>7832.9410000000007</v>
      </c>
      <c r="AK208" s="77">
        <v>8530.252999999997</v>
      </c>
      <c r="AL208" s="77">
        <v>8985.4340000000011</v>
      </c>
      <c r="AM208" s="77">
        <v>9069.3700000000008</v>
      </c>
      <c r="AN208" s="77">
        <v>8805.4369999999999</v>
      </c>
      <c r="AO208" s="77">
        <v>9577.112000000001</v>
      </c>
      <c r="AP208" s="77">
        <v>9849.4880000000012</v>
      </c>
      <c r="AQ208" s="77">
        <v>9868.1540000000005</v>
      </c>
      <c r="AR208" s="77">
        <v>9534.9699999999993</v>
      </c>
      <c r="AS208" s="77">
        <v>10263.565000000002</v>
      </c>
      <c r="AT208" s="77">
        <v>9797.3580000000002</v>
      </c>
      <c r="AU208" s="77">
        <v>9700.1339999999982</v>
      </c>
      <c r="AV208" s="77">
        <v>9191.1270000000004</v>
      </c>
      <c r="AW208" s="77">
        <v>8441.5669999999991</v>
      </c>
      <c r="AX208" s="77">
        <v>7636.9430000000011</v>
      </c>
      <c r="AY208" s="77">
        <v>7379.2460000000001</v>
      </c>
      <c r="AZ208" s="77">
        <v>6985.7820000000002</v>
      </c>
      <c r="BA208" s="77">
        <v>6861.6769999999997</v>
      </c>
      <c r="BB208" s="77">
        <v>6669.483000000002</v>
      </c>
      <c r="BC208" s="77">
        <v>6271.7579999999989</v>
      </c>
      <c r="BD208" s="77">
        <v>5817.7290000000003</v>
      </c>
      <c r="BE208" s="77">
        <v>6065.1820000000007</v>
      </c>
      <c r="BF208" s="77">
        <v>5666.5210000000006</v>
      </c>
      <c r="BG208" s="77">
        <v>5750.2949999999992</v>
      </c>
      <c r="BH208" s="77">
        <v>5351.8969999999999</v>
      </c>
      <c r="BI208" s="77">
        <v>5503.8259999999973</v>
      </c>
      <c r="BJ208" s="77">
        <v>5644.2920000000013</v>
      </c>
      <c r="BK208" s="77">
        <v>5534.5820000000003</v>
      </c>
      <c r="BL208" s="77">
        <v>5271.83</v>
      </c>
      <c r="BM208" s="1">
        <v>5137.9229999999989</v>
      </c>
      <c r="BN208" s="1">
        <v>5060.4590000000007</v>
      </c>
      <c r="BO208" s="1">
        <v>5304.6940000000004</v>
      </c>
      <c r="BP208" s="1">
        <v>5685.9579999999996</v>
      </c>
      <c r="BQ208" s="1" t="s">
        <v>121</v>
      </c>
      <c r="BR208" s="1" t="s">
        <v>121</v>
      </c>
      <c r="BS208" s="1" t="s">
        <v>121</v>
      </c>
      <c r="BT208" s="1" t="s">
        <v>121</v>
      </c>
      <c r="BU208" s="1" t="s">
        <v>121</v>
      </c>
      <c r="BV208" s="1" t="s">
        <v>121</v>
      </c>
      <c r="BW208" s="1" t="s">
        <v>121</v>
      </c>
      <c r="BX208" s="1" t="s">
        <v>121</v>
      </c>
      <c r="BY208" s="1" t="s">
        <v>121</v>
      </c>
      <c r="BZ208" s="1" t="s">
        <v>121</v>
      </c>
      <c r="CA208" s="1" t="s">
        <v>121</v>
      </c>
      <c r="CB208" s="1" t="s">
        <v>121</v>
      </c>
      <c r="CC208" s="1" t="s">
        <v>121</v>
      </c>
      <c r="CD208" s="1" t="s">
        <v>121</v>
      </c>
      <c r="CE208" s="1" t="s">
        <v>121</v>
      </c>
      <c r="CF208" s="1" t="s">
        <v>121</v>
      </c>
      <c r="CG208" s="1" t="s">
        <v>121</v>
      </c>
      <c r="CH208" s="1" t="s">
        <v>121</v>
      </c>
      <c r="CI208" s="1" t="s">
        <v>121</v>
      </c>
      <c r="CJ208" s="1" t="s">
        <v>121</v>
      </c>
      <c r="CK208" s="1" t="s">
        <v>121</v>
      </c>
      <c r="CL208" s="1" t="s">
        <v>121</v>
      </c>
      <c r="CM208" s="1" t="s">
        <v>121</v>
      </c>
      <c r="CN208" s="1" t="s">
        <v>121</v>
      </c>
      <c r="CO208" s="1" t="s">
        <v>121</v>
      </c>
      <c r="CP208" s="1" t="s">
        <v>121</v>
      </c>
      <c r="CQ208" s="1" t="s">
        <v>121</v>
      </c>
      <c r="CR208" s="1" t="s">
        <v>121</v>
      </c>
      <c r="CS208" s="1" t="s">
        <v>121</v>
      </c>
      <c r="CT208" s="1" t="s">
        <v>121</v>
      </c>
      <c r="CU208" s="1" t="s">
        <v>121</v>
      </c>
      <c r="CV208" s="1" t="s">
        <v>121</v>
      </c>
      <c r="CW208" s="1" t="s">
        <v>121</v>
      </c>
      <c r="CX208" s="1" t="s">
        <v>121</v>
      </c>
      <c r="CY208" s="1" t="s">
        <v>121</v>
      </c>
      <c r="CZ208" s="1" t="s">
        <v>121</v>
      </c>
      <c r="DA208" s="1" t="s">
        <v>121</v>
      </c>
      <c r="DB208" s="1" t="s">
        <v>121</v>
      </c>
      <c r="DC208" s="1" t="s">
        <v>121</v>
      </c>
      <c r="DD208" s="1" t="s">
        <v>121</v>
      </c>
      <c r="DE208" s="1" t="s">
        <v>121</v>
      </c>
      <c r="DF208" s="1" t="s">
        <v>121</v>
      </c>
      <c r="DG208" s="1" t="s">
        <v>121</v>
      </c>
      <c r="DH208" s="1" t="s">
        <v>121</v>
      </c>
      <c r="DI208" s="1" t="s">
        <v>121</v>
      </c>
      <c r="DJ208" s="1" t="s">
        <v>121</v>
      </c>
      <c r="DK208" s="1" t="s">
        <v>121</v>
      </c>
      <c r="DL208" s="1" t="s">
        <v>121</v>
      </c>
      <c r="DM208" s="1" t="s">
        <v>121</v>
      </c>
      <c r="DN208" s="1" t="s">
        <v>121</v>
      </c>
      <c r="DO208" s="1" t="s">
        <v>121</v>
      </c>
      <c r="DP208" s="1" t="s">
        <v>121</v>
      </c>
      <c r="DQ208" s="1" t="s">
        <v>121</v>
      </c>
      <c r="DR208" s="1" t="s">
        <v>121</v>
      </c>
      <c r="DS208" s="1" t="s">
        <v>121</v>
      </c>
      <c r="DT208" s="1" t="s">
        <v>121</v>
      </c>
      <c r="DU208" s="1" t="s">
        <v>121</v>
      </c>
      <c r="DV208" s="1" t="s">
        <v>121</v>
      </c>
      <c r="DW208" s="1" t="s">
        <v>121</v>
      </c>
      <c r="DX208" s="1" t="s">
        <v>121</v>
      </c>
      <c r="DY208" s="1" t="s">
        <v>121</v>
      </c>
      <c r="DZ208" s="1" t="s">
        <v>121</v>
      </c>
      <c r="EA208" s="1" t="s">
        <v>121</v>
      </c>
      <c r="EB208" s="1" t="s">
        <v>121</v>
      </c>
      <c r="EC208" s="1" t="s">
        <v>121</v>
      </c>
      <c r="ED208" s="1" t="s">
        <v>121</v>
      </c>
      <c r="EE208" s="1" t="s">
        <v>121</v>
      </c>
      <c r="EF208" s="1" t="s">
        <v>121</v>
      </c>
      <c r="EG208" s="1" t="s">
        <v>121</v>
      </c>
      <c r="EH208" s="1" t="s">
        <v>121</v>
      </c>
      <c r="EI208" s="1" t="s">
        <v>121</v>
      </c>
      <c r="EJ208" s="1" t="s">
        <v>121</v>
      </c>
      <c r="EK208" s="1" t="s">
        <v>121</v>
      </c>
      <c r="EL208" s="1" t="s">
        <v>121</v>
      </c>
      <c r="EM208" s="1" t="s">
        <v>121</v>
      </c>
      <c r="EN208" s="1" t="s">
        <v>121</v>
      </c>
      <c r="EO208" s="1" t="s">
        <v>121</v>
      </c>
      <c r="EP208" s="1" t="s">
        <v>121</v>
      </c>
      <c r="EQ208" s="1" t="s">
        <v>121</v>
      </c>
      <c r="ER208" s="1" t="s">
        <v>121</v>
      </c>
      <c r="ES208" s="1" t="s">
        <v>121</v>
      </c>
      <c r="ET208" s="1" t="s">
        <v>121</v>
      </c>
      <c r="EU208" s="1" t="s">
        <v>121</v>
      </c>
      <c r="EV208" s="1" t="s">
        <v>121</v>
      </c>
      <c r="EW208" s="1" t="s">
        <v>121</v>
      </c>
      <c r="EX208" s="1" t="s">
        <v>121</v>
      </c>
    </row>
    <row r="209" spans="1:154" ht="18.75" customHeight="1" x14ac:dyDescent="0.25">
      <c r="A209" s="72">
        <v>209</v>
      </c>
      <c r="B209" s="129" t="s">
        <v>319</v>
      </c>
      <c r="C209" s="91">
        <v>5.0113313543362903E-3</v>
      </c>
      <c r="D209" s="86" t="s">
        <v>121</v>
      </c>
      <c r="E209" s="92">
        <v>0.34930362116991653</v>
      </c>
      <c r="F209" s="77">
        <v>31486</v>
      </c>
      <c r="G209" s="77">
        <v>31329</v>
      </c>
      <c r="H209" s="77">
        <v>30373</v>
      </c>
      <c r="I209" s="77">
        <v>29305</v>
      </c>
      <c r="J209" s="77">
        <v>23335</v>
      </c>
      <c r="K209" s="77">
        <v>21179</v>
      </c>
      <c r="L209" s="77">
        <v>20206</v>
      </c>
      <c r="M209" s="77">
        <v>16942</v>
      </c>
      <c r="N209" s="77">
        <v>11658</v>
      </c>
      <c r="O209" s="77">
        <v>9801</v>
      </c>
      <c r="P209" s="77">
        <v>8542</v>
      </c>
      <c r="Q209" s="405"/>
      <c r="R209" s="405"/>
      <c r="S209" s="405"/>
      <c r="T209" s="405"/>
      <c r="U209" s="77">
        <v>7562.6830000000009</v>
      </c>
      <c r="V209" s="77">
        <v>6299</v>
      </c>
      <c r="W209" s="77">
        <v>5710</v>
      </c>
      <c r="X209" s="77">
        <v>5333</v>
      </c>
      <c r="Y209" s="77">
        <v>6489.6239999999998</v>
      </c>
      <c r="Z209" s="77">
        <v>5506.3209999999999</v>
      </c>
      <c r="AA209" s="77">
        <v>5905.8740000000007</v>
      </c>
      <c r="AB209" s="77">
        <v>5937.1809999999996</v>
      </c>
      <c r="AC209" s="77">
        <v>6392.976999999999</v>
      </c>
      <c r="AD209" s="77">
        <v>5945.1510000000035</v>
      </c>
      <c r="AE209" s="77">
        <v>6077.6</v>
      </c>
      <c r="AF209" s="77">
        <v>5624.07</v>
      </c>
      <c r="AG209" s="77">
        <v>5119.2230000000018</v>
      </c>
      <c r="AH209" s="77">
        <v>5741.849000000002</v>
      </c>
      <c r="AI209" s="77">
        <v>5407.976999999999</v>
      </c>
      <c r="AJ209" s="77">
        <v>5392.2510000000002</v>
      </c>
      <c r="AK209" s="77">
        <v>6146.4029999999984</v>
      </c>
      <c r="AL209" s="77">
        <v>6697.8870000000006</v>
      </c>
      <c r="AM209" s="77">
        <v>6940.4960000000001</v>
      </c>
      <c r="AN209" s="77">
        <v>7057.7979999999998</v>
      </c>
      <c r="AO209" s="77">
        <v>7589.0610000000015</v>
      </c>
      <c r="AP209" s="77">
        <v>7502.643</v>
      </c>
      <c r="AQ209" s="77">
        <v>8201.3610000000008</v>
      </c>
      <c r="AR209" s="77">
        <v>7338.02</v>
      </c>
      <c r="AS209" s="77">
        <v>8388.89</v>
      </c>
      <c r="AT209" s="77">
        <v>8039.125</v>
      </c>
      <c r="AU209" s="77">
        <v>8032.5519999999988</v>
      </c>
      <c r="AV209" s="77">
        <v>7452.4260000000004</v>
      </c>
      <c r="AW209" s="77">
        <v>6724.0430000000015</v>
      </c>
      <c r="AX209" s="77">
        <v>6075.351999999999</v>
      </c>
      <c r="AY209" s="77">
        <v>5877.9800000000005</v>
      </c>
      <c r="AZ209" s="77">
        <v>5608.9170000000004</v>
      </c>
      <c r="BA209" s="77" t="s">
        <v>121</v>
      </c>
      <c r="BB209" s="77" t="s">
        <v>121</v>
      </c>
      <c r="BC209" s="77" t="s">
        <v>121</v>
      </c>
      <c r="BD209" s="77" t="s">
        <v>121</v>
      </c>
      <c r="BE209" s="77" t="s">
        <v>121</v>
      </c>
      <c r="BF209" s="77" t="s">
        <v>121</v>
      </c>
      <c r="BG209" s="77" t="s">
        <v>121</v>
      </c>
      <c r="BH209" s="77" t="s">
        <v>121</v>
      </c>
      <c r="BI209" s="77" t="s">
        <v>121</v>
      </c>
      <c r="BJ209" s="77" t="s">
        <v>121</v>
      </c>
      <c r="BK209" s="77" t="s">
        <v>121</v>
      </c>
      <c r="BL209" s="77" t="s">
        <v>121</v>
      </c>
      <c r="BM209" s="1" t="s">
        <v>121</v>
      </c>
      <c r="BN209" s="1" t="s">
        <v>121</v>
      </c>
      <c r="BO209" s="1" t="s">
        <v>121</v>
      </c>
      <c r="BP209" s="1" t="s">
        <v>121</v>
      </c>
      <c r="BQ209" s="1" t="s">
        <v>121</v>
      </c>
      <c r="BR209" s="1" t="s">
        <v>121</v>
      </c>
      <c r="BS209" s="1" t="s">
        <v>121</v>
      </c>
      <c r="BT209" s="1" t="s">
        <v>121</v>
      </c>
      <c r="BU209" s="1" t="s">
        <v>121</v>
      </c>
      <c r="BV209" s="1" t="s">
        <v>121</v>
      </c>
      <c r="BW209" s="1" t="s">
        <v>121</v>
      </c>
      <c r="BX209" s="1" t="s">
        <v>121</v>
      </c>
      <c r="BY209" s="1" t="s">
        <v>121</v>
      </c>
      <c r="BZ209" s="1" t="s">
        <v>121</v>
      </c>
      <c r="CA209" s="1" t="s">
        <v>121</v>
      </c>
      <c r="CB209" s="1" t="s">
        <v>121</v>
      </c>
      <c r="CC209" s="1" t="s">
        <v>121</v>
      </c>
      <c r="CD209" s="1" t="s">
        <v>121</v>
      </c>
      <c r="CE209" s="1" t="s">
        <v>121</v>
      </c>
      <c r="CF209" s="1" t="s">
        <v>121</v>
      </c>
      <c r="CG209" s="1" t="s">
        <v>121</v>
      </c>
      <c r="CH209" s="1" t="s">
        <v>121</v>
      </c>
      <c r="CI209" s="1" t="s">
        <v>121</v>
      </c>
      <c r="CJ209" s="1" t="s">
        <v>121</v>
      </c>
      <c r="CK209" s="1" t="s">
        <v>121</v>
      </c>
      <c r="CL209" s="1" t="s">
        <v>121</v>
      </c>
      <c r="CM209" s="1" t="s">
        <v>121</v>
      </c>
      <c r="CN209" s="1" t="s">
        <v>121</v>
      </c>
      <c r="CO209" s="1" t="s">
        <v>121</v>
      </c>
      <c r="CP209" s="1" t="s">
        <v>121</v>
      </c>
      <c r="CQ209" s="1" t="s">
        <v>121</v>
      </c>
      <c r="CR209" s="1" t="s">
        <v>121</v>
      </c>
      <c r="CS209" s="1" t="s">
        <v>121</v>
      </c>
      <c r="CT209" s="1" t="s">
        <v>121</v>
      </c>
      <c r="CU209" s="1" t="s">
        <v>121</v>
      </c>
      <c r="CV209" s="1" t="s">
        <v>121</v>
      </c>
      <c r="CW209" s="1" t="s">
        <v>121</v>
      </c>
      <c r="CX209" s="1" t="s">
        <v>121</v>
      </c>
      <c r="CY209" s="1" t="s">
        <v>121</v>
      </c>
      <c r="CZ209" s="1" t="s">
        <v>121</v>
      </c>
      <c r="DA209" s="1" t="s">
        <v>121</v>
      </c>
      <c r="DB209" s="1" t="s">
        <v>121</v>
      </c>
      <c r="DC209" s="1" t="s">
        <v>121</v>
      </c>
      <c r="DD209" s="1" t="s">
        <v>121</v>
      </c>
      <c r="DE209" s="1" t="s">
        <v>121</v>
      </c>
      <c r="DF209" s="1" t="s">
        <v>121</v>
      </c>
      <c r="DG209" s="1" t="s">
        <v>121</v>
      </c>
      <c r="DH209" s="1" t="s">
        <v>121</v>
      </c>
      <c r="DI209" s="1" t="s">
        <v>121</v>
      </c>
      <c r="DJ209" s="1" t="s">
        <v>121</v>
      </c>
      <c r="DK209" s="1" t="s">
        <v>121</v>
      </c>
      <c r="DL209" s="1" t="s">
        <v>121</v>
      </c>
      <c r="DM209" s="1" t="s">
        <v>121</v>
      </c>
      <c r="DN209" s="1" t="s">
        <v>121</v>
      </c>
      <c r="DO209" s="1" t="s">
        <v>121</v>
      </c>
      <c r="DP209" s="1" t="s">
        <v>121</v>
      </c>
      <c r="DQ209" s="1" t="s">
        <v>121</v>
      </c>
      <c r="DR209" s="1" t="s">
        <v>121</v>
      </c>
      <c r="DS209" s="1" t="s">
        <v>121</v>
      </c>
      <c r="DT209" s="1" t="s">
        <v>121</v>
      </c>
      <c r="DU209" s="1" t="s">
        <v>121</v>
      </c>
      <c r="DV209" s="1" t="s">
        <v>121</v>
      </c>
      <c r="DW209" s="1" t="s">
        <v>121</v>
      </c>
      <c r="DX209" s="1" t="s">
        <v>121</v>
      </c>
      <c r="DY209" s="1" t="s">
        <v>121</v>
      </c>
      <c r="DZ209" s="1" t="s">
        <v>121</v>
      </c>
      <c r="EA209" s="1" t="s">
        <v>121</v>
      </c>
      <c r="EB209" s="1" t="s">
        <v>121</v>
      </c>
      <c r="EC209" s="1" t="s">
        <v>121</v>
      </c>
      <c r="ED209" s="1" t="s">
        <v>121</v>
      </c>
      <c r="EE209" s="1" t="s">
        <v>121</v>
      </c>
      <c r="EF209" s="1" t="s">
        <v>121</v>
      </c>
      <c r="EG209" s="1" t="s">
        <v>121</v>
      </c>
      <c r="EH209" s="1" t="s">
        <v>121</v>
      </c>
      <c r="EI209" s="1" t="s">
        <v>121</v>
      </c>
      <c r="EJ209" s="1" t="s">
        <v>121</v>
      </c>
      <c r="EK209" s="1" t="s">
        <v>121</v>
      </c>
      <c r="EL209" s="1" t="s">
        <v>121</v>
      </c>
      <c r="EM209" s="1" t="s">
        <v>121</v>
      </c>
      <c r="EN209" s="1" t="s">
        <v>121</v>
      </c>
      <c r="EO209" s="1" t="s">
        <v>121</v>
      </c>
      <c r="EP209" s="1" t="s">
        <v>121</v>
      </c>
      <c r="EQ209" s="1" t="s">
        <v>121</v>
      </c>
      <c r="ER209" s="1" t="s">
        <v>121</v>
      </c>
      <c r="ES209" s="1" t="s">
        <v>121</v>
      </c>
      <c r="ET209" s="1" t="s">
        <v>121</v>
      </c>
      <c r="EU209" s="1" t="s">
        <v>121</v>
      </c>
      <c r="EV209" s="1" t="s">
        <v>121</v>
      </c>
      <c r="EW209" s="1" t="s">
        <v>121</v>
      </c>
      <c r="EX209" s="1" t="s">
        <v>121</v>
      </c>
    </row>
    <row r="210" spans="1:154" s="280" customFormat="1" x14ac:dyDescent="0.25">
      <c r="A210" s="72">
        <v>210</v>
      </c>
      <c r="B210" s="279" t="s">
        <v>446</v>
      </c>
      <c r="C210" s="91" t="s">
        <v>121</v>
      </c>
      <c r="D210" s="86" t="s">
        <v>121</v>
      </c>
      <c r="E210" s="92" t="s">
        <v>121</v>
      </c>
      <c r="F210" s="281">
        <v>378</v>
      </c>
      <c r="G210" s="281">
        <v>423</v>
      </c>
      <c r="H210" s="281">
        <v>352</v>
      </c>
      <c r="I210" s="281">
        <v>399</v>
      </c>
      <c r="J210" s="281">
        <v>347</v>
      </c>
      <c r="K210" s="281">
        <v>315</v>
      </c>
      <c r="L210" s="281">
        <v>383</v>
      </c>
      <c r="M210" s="281">
        <v>418</v>
      </c>
      <c r="N210" s="281">
        <v>338</v>
      </c>
      <c r="O210" s="281">
        <v>287</v>
      </c>
      <c r="P210" s="281">
        <v>283</v>
      </c>
      <c r="Q210" s="405"/>
      <c r="R210" s="405"/>
      <c r="S210" s="405"/>
      <c r="T210" s="405"/>
      <c r="U210" s="281">
        <v>237</v>
      </c>
      <c r="V210" s="281">
        <v>184</v>
      </c>
      <c r="W210" s="281">
        <v>114</v>
      </c>
      <c r="X210" s="281">
        <v>127</v>
      </c>
      <c r="Y210" s="281">
        <v>140.06099999999998</v>
      </c>
      <c r="Z210" s="281">
        <v>152.48099999999999</v>
      </c>
      <c r="AA210" s="281">
        <v>154.74200000000002</v>
      </c>
      <c r="AB210" s="281">
        <v>175.71600000000001</v>
      </c>
      <c r="AC210" s="281">
        <v>130.14599999999999</v>
      </c>
      <c r="AD210" s="281">
        <v>76.484000000000009</v>
      </c>
      <c r="AE210" s="281">
        <v>66.661000000000001</v>
      </c>
      <c r="AF210" s="281">
        <v>3.4710000000000001</v>
      </c>
      <c r="AG210" s="281">
        <v>16.018000000000029</v>
      </c>
      <c r="AH210" s="281">
        <v>224.47799999999998</v>
      </c>
      <c r="AI210" s="281">
        <v>60.921999999999997</v>
      </c>
      <c r="AJ210" s="281" t="s">
        <v>121</v>
      </c>
      <c r="AK210" s="281" t="s">
        <v>121</v>
      </c>
      <c r="AL210" s="281" t="s">
        <v>121</v>
      </c>
      <c r="AM210" s="281" t="s">
        <v>121</v>
      </c>
      <c r="AN210" s="281" t="s">
        <v>121</v>
      </c>
      <c r="AO210" s="281" t="s">
        <v>121</v>
      </c>
      <c r="AP210" s="281" t="s">
        <v>121</v>
      </c>
      <c r="AQ210" s="281" t="s">
        <v>121</v>
      </c>
      <c r="AR210" s="281" t="s">
        <v>121</v>
      </c>
      <c r="AS210" s="281" t="s">
        <v>121</v>
      </c>
      <c r="AT210" s="281" t="s">
        <v>121</v>
      </c>
      <c r="AU210" s="281" t="s">
        <v>121</v>
      </c>
      <c r="AV210" s="281" t="s">
        <v>121</v>
      </c>
      <c r="AW210" s="281" t="s">
        <v>121</v>
      </c>
      <c r="AX210" s="281" t="s">
        <v>121</v>
      </c>
      <c r="AY210" s="281" t="s">
        <v>121</v>
      </c>
      <c r="AZ210" s="281" t="s">
        <v>121</v>
      </c>
      <c r="BA210" s="281" t="s">
        <v>121</v>
      </c>
      <c r="BB210" s="281" t="s">
        <v>121</v>
      </c>
      <c r="BC210" s="281" t="s">
        <v>121</v>
      </c>
      <c r="BD210" s="281" t="s">
        <v>121</v>
      </c>
      <c r="BE210" s="281" t="s">
        <v>121</v>
      </c>
      <c r="BF210" s="281" t="s">
        <v>121</v>
      </c>
      <c r="BG210" s="281" t="s">
        <v>121</v>
      </c>
      <c r="BH210" s="281" t="s">
        <v>121</v>
      </c>
      <c r="BI210" s="281" t="s">
        <v>121</v>
      </c>
      <c r="BJ210" s="281" t="s">
        <v>121</v>
      </c>
      <c r="BK210" s="281" t="s">
        <v>121</v>
      </c>
      <c r="BL210" s="281" t="s">
        <v>121</v>
      </c>
      <c r="BM210" s="280" t="s">
        <v>121</v>
      </c>
      <c r="BN210" s="280" t="s">
        <v>121</v>
      </c>
      <c r="BO210" s="280" t="s">
        <v>121</v>
      </c>
      <c r="BP210" s="280" t="s">
        <v>121</v>
      </c>
      <c r="BQ210" s="280" t="s">
        <v>121</v>
      </c>
      <c r="BR210" s="280" t="s">
        <v>121</v>
      </c>
      <c r="BS210" s="280" t="s">
        <v>121</v>
      </c>
      <c r="BT210" s="280" t="s">
        <v>121</v>
      </c>
      <c r="BU210" s="280" t="s">
        <v>121</v>
      </c>
      <c r="BV210" s="280" t="s">
        <v>121</v>
      </c>
      <c r="BW210" s="280" t="s">
        <v>121</v>
      </c>
      <c r="BX210" s="280" t="s">
        <v>121</v>
      </c>
      <c r="BY210" s="280" t="s">
        <v>121</v>
      </c>
      <c r="BZ210" s="280" t="s">
        <v>121</v>
      </c>
      <c r="CA210" s="280" t="s">
        <v>121</v>
      </c>
      <c r="CB210" s="280" t="s">
        <v>121</v>
      </c>
      <c r="CC210" s="280" t="s">
        <v>121</v>
      </c>
      <c r="CD210" s="280" t="s">
        <v>121</v>
      </c>
      <c r="CE210" s="280" t="s">
        <v>121</v>
      </c>
      <c r="CF210" s="280" t="s">
        <v>121</v>
      </c>
      <c r="CG210" s="280" t="s">
        <v>121</v>
      </c>
      <c r="CH210" s="280" t="s">
        <v>121</v>
      </c>
      <c r="CI210" s="280" t="s">
        <v>121</v>
      </c>
      <c r="CJ210" s="280" t="s">
        <v>121</v>
      </c>
      <c r="CK210" s="280" t="s">
        <v>121</v>
      </c>
      <c r="CL210" s="280" t="s">
        <v>121</v>
      </c>
      <c r="CM210" s="280" t="s">
        <v>121</v>
      </c>
      <c r="CN210" s="280" t="s">
        <v>121</v>
      </c>
      <c r="CO210" s="280" t="s">
        <v>121</v>
      </c>
      <c r="CP210" s="280" t="s">
        <v>121</v>
      </c>
      <c r="CQ210" s="280" t="s">
        <v>121</v>
      </c>
      <c r="CR210" s="280" t="s">
        <v>121</v>
      </c>
      <c r="CS210" s="280" t="s">
        <v>121</v>
      </c>
      <c r="CT210" s="280" t="s">
        <v>121</v>
      </c>
      <c r="CU210" s="280" t="s">
        <v>121</v>
      </c>
      <c r="CV210" s="280" t="s">
        <v>121</v>
      </c>
      <c r="CW210" s="280" t="s">
        <v>121</v>
      </c>
      <c r="CX210" s="280" t="s">
        <v>121</v>
      </c>
      <c r="CY210" s="280" t="s">
        <v>121</v>
      </c>
      <c r="CZ210" s="280" t="s">
        <v>121</v>
      </c>
      <c r="DA210" s="280" t="s">
        <v>121</v>
      </c>
      <c r="DB210" s="280" t="s">
        <v>121</v>
      </c>
      <c r="DC210" s="280" t="s">
        <v>121</v>
      </c>
      <c r="DD210" s="280" t="s">
        <v>121</v>
      </c>
      <c r="DE210" s="280" t="s">
        <v>121</v>
      </c>
      <c r="DF210" s="280" t="s">
        <v>121</v>
      </c>
      <c r="DG210" s="280" t="s">
        <v>121</v>
      </c>
      <c r="DH210" s="280" t="s">
        <v>121</v>
      </c>
      <c r="DI210" s="280" t="s">
        <v>121</v>
      </c>
      <c r="DJ210" s="280" t="s">
        <v>121</v>
      </c>
      <c r="DK210" s="280" t="s">
        <v>121</v>
      </c>
      <c r="DL210" s="280" t="s">
        <v>121</v>
      </c>
      <c r="DM210" s="280" t="s">
        <v>121</v>
      </c>
      <c r="DN210" s="280" t="s">
        <v>121</v>
      </c>
      <c r="DO210" s="280" t="s">
        <v>121</v>
      </c>
      <c r="DP210" s="280" t="s">
        <v>121</v>
      </c>
      <c r="DQ210" s="280" t="s">
        <v>121</v>
      </c>
      <c r="DR210" s="280" t="s">
        <v>121</v>
      </c>
      <c r="DS210" s="280" t="s">
        <v>121</v>
      </c>
      <c r="DT210" s="280" t="s">
        <v>121</v>
      </c>
      <c r="DU210" s="280" t="s">
        <v>121</v>
      </c>
      <c r="DV210" s="280" t="s">
        <v>121</v>
      </c>
      <c r="DW210" s="280" t="s">
        <v>121</v>
      </c>
      <c r="DX210" s="280" t="s">
        <v>121</v>
      </c>
      <c r="DY210" s="280" t="s">
        <v>121</v>
      </c>
      <c r="DZ210" s="280" t="s">
        <v>121</v>
      </c>
      <c r="EA210" s="280" t="s">
        <v>121</v>
      </c>
      <c r="EB210" s="280" t="s">
        <v>121</v>
      </c>
      <c r="EC210" s="280" t="s">
        <v>121</v>
      </c>
      <c r="ED210" s="280" t="s">
        <v>121</v>
      </c>
      <c r="EE210" s="280" t="s">
        <v>121</v>
      </c>
      <c r="EF210" s="280" t="s">
        <v>121</v>
      </c>
      <c r="EG210" s="280" t="s">
        <v>121</v>
      </c>
      <c r="EH210" s="280" t="s">
        <v>121</v>
      </c>
      <c r="EI210" s="280" t="s">
        <v>121</v>
      </c>
      <c r="EJ210" s="280" t="s">
        <v>121</v>
      </c>
      <c r="EK210" s="280" t="s">
        <v>121</v>
      </c>
      <c r="EL210" s="280" t="s">
        <v>121</v>
      </c>
      <c r="EM210" s="280" t="s">
        <v>121</v>
      </c>
      <c r="EN210" s="280" t="s">
        <v>121</v>
      </c>
      <c r="EO210" s="280" t="s">
        <v>121</v>
      </c>
      <c r="EP210" s="280" t="s">
        <v>121</v>
      </c>
      <c r="EQ210" s="280" t="s">
        <v>121</v>
      </c>
      <c r="ER210" s="280" t="s">
        <v>121</v>
      </c>
      <c r="ES210" s="280" t="s">
        <v>121</v>
      </c>
      <c r="ET210" s="280" t="s">
        <v>121</v>
      </c>
      <c r="EU210" s="280" t="s">
        <v>121</v>
      </c>
      <c r="EV210" s="280" t="s">
        <v>121</v>
      </c>
      <c r="EW210" s="280" t="s">
        <v>121</v>
      </c>
      <c r="EX210" s="280" t="s">
        <v>121</v>
      </c>
    </row>
    <row r="211" spans="1:154" ht="18.75" customHeight="1" x14ac:dyDescent="0.25">
      <c r="A211" s="72">
        <v>211</v>
      </c>
      <c r="B211" s="129" t="s">
        <v>6</v>
      </c>
      <c r="C211" s="91">
        <v>7.4410163339382995E-2</v>
      </c>
      <c r="D211" s="86" t="s">
        <v>121</v>
      </c>
      <c r="E211" s="92">
        <v>0.30901050304035382</v>
      </c>
      <c r="F211" s="77">
        <v>7104</v>
      </c>
      <c r="G211" s="77">
        <v>6612</v>
      </c>
      <c r="H211" s="77">
        <v>6536</v>
      </c>
      <c r="I211" s="77">
        <v>5909</v>
      </c>
      <c r="J211" s="77">
        <v>5427</v>
      </c>
      <c r="K211" s="77">
        <v>5101</v>
      </c>
      <c r="L211" s="77">
        <v>5365</v>
      </c>
      <c r="M211" s="77">
        <v>4392</v>
      </c>
      <c r="N211" s="77">
        <v>3910</v>
      </c>
      <c r="O211" s="77">
        <v>3606</v>
      </c>
      <c r="P211" s="77">
        <v>3432</v>
      </c>
      <c r="Q211" s="405"/>
      <c r="R211" s="405"/>
      <c r="S211" s="405"/>
      <c r="T211" s="405"/>
      <c r="U211" s="77">
        <v>3421</v>
      </c>
      <c r="V211" s="77">
        <v>3311</v>
      </c>
      <c r="W211" s="77">
        <v>3121</v>
      </c>
      <c r="X211" s="77">
        <v>2853</v>
      </c>
      <c r="Y211" s="77">
        <v>2785.4490000000005</v>
      </c>
      <c r="Z211" s="77">
        <v>2923.0450000000001</v>
      </c>
      <c r="AA211" s="77">
        <v>3030.3249999999994</v>
      </c>
      <c r="AB211" s="77">
        <v>3072.181</v>
      </c>
      <c r="AC211" s="77">
        <v>3054.8009999999995</v>
      </c>
      <c r="AD211" s="77">
        <v>3179.5550000000003</v>
      </c>
      <c r="AE211" s="77">
        <v>2898.9469999999997</v>
      </c>
      <c r="AF211" s="77">
        <v>3031.5329999999999</v>
      </c>
      <c r="AG211" s="77">
        <v>3315.5890000000009</v>
      </c>
      <c r="AH211" s="77">
        <v>2678.3469999999998</v>
      </c>
      <c r="AI211" s="77">
        <v>2529.6</v>
      </c>
      <c r="AJ211" s="77">
        <v>2440.69</v>
      </c>
      <c r="AK211" s="77">
        <v>2383.8499999999995</v>
      </c>
      <c r="AL211" s="77">
        <v>2287.5470000000005</v>
      </c>
      <c r="AM211" s="77">
        <v>2128.8739999999998</v>
      </c>
      <c r="AN211" s="77">
        <v>1747.6389999999999</v>
      </c>
      <c r="AO211" s="77">
        <v>1866.6319999999996</v>
      </c>
      <c r="AP211" s="77">
        <v>2346.8450000000003</v>
      </c>
      <c r="AQ211" s="77">
        <v>1666.7929999999997</v>
      </c>
      <c r="AR211" s="77">
        <v>2196.9499999999998</v>
      </c>
      <c r="AS211" s="77">
        <v>1874.6750000000002</v>
      </c>
      <c r="AT211" s="77">
        <v>1758.2329999999993</v>
      </c>
      <c r="AU211" s="77">
        <v>1667.5820000000003</v>
      </c>
      <c r="AV211" s="77">
        <v>1738.701</v>
      </c>
      <c r="AW211" s="77">
        <v>1717.5239999999994</v>
      </c>
      <c r="AX211" s="77">
        <v>1561.5909999999994</v>
      </c>
      <c r="AY211" s="77">
        <v>1501.2660000000003</v>
      </c>
      <c r="AZ211" s="77">
        <v>1376.865</v>
      </c>
      <c r="BA211" s="77" t="s">
        <v>121</v>
      </c>
      <c r="BB211" s="77" t="s">
        <v>121</v>
      </c>
      <c r="BC211" s="77" t="s">
        <v>121</v>
      </c>
      <c r="BD211" s="77" t="s">
        <v>121</v>
      </c>
      <c r="BE211" s="77" t="s">
        <v>121</v>
      </c>
      <c r="BF211" s="77" t="s">
        <v>121</v>
      </c>
      <c r="BG211" s="77" t="s">
        <v>121</v>
      </c>
      <c r="BH211" s="77" t="s">
        <v>121</v>
      </c>
      <c r="BI211" s="77" t="s">
        <v>121</v>
      </c>
      <c r="BJ211" s="77" t="s">
        <v>121</v>
      </c>
      <c r="BK211" s="77" t="s">
        <v>121</v>
      </c>
      <c r="BL211" s="77" t="s">
        <v>121</v>
      </c>
      <c r="BM211" s="1" t="s">
        <v>121</v>
      </c>
      <c r="BN211" s="1" t="s">
        <v>121</v>
      </c>
      <c r="BO211" s="1" t="s">
        <v>121</v>
      </c>
      <c r="BP211" s="1" t="s">
        <v>121</v>
      </c>
      <c r="BQ211" s="1" t="s">
        <v>121</v>
      </c>
      <c r="BR211" s="1" t="s">
        <v>121</v>
      </c>
      <c r="BS211" s="1" t="s">
        <v>121</v>
      </c>
      <c r="BT211" s="1" t="s">
        <v>121</v>
      </c>
      <c r="BU211" s="1" t="s">
        <v>121</v>
      </c>
      <c r="BV211" s="1" t="s">
        <v>121</v>
      </c>
      <c r="BW211" s="1" t="s">
        <v>121</v>
      </c>
      <c r="BX211" s="1" t="s">
        <v>121</v>
      </c>
      <c r="BY211" s="1" t="s">
        <v>121</v>
      </c>
      <c r="BZ211" s="1" t="s">
        <v>121</v>
      </c>
      <c r="CA211" s="1" t="s">
        <v>121</v>
      </c>
      <c r="CB211" s="1" t="s">
        <v>121</v>
      </c>
      <c r="CC211" s="1" t="s">
        <v>121</v>
      </c>
      <c r="CD211" s="1" t="s">
        <v>121</v>
      </c>
      <c r="CE211" s="1" t="s">
        <v>121</v>
      </c>
      <c r="CF211" s="1" t="s">
        <v>121</v>
      </c>
      <c r="CG211" s="1" t="s">
        <v>121</v>
      </c>
      <c r="CH211" s="1" t="s">
        <v>121</v>
      </c>
      <c r="CI211" s="1" t="s">
        <v>121</v>
      </c>
      <c r="CJ211" s="1" t="s">
        <v>121</v>
      </c>
      <c r="CK211" s="1" t="s">
        <v>121</v>
      </c>
      <c r="CL211" s="1" t="s">
        <v>121</v>
      </c>
      <c r="CM211" s="1" t="s">
        <v>121</v>
      </c>
      <c r="CN211" s="1" t="s">
        <v>121</v>
      </c>
      <c r="CO211" s="1" t="s">
        <v>121</v>
      </c>
      <c r="CP211" s="1" t="s">
        <v>121</v>
      </c>
      <c r="CQ211" s="1" t="s">
        <v>121</v>
      </c>
      <c r="CR211" s="1" t="s">
        <v>121</v>
      </c>
      <c r="CS211" s="1" t="s">
        <v>121</v>
      </c>
      <c r="CT211" s="1" t="s">
        <v>121</v>
      </c>
      <c r="CU211" s="1" t="s">
        <v>121</v>
      </c>
      <c r="CV211" s="1" t="s">
        <v>121</v>
      </c>
      <c r="CW211" s="1" t="s">
        <v>121</v>
      </c>
      <c r="CX211" s="1" t="s">
        <v>121</v>
      </c>
      <c r="CY211" s="1" t="s">
        <v>121</v>
      </c>
      <c r="CZ211" s="1" t="s">
        <v>121</v>
      </c>
      <c r="DA211" s="1" t="s">
        <v>121</v>
      </c>
      <c r="DB211" s="1" t="s">
        <v>121</v>
      </c>
      <c r="DC211" s="1" t="s">
        <v>121</v>
      </c>
      <c r="DD211" s="1" t="s">
        <v>121</v>
      </c>
      <c r="DE211" s="1" t="s">
        <v>121</v>
      </c>
      <c r="DF211" s="1" t="s">
        <v>121</v>
      </c>
      <c r="DG211" s="1" t="s">
        <v>121</v>
      </c>
      <c r="DH211" s="1" t="s">
        <v>121</v>
      </c>
      <c r="DI211" s="1" t="s">
        <v>121</v>
      </c>
      <c r="DJ211" s="1" t="s">
        <v>121</v>
      </c>
      <c r="DK211" s="1" t="s">
        <v>121</v>
      </c>
      <c r="DL211" s="1" t="s">
        <v>121</v>
      </c>
      <c r="DM211" s="1" t="s">
        <v>121</v>
      </c>
      <c r="DN211" s="1" t="s">
        <v>121</v>
      </c>
      <c r="DO211" s="1" t="s">
        <v>121</v>
      </c>
      <c r="DP211" s="1" t="s">
        <v>121</v>
      </c>
      <c r="DQ211" s="1" t="s">
        <v>121</v>
      </c>
      <c r="DR211" s="1" t="s">
        <v>121</v>
      </c>
      <c r="DS211" s="1" t="s">
        <v>121</v>
      </c>
      <c r="DT211" s="1" t="s">
        <v>121</v>
      </c>
      <c r="DU211" s="1" t="s">
        <v>121</v>
      </c>
      <c r="DV211" s="1" t="s">
        <v>121</v>
      </c>
      <c r="DW211" s="1" t="s">
        <v>121</v>
      </c>
      <c r="DX211" s="1" t="s">
        <v>121</v>
      </c>
      <c r="DY211" s="1" t="s">
        <v>121</v>
      </c>
      <c r="DZ211" s="1" t="s">
        <v>121</v>
      </c>
      <c r="EA211" s="1" t="s">
        <v>121</v>
      </c>
      <c r="EB211" s="1" t="s">
        <v>121</v>
      </c>
      <c r="EC211" s="1" t="s">
        <v>121</v>
      </c>
      <c r="ED211" s="1" t="s">
        <v>121</v>
      </c>
      <c r="EE211" s="1" t="s">
        <v>121</v>
      </c>
      <c r="EF211" s="1" t="s">
        <v>121</v>
      </c>
      <c r="EG211" s="1" t="s">
        <v>121</v>
      </c>
      <c r="EH211" s="1" t="s">
        <v>121</v>
      </c>
      <c r="EI211" s="1" t="s">
        <v>121</v>
      </c>
      <c r="EJ211" s="1" t="s">
        <v>121</v>
      </c>
      <c r="EK211" s="1" t="s">
        <v>121</v>
      </c>
      <c r="EL211" s="1" t="s">
        <v>121</v>
      </c>
      <c r="EM211" s="1" t="s">
        <v>121</v>
      </c>
      <c r="EN211" s="1" t="s">
        <v>121</v>
      </c>
      <c r="EO211" s="1" t="s">
        <v>121</v>
      </c>
      <c r="EP211" s="1" t="s">
        <v>121</v>
      </c>
      <c r="EQ211" s="1" t="s">
        <v>121</v>
      </c>
      <c r="ER211" s="1" t="s">
        <v>121</v>
      </c>
      <c r="ES211" s="1" t="s">
        <v>121</v>
      </c>
      <c r="ET211" s="1" t="s">
        <v>121</v>
      </c>
      <c r="EU211" s="1" t="s">
        <v>121</v>
      </c>
      <c r="EV211" s="1" t="s">
        <v>121</v>
      </c>
      <c r="EW211" s="1" t="s">
        <v>121</v>
      </c>
      <c r="EX211" s="1" t="s">
        <v>121</v>
      </c>
    </row>
    <row r="212" spans="1:154" x14ac:dyDescent="0.25">
      <c r="A212" s="72">
        <v>212</v>
      </c>
      <c r="B212" s="306" t="s">
        <v>447</v>
      </c>
      <c r="C212" s="91">
        <v>-4.6713219359499125E-2</v>
      </c>
      <c r="D212" s="86" t="s">
        <v>121</v>
      </c>
      <c r="E212" s="92">
        <v>0.67258132657372194</v>
      </c>
      <c r="F212" s="77">
        <v>3959</v>
      </c>
      <c r="G212" s="77">
        <v>4153</v>
      </c>
      <c r="H212" s="77">
        <v>4173</v>
      </c>
      <c r="I212" s="77">
        <v>3226</v>
      </c>
      <c r="J212" s="77">
        <v>2367</v>
      </c>
      <c r="K212" s="77">
        <v>2356</v>
      </c>
      <c r="L212" s="77">
        <v>2236</v>
      </c>
      <c r="M212" s="77">
        <v>2352</v>
      </c>
      <c r="N212" s="77">
        <v>2341</v>
      </c>
      <c r="O212" s="77">
        <v>2048</v>
      </c>
      <c r="P212" s="77">
        <v>1434</v>
      </c>
      <c r="Q212" s="405"/>
      <c r="R212" s="405"/>
      <c r="S212" s="405"/>
      <c r="T212" s="405"/>
      <c r="U212" s="77">
        <v>631</v>
      </c>
      <c r="V212" s="77">
        <v>662</v>
      </c>
      <c r="W212" s="77">
        <v>813</v>
      </c>
      <c r="X212" s="77">
        <v>853</v>
      </c>
      <c r="Y212" s="77">
        <v>875.74400000000014</v>
      </c>
      <c r="Z212" s="77">
        <v>875.36099999999988</v>
      </c>
      <c r="AA212" s="77">
        <v>846.32899999999995</v>
      </c>
      <c r="AB212" s="77">
        <v>726.56600000000003</v>
      </c>
      <c r="AC212" s="77">
        <v>678.33499999999981</v>
      </c>
      <c r="AD212" s="77">
        <v>822.36500000000012</v>
      </c>
      <c r="AE212" s="77">
        <v>519.38400000000001</v>
      </c>
      <c r="AF212" s="77">
        <v>405.40199999999999</v>
      </c>
      <c r="AG212" s="77">
        <v>209.40700000000001</v>
      </c>
      <c r="AH212" s="77">
        <v>131.583</v>
      </c>
      <c r="AI212" s="77" t="s">
        <v>121</v>
      </c>
      <c r="AJ212" s="77" t="s">
        <v>121</v>
      </c>
      <c r="AK212" s="77" t="s">
        <v>121</v>
      </c>
      <c r="AL212" s="77" t="s">
        <v>121</v>
      </c>
      <c r="AM212" s="77" t="s">
        <v>121</v>
      </c>
      <c r="AN212" s="77" t="s">
        <v>121</v>
      </c>
      <c r="AO212" s="77" t="s">
        <v>121</v>
      </c>
      <c r="AP212" s="77" t="s">
        <v>121</v>
      </c>
      <c r="AQ212" s="77" t="s">
        <v>121</v>
      </c>
      <c r="AR212" s="77" t="s">
        <v>121</v>
      </c>
      <c r="AS212" s="77" t="s">
        <v>121</v>
      </c>
      <c r="AT212" s="77" t="s">
        <v>121</v>
      </c>
      <c r="AU212" s="77" t="s">
        <v>121</v>
      </c>
      <c r="AV212" s="77" t="s">
        <v>121</v>
      </c>
      <c r="AW212" s="77" t="s">
        <v>121</v>
      </c>
      <c r="AX212" s="77" t="s">
        <v>121</v>
      </c>
      <c r="AY212" s="77" t="s">
        <v>121</v>
      </c>
      <c r="AZ212" s="77" t="s">
        <v>121</v>
      </c>
      <c r="BA212" s="77" t="s">
        <v>121</v>
      </c>
      <c r="BB212" s="77" t="s">
        <v>121</v>
      </c>
      <c r="BC212" s="77" t="s">
        <v>121</v>
      </c>
      <c r="BD212" s="77" t="s">
        <v>121</v>
      </c>
      <c r="BE212" s="77" t="s">
        <v>121</v>
      </c>
      <c r="BF212" s="77">
        <v>-2.1190000000000002</v>
      </c>
      <c r="BG212" s="77">
        <v>2.1100000000000003</v>
      </c>
      <c r="BH212" s="77">
        <v>8.9999999999999993E-3</v>
      </c>
      <c r="BI212" s="77">
        <v>0.2240000000000002</v>
      </c>
      <c r="BJ212" s="77">
        <v>2.0679999999999996</v>
      </c>
      <c r="BK212" s="77">
        <v>5.03</v>
      </c>
      <c r="BL212" s="77">
        <v>5.0919999999999996</v>
      </c>
      <c r="BM212" s="1">
        <v>5.0740000000000016</v>
      </c>
      <c r="BN212" s="1">
        <v>5.2140000000000004</v>
      </c>
      <c r="BO212" s="1">
        <v>5.161999999999999</v>
      </c>
      <c r="BP212" s="1">
        <v>5.5830000000000002</v>
      </c>
      <c r="BQ212" s="1" t="s">
        <v>121</v>
      </c>
      <c r="BR212" s="1" t="s">
        <v>121</v>
      </c>
      <c r="BS212" s="1" t="s">
        <v>121</v>
      </c>
      <c r="BT212" s="1" t="s">
        <v>121</v>
      </c>
      <c r="BU212" s="1" t="s">
        <v>121</v>
      </c>
      <c r="BV212" s="1" t="s">
        <v>121</v>
      </c>
      <c r="BW212" s="1" t="s">
        <v>121</v>
      </c>
      <c r="BX212" s="1" t="s">
        <v>121</v>
      </c>
      <c r="BY212" s="1" t="s">
        <v>121</v>
      </c>
      <c r="BZ212" s="1" t="s">
        <v>121</v>
      </c>
      <c r="CA212" s="1" t="s">
        <v>121</v>
      </c>
      <c r="CB212" s="1" t="s">
        <v>121</v>
      </c>
      <c r="CC212" s="1" t="s">
        <v>121</v>
      </c>
      <c r="CD212" s="1" t="s">
        <v>121</v>
      </c>
      <c r="CE212" s="1" t="s">
        <v>121</v>
      </c>
      <c r="CF212" s="1" t="s">
        <v>121</v>
      </c>
      <c r="CG212" s="1" t="s">
        <v>121</v>
      </c>
      <c r="CH212" s="1" t="s">
        <v>121</v>
      </c>
      <c r="CI212" s="1" t="s">
        <v>121</v>
      </c>
      <c r="CJ212" s="1" t="s">
        <v>121</v>
      </c>
      <c r="CK212" s="1" t="s">
        <v>121</v>
      </c>
      <c r="CL212" s="1" t="s">
        <v>121</v>
      </c>
      <c r="CM212" s="1" t="s">
        <v>121</v>
      </c>
      <c r="CN212" s="1" t="s">
        <v>121</v>
      </c>
      <c r="CO212" s="1" t="s">
        <v>121</v>
      </c>
      <c r="CP212" s="1" t="s">
        <v>121</v>
      </c>
      <c r="CQ212" s="1" t="s">
        <v>121</v>
      </c>
      <c r="CR212" s="1" t="s">
        <v>121</v>
      </c>
      <c r="CS212" s="1" t="s">
        <v>121</v>
      </c>
      <c r="CT212" s="1" t="s">
        <v>121</v>
      </c>
      <c r="CU212" s="1" t="s">
        <v>121</v>
      </c>
      <c r="CV212" s="1" t="s">
        <v>121</v>
      </c>
      <c r="CW212" s="1" t="s">
        <v>121</v>
      </c>
      <c r="CX212" s="1" t="s">
        <v>121</v>
      </c>
      <c r="CY212" s="1" t="s">
        <v>121</v>
      </c>
      <c r="CZ212" s="1" t="s">
        <v>121</v>
      </c>
      <c r="DA212" s="1" t="s">
        <v>121</v>
      </c>
      <c r="DB212" s="1" t="s">
        <v>121</v>
      </c>
      <c r="DC212" s="1" t="s">
        <v>121</v>
      </c>
      <c r="DD212" s="1" t="s">
        <v>121</v>
      </c>
      <c r="DE212" s="1" t="s">
        <v>121</v>
      </c>
      <c r="DF212" s="1" t="s">
        <v>121</v>
      </c>
      <c r="DG212" s="1" t="s">
        <v>121</v>
      </c>
      <c r="DH212" s="1" t="s">
        <v>121</v>
      </c>
      <c r="DI212" s="1" t="s">
        <v>121</v>
      </c>
      <c r="DJ212" s="1" t="s">
        <v>121</v>
      </c>
      <c r="DK212" s="1" t="s">
        <v>121</v>
      </c>
      <c r="DL212" s="1" t="s">
        <v>121</v>
      </c>
      <c r="DM212" s="1" t="s">
        <v>121</v>
      </c>
      <c r="DN212" s="1" t="s">
        <v>121</v>
      </c>
      <c r="DO212" s="1" t="s">
        <v>121</v>
      </c>
      <c r="DP212" s="1" t="s">
        <v>121</v>
      </c>
      <c r="DQ212" s="1" t="s">
        <v>121</v>
      </c>
      <c r="DR212" s="1" t="s">
        <v>121</v>
      </c>
      <c r="DS212" s="1" t="s">
        <v>121</v>
      </c>
      <c r="DT212" s="1" t="s">
        <v>121</v>
      </c>
      <c r="DU212" s="1" t="s">
        <v>121</v>
      </c>
      <c r="DV212" s="1" t="s">
        <v>121</v>
      </c>
      <c r="DW212" s="1" t="s">
        <v>121</v>
      </c>
      <c r="DX212" s="1" t="s">
        <v>121</v>
      </c>
      <c r="DY212" s="1" t="s">
        <v>121</v>
      </c>
      <c r="DZ212" s="1" t="s">
        <v>121</v>
      </c>
      <c r="EA212" s="1" t="s">
        <v>121</v>
      </c>
      <c r="EB212" s="1" t="s">
        <v>121</v>
      </c>
      <c r="EC212" s="1" t="s">
        <v>121</v>
      </c>
      <c r="ED212" s="1" t="s">
        <v>121</v>
      </c>
      <c r="EE212" s="1" t="s">
        <v>121</v>
      </c>
      <c r="EF212" s="1" t="s">
        <v>121</v>
      </c>
      <c r="EG212" s="1" t="s">
        <v>121</v>
      </c>
      <c r="EH212" s="1" t="s">
        <v>121</v>
      </c>
      <c r="EI212" s="1" t="s">
        <v>121</v>
      </c>
      <c r="EJ212" s="1" t="s">
        <v>121</v>
      </c>
      <c r="EK212" s="1" t="s">
        <v>121</v>
      </c>
      <c r="EL212" s="1" t="s">
        <v>121</v>
      </c>
      <c r="EM212" s="1" t="s">
        <v>121</v>
      </c>
      <c r="EN212" s="1" t="s">
        <v>121</v>
      </c>
      <c r="EO212" s="1" t="s">
        <v>121</v>
      </c>
      <c r="EP212" s="1" t="s">
        <v>121</v>
      </c>
      <c r="EQ212" s="1" t="s">
        <v>121</v>
      </c>
      <c r="ER212" s="1" t="s">
        <v>121</v>
      </c>
      <c r="ES212" s="1" t="s">
        <v>121</v>
      </c>
      <c r="ET212" s="1" t="s">
        <v>121</v>
      </c>
      <c r="EU212" s="1" t="s">
        <v>121</v>
      </c>
      <c r="EV212" s="1" t="s">
        <v>121</v>
      </c>
      <c r="EW212" s="1" t="s">
        <v>121</v>
      </c>
      <c r="EX212" s="1" t="s">
        <v>121</v>
      </c>
    </row>
    <row r="213" spans="1:154" x14ac:dyDescent="0.25">
      <c r="A213" s="72">
        <v>213</v>
      </c>
      <c r="B213" s="74" t="s">
        <v>448</v>
      </c>
      <c r="C213" s="91">
        <v>9.4276094276094291E-2</v>
      </c>
      <c r="D213" s="86" t="s">
        <v>121</v>
      </c>
      <c r="E213" s="92">
        <v>1.7245508982035926</v>
      </c>
      <c r="F213" s="77">
        <v>2275</v>
      </c>
      <c r="G213" s="77">
        <v>2079</v>
      </c>
      <c r="H213" s="77">
        <v>2234</v>
      </c>
      <c r="I213" s="77">
        <v>1378</v>
      </c>
      <c r="J213" s="77">
        <v>835</v>
      </c>
      <c r="K213" s="77">
        <v>623</v>
      </c>
      <c r="L213" s="77">
        <v>1384</v>
      </c>
      <c r="M213" s="77">
        <v>1462</v>
      </c>
      <c r="N213" s="77">
        <v>1211</v>
      </c>
      <c r="O213" s="77">
        <v>692</v>
      </c>
      <c r="P213" s="77">
        <v>1219</v>
      </c>
      <c r="Q213" s="405"/>
      <c r="R213" s="405"/>
      <c r="S213" s="405"/>
      <c r="T213" s="405"/>
      <c r="U213" s="77">
        <v>224</v>
      </c>
      <c r="V213" s="77">
        <v>168</v>
      </c>
      <c r="W213" s="77">
        <v>257</v>
      </c>
      <c r="X213" s="77">
        <v>231</v>
      </c>
      <c r="Y213" s="77">
        <v>84.573999999999955</v>
      </c>
      <c r="Z213" s="77">
        <v>242.26300000000003</v>
      </c>
      <c r="AA213" s="77">
        <v>113.87700000000001</v>
      </c>
      <c r="AB213" s="77">
        <v>345.286</v>
      </c>
      <c r="AC213" s="77">
        <v>280.44299999999998</v>
      </c>
      <c r="AD213" s="77">
        <v>585.30199999999991</v>
      </c>
      <c r="AE213" s="77">
        <v>432.02600000000007</v>
      </c>
      <c r="AF213" s="77">
        <v>628.21100000000001</v>
      </c>
      <c r="AG213" s="77">
        <v>388.76499999999987</v>
      </c>
      <c r="AH213" s="77">
        <v>291.85900000000015</v>
      </c>
      <c r="AI213" s="77">
        <v>442.83699999999988</v>
      </c>
      <c r="AJ213" s="77">
        <v>795.39700000000005</v>
      </c>
      <c r="AK213" s="77">
        <v>518.00800000000004</v>
      </c>
      <c r="AL213" s="77">
        <v>234.38100000000009</v>
      </c>
      <c r="AM213" s="77">
        <v>157.88299999999987</v>
      </c>
      <c r="AN213" s="77">
        <v>396.13000000000005</v>
      </c>
      <c r="AO213" s="77">
        <v>356.81800000000021</v>
      </c>
      <c r="AP213" s="77">
        <v>74.55600000000004</v>
      </c>
      <c r="AQ213" s="77">
        <v>321.375</v>
      </c>
      <c r="AR213" s="77">
        <v>533.63699999999994</v>
      </c>
      <c r="AS213" s="77">
        <v>272.61900000000014</v>
      </c>
      <c r="AT213" s="77">
        <v>646.93599999999969</v>
      </c>
      <c r="AU213" s="77">
        <v>730.62800000000004</v>
      </c>
      <c r="AV213" s="77">
        <v>894.28699999999992</v>
      </c>
      <c r="AW213" s="77">
        <v>612.75200000000018</v>
      </c>
      <c r="AX213" s="77">
        <v>271.59899999999993</v>
      </c>
      <c r="AY213" s="77">
        <v>293.23200000000003</v>
      </c>
      <c r="AZ213" s="77">
        <v>176.517</v>
      </c>
      <c r="BA213" s="77">
        <v>98.978000000000009</v>
      </c>
      <c r="BB213" s="77">
        <v>35.820999999999998</v>
      </c>
      <c r="BC213" s="77">
        <v>85.531999999999982</v>
      </c>
      <c r="BD213" s="77">
        <v>81.751000000000005</v>
      </c>
      <c r="BE213" s="77">
        <v>81.018000000000001</v>
      </c>
      <c r="BF213" s="77">
        <v>90.894000000000005</v>
      </c>
      <c r="BG213" s="77">
        <v>-3.0960000000000036</v>
      </c>
      <c r="BH213" s="77">
        <v>166.285</v>
      </c>
      <c r="BI213" s="77">
        <v>73.900999999999982</v>
      </c>
      <c r="BJ213" s="77">
        <v>67.521999999999991</v>
      </c>
      <c r="BK213" s="77">
        <v>49.38900000000001</v>
      </c>
      <c r="BL213" s="77">
        <v>48.304000000000002</v>
      </c>
      <c r="BM213" s="1">
        <v>35.706999999999994</v>
      </c>
      <c r="BN213" s="1">
        <v>37.067999999999984</v>
      </c>
      <c r="BO213" s="1">
        <v>63.589000000000013</v>
      </c>
      <c r="BP213" s="1">
        <v>76.402000000000001</v>
      </c>
      <c r="BQ213" s="1" t="s">
        <v>121</v>
      </c>
      <c r="BR213" s="1" t="s">
        <v>121</v>
      </c>
      <c r="BS213" s="1" t="s">
        <v>121</v>
      </c>
      <c r="BT213" s="1" t="s">
        <v>121</v>
      </c>
      <c r="BU213" s="1" t="s">
        <v>121</v>
      </c>
      <c r="BV213" s="1" t="s">
        <v>121</v>
      </c>
      <c r="BW213" s="1" t="s">
        <v>121</v>
      </c>
      <c r="BX213" s="1" t="s">
        <v>121</v>
      </c>
      <c r="BY213" s="1" t="s">
        <v>121</v>
      </c>
      <c r="BZ213" s="1" t="s">
        <v>121</v>
      </c>
      <c r="CA213" s="1" t="s">
        <v>121</v>
      </c>
      <c r="CB213" s="1" t="s">
        <v>121</v>
      </c>
      <c r="CC213" s="1" t="s">
        <v>121</v>
      </c>
      <c r="CD213" s="1" t="s">
        <v>121</v>
      </c>
      <c r="CE213" s="1" t="s">
        <v>121</v>
      </c>
      <c r="CF213" s="1" t="s">
        <v>121</v>
      </c>
      <c r="CG213" s="1" t="s">
        <v>121</v>
      </c>
      <c r="CH213" s="1" t="s">
        <v>121</v>
      </c>
      <c r="CI213" s="1" t="s">
        <v>121</v>
      </c>
      <c r="CJ213" s="1" t="s">
        <v>121</v>
      </c>
      <c r="CK213" s="1" t="s">
        <v>121</v>
      </c>
      <c r="CL213" s="1" t="s">
        <v>121</v>
      </c>
      <c r="CM213" s="1" t="s">
        <v>121</v>
      </c>
      <c r="CN213" s="1" t="s">
        <v>121</v>
      </c>
      <c r="CO213" s="1" t="s">
        <v>121</v>
      </c>
      <c r="CP213" s="1" t="s">
        <v>121</v>
      </c>
      <c r="CQ213" s="1" t="s">
        <v>121</v>
      </c>
      <c r="CR213" s="1" t="s">
        <v>121</v>
      </c>
      <c r="CS213" s="1" t="s">
        <v>121</v>
      </c>
      <c r="CT213" s="1" t="s">
        <v>121</v>
      </c>
      <c r="CU213" s="1" t="s">
        <v>121</v>
      </c>
      <c r="CV213" s="1" t="s">
        <v>121</v>
      </c>
      <c r="CW213" s="1" t="s">
        <v>121</v>
      </c>
      <c r="CX213" s="1" t="s">
        <v>121</v>
      </c>
      <c r="CY213" s="1" t="s">
        <v>121</v>
      </c>
      <c r="CZ213" s="1" t="s">
        <v>121</v>
      </c>
      <c r="DA213" s="1" t="s">
        <v>121</v>
      </c>
      <c r="DB213" s="1" t="s">
        <v>121</v>
      </c>
      <c r="DC213" s="1" t="s">
        <v>121</v>
      </c>
      <c r="DD213" s="1" t="s">
        <v>121</v>
      </c>
      <c r="DE213" s="1" t="s">
        <v>121</v>
      </c>
      <c r="DF213" s="1" t="s">
        <v>121</v>
      </c>
      <c r="DG213" s="1" t="s">
        <v>121</v>
      </c>
      <c r="DH213" s="1" t="s">
        <v>121</v>
      </c>
      <c r="DI213" s="1" t="s">
        <v>121</v>
      </c>
      <c r="DJ213" s="1" t="s">
        <v>121</v>
      </c>
      <c r="DK213" s="1" t="s">
        <v>121</v>
      </c>
      <c r="DL213" s="1" t="s">
        <v>121</v>
      </c>
      <c r="DM213" s="1" t="s">
        <v>121</v>
      </c>
      <c r="DN213" s="1" t="s">
        <v>121</v>
      </c>
      <c r="DO213" s="1" t="s">
        <v>121</v>
      </c>
      <c r="DP213" s="1" t="s">
        <v>121</v>
      </c>
      <c r="DQ213" s="1" t="s">
        <v>121</v>
      </c>
      <c r="DR213" s="1" t="s">
        <v>121</v>
      </c>
      <c r="DS213" s="1" t="s">
        <v>121</v>
      </c>
      <c r="DT213" s="1" t="s">
        <v>121</v>
      </c>
      <c r="DU213" s="1" t="s">
        <v>121</v>
      </c>
      <c r="DV213" s="1" t="s">
        <v>121</v>
      </c>
      <c r="DW213" s="1" t="s">
        <v>121</v>
      </c>
      <c r="DX213" s="1" t="s">
        <v>121</v>
      </c>
      <c r="DY213" s="1" t="s">
        <v>121</v>
      </c>
      <c r="DZ213" s="1" t="s">
        <v>121</v>
      </c>
      <c r="EA213" s="1" t="s">
        <v>121</v>
      </c>
      <c r="EB213" s="1" t="s">
        <v>121</v>
      </c>
      <c r="EC213" s="1" t="s">
        <v>121</v>
      </c>
      <c r="ED213" s="1" t="s">
        <v>121</v>
      </c>
      <c r="EE213" s="1" t="s">
        <v>121</v>
      </c>
      <c r="EF213" s="1" t="s">
        <v>121</v>
      </c>
      <c r="EG213" s="1" t="s">
        <v>121</v>
      </c>
      <c r="EH213" s="1" t="s">
        <v>121</v>
      </c>
      <c r="EI213" s="1" t="s">
        <v>121</v>
      </c>
      <c r="EJ213" s="1" t="s">
        <v>121</v>
      </c>
      <c r="EK213" s="1" t="s">
        <v>121</v>
      </c>
      <c r="EL213" s="1" t="s">
        <v>121</v>
      </c>
      <c r="EM213" s="1" t="s">
        <v>121</v>
      </c>
      <c r="EN213" s="1" t="s">
        <v>121</v>
      </c>
      <c r="EO213" s="1" t="s">
        <v>121</v>
      </c>
      <c r="EP213" s="1" t="s">
        <v>121</v>
      </c>
      <c r="EQ213" s="1" t="s">
        <v>121</v>
      </c>
      <c r="ER213" s="1" t="s">
        <v>121</v>
      </c>
      <c r="ES213" s="1" t="s">
        <v>121</v>
      </c>
      <c r="ET213" s="1" t="s">
        <v>121</v>
      </c>
      <c r="EU213" s="1" t="s">
        <v>121</v>
      </c>
      <c r="EV213" s="1" t="s">
        <v>121</v>
      </c>
      <c r="EW213" s="1" t="s">
        <v>121</v>
      </c>
      <c r="EX213" s="1" t="s">
        <v>121</v>
      </c>
    </row>
    <row r="214" spans="1:154" x14ac:dyDescent="0.25">
      <c r="A214" s="72">
        <v>214</v>
      </c>
      <c r="B214" s="74" t="s">
        <v>272</v>
      </c>
      <c r="C214" s="91">
        <v>0.43468950749464663</v>
      </c>
      <c r="D214" s="86" t="s">
        <v>121</v>
      </c>
      <c r="E214" s="92">
        <v>0.77104514030093529</v>
      </c>
      <c r="F214" s="77">
        <v>8710</v>
      </c>
      <c r="G214" s="77">
        <v>6071</v>
      </c>
      <c r="H214" s="77">
        <v>5756</v>
      </c>
      <c r="I214" s="77">
        <v>5784</v>
      </c>
      <c r="J214" s="77">
        <v>4918</v>
      </c>
      <c r="K214" s="77">
        <v>3872</v>
      </c>
      <c r="L214" s="77">
        <v>3161</v>
      </c>
      <c r="M214" s="77">
        <v>3923</v>
      </c>
      <c r="N214" s="77">
        <v>687</v>
      </c>
      <c r="O214" s="77">
        <v>660</v>
      </c>
      <c r="P214" s="77">
        <v>1445</v>
      </c>
      <c r="Q214" s="405"/>
      <c r="R214" s="405"/>
      <c r="S214" s="405"/>
      <c r="T214" s="405"/>
      <c r="U214" s="77">
        <v>1135</v>
      </c>
      <c r="V214" s="77">
        <v>438</v>
      </c>
      <c r="W214" s="77">
        <v>526</v>
      </c>
      <c r="X214" s="77">
        <v>596</v>
      </c>
      <c r="Y214" s="77">
        <v>628.52199999999993</v>
      </c>
      <c r="Z214" s="77">
        <v>558.84400000000005</v>
      </c>
      <c r="AA214" s="77">
        <v>497.07400000000007</v>
      </c>
      <c r="AB214" s="77">
        <v>523.55999999999995</v>
      </c>
      <c r="AC214" s="77">
        <v>797.22499999999991</v>
      </c>
      <c r="AD214" s="77">
        <v>678.18000000000006</v>
      </c>
      <c r="AE214" s="77">
        <v>663.91599999999994</v>
      </c>
      <c r="AF214" s="77">
        <v>1128.5070000000001</v>
      </c>
      <c r="AG214" s="77">
        <v>1091.4930000000002</v>
      </c>
      <c r="AH214" s="77">
        <v>509.56700000000001</v>
      </c>
      <c r="AI214" s="77">
        <v>863.69399999999996</v>
      </c>
      <c r="AJ214" s="77">
        <v>558.30899999999997</v>
      </c>
      <c r="AK214" s="77">
        <v>649.9109999999996</v>
      </c>
      <c r="AL214" s="77">
        <v>594.56800000000021</v>
      </c>
      <c r="AM214" s="77">
        <v>783.76099999999997</v>
      </c>
      <c r="AN214" s="77">
        <v>1053.663</v>
      </c>
      <c r="AO214" s="77">
        <v>982.09500000000003</v>
      </c>
      <c r="AP214" s="77">
        <v>612.33699999999999</v>
      </c>
      <c r="AQ214" s="77">
        <v>305.58499999999998</v>
      </c>
      <c r="AR214" s="77">
        <v>247.05</v>
      </c>
      <c r="AS214" s="77">
        <v>315.96499999999992</v>
      </c>
      <c r="AT214" s="77">
        <v>421.41499999999996</v>
      </c>
      <c r="AU214" s="77">
        <v>527.74400000000003</v>
      </c>
      <c r="AV214" s="77">
        <v>940.11199999999997</v>
      </c>
      <c r="AW214" s="77">
        <v>770.03500000000008</v>
      </c>
      <c r="AX214" s="77">
        <v>433.71899999999994</v>
      </c>
      <c r="AY214" s="77">
        <v>367.82899999999995</v>
      </c>
      <c r="AZ214" s="77">
        <v>283.61</v>
      </c>
      <c r="BA214" s="77">
        <v>225.36600000000004</v>
      </c>
      <c r="BB214" s="77">
        <v>211.92500000000001</v>
      </c>
      <c r="BC214" s="77">
        <v>162.38899999999998</v>
      </c>
      <c r="BD214" s="77">
        <v>126.934</v>
      </c>
      <c r="BE214" s="77">
        <v>130.90199999999993</v>
      </c>
      <c r="BF214" s="77">
        <v>135.49299999999999</v>
      </c>
      <c r="BG214" s="77">
        <v>218.62500000000003</v>
      </c>
      <c r="BH214" s="77">
        <v>58.463000000000001</v>
      </c>
      <c r="BI214" s="77">
        <v>92.995999999999981</v>
      </c>
      <c r="BJ214" s="77">
        <v>62.538000000000011</v>
      </c>
      <c r="BK214" s="77">
        <v>55.082999999999998</v>
      </c>
      <c r="BL214" s="77">
        <v>49.070999999999998</v>
      </c>
      <c r="BM214" s="1">
        <v>61.218000000000018</v>
      </c>
      <c r="BN214" s="1">
        <v>39.544999999999987</v>
      </c>
      <c r="BO214" s="1">
        <v>54.846000000000004</v>
      </c>
      <c r="BP214" s="1">
        <v>44.572000000000003</v>
      </c>
      <c r="BQ214" s="1" t="s">
        <v>121</v>
      </c>
      <c r="BR214" s="1" t="s">
        <v>121</v>
      </c>
      <c r="BS214" s="1" t="s">
        <v>121</v>
      </c>
      <c r="BT214" s="1" t="s">
        <v>121</v>
      </c>
      <c r="BU214" s="1" t="s">
        <v>121</v>
      </c>
      <c r="BV214" s="1" t="s">
        <v>121</v>
      </c>
      <c r="BW214" s="1" t="s">
        <v>121</v>
      </c>
      <c r="BX214" s="1" t="s">
        <v>121</v>
      </c>
      <c r="BY214" s="1" t="s">
        <v>121</v>
      </c>
      <c r="BZ214" s="1" t="s">
        <v>121</v>
      </c>
      <c r="CA214" s="1" t="s">
        <v>121</v>
      </c>
      <c r="CB214" s="1" t="s">
        <v>121</v>
      </c>
      <c r="CC214" s="1" t="s">
        <v>121</v>
      </c>
      <c r="CD214" s="1" t="s">
        <v>121</v>
      </c>
      <c r="CE214" s="1" t="s">
        <v>121</v>
      </c>
      <c r="CF214" s="1" t="s">
        <v>121</v>
      </c>
      <c r="CG214" s="1" t="s">
        <v>121</v>
      </c>
      <c r="CH214" s="1" t="s">
        <v>121</v>
      </c>
      <c r="CI214" s="1" t="s">
        <v>121</v>
      </c>
      <c r="CJ214" s="1" t="s">
        <v>121</v>
      </c>
      <c r="CK214" s="1" t="s">
        <v>121</v>
      </c>
      <c r="CL214" s="1" t="s">
        <v>121</v>
      </c>
      <c r="CM214" s="1" t="s">
        <v>121</v>
      </c>
      <c r="CN214" s="1" t="s">
        <v>121</v>
      </c>
      <c r="CO214" s="1" t="s">
        <v>121</v>
      </c>
      <c r="CP214" s="1" t="s">
        <v>121</v>
      </c>
      <c r="CQ214" s="1" t="s">
        <v>121</v>
      </c>
      <c r="CR214" s="1" t="s">
        <v>121</v>
      </c>
      <c r="CS214" s="1" t="s">
        <v>121</v>
      </c>
      <c r="CT214" s="1" t="s">
        <v>121</v>
      </c>
      <c r="CU214" s="1" t="s">
        <v>121</v>
      </c>
      <c r="CV214" s="1" t="s">
        <v>121</v>
      </c>
      <c r="CW214" s="1" t="s">
        <v>121</v>
      </c>
      <c r="CX214" s="1" t="s">
        <v>121</v>
      </c>
      <c r="CY214" s="1" t="s">
        <v>121</v>
      </c>
      <c r="CZ214" s="1" t="s">
        <v>121</v>
      </c>
      <c r="DA214" s="1" t="s">
        <v>121</v>
      </c>
      <c r="DB214" s="1" t="s">
        <v>121</v>
      </c>
      <c r="DC214" s="1" t="s">
        <v>121</v>
      </c>
      <c r="DD214" s="1" t="s">
        <v>121</v>
      </c>
      <c r="DE214" s="1" t="s">
        <v>121</v>
      </c>
      <c r="DF214" s="1" t="s">
        <v>121</v>
      </c>
      <c r="DG214" s="1" t="s">
        <v>121</v>
      </c>
      <c r="DH214" s="1" t="s">
        <v>121</v>
      </c>
      <c r="DI214" s="1" t="s">
        <v>121</v>
      </c>
      <c r="DJ214" s="1" t="s">
        <v>121</v>
      </c>
      <c r="DK214" s="1" t="s">
        <v>121</v>
      </c>
      <c r="DL214" s="1" t="s">
        <v>121</v>
      </c>
      <c r="DM214" s="1" t="s">
        <v>121</v>
      </c>
      <c r="DN214" s="1" t="s">
        <v>121</v>
      </c>
      <c r="DO214" s="1" t="s">
        <v>121</v>
      </c>
      <c r="DP214" s="1" t="s">
        <v>121</v>
      </c>
      <c r="DQ214" s="1" t="s">
        <v>121</v>
      </c>
      <c r="DR214" s="1" t="s">
        <v>121</v>
      </c>
      <c r="DS214" s="1" t="s">
        <v>121</v>
      </c>
      <c r="DT214" s="1" t="s">
        <v>121</v>
      </c>
      <c r="DU214" s="1" t="s">
        <v>121</v>
      </c>
      <c r="DV214" s="1" t="s">
        <v>121</v>
      </c>
      <c r="DW214" s="1" t="s">
        <v>121</v>
      </c>
      <c r="DX214" s="1" t="s">
        <v>121</v>
      </c>
      <c r="DY214" s="1" t="s">
        <v>121</v>
      </c>
      <c r="DZ214" s="1" t="s">
        <v>121</v>
      </c>
      <c r="EA214" s="1" t="s">
        <v>121</v>
      </c>
      <c r="EB214" s="1" t="s">
        <v>121</v>
      </c>
      <c r="EC214" s="1" t="s">
        <v>121</v>
      </c>
      <c r="ED214" s="1" t="s">
        <v>121</v>
      </c>
      <c r="EE214" s="1" t="s">
        <v>121</v>
      </c>
      <c r="EF214" s="1" t="s">
        <v>121</v>
      </c>
      <c r="EG214" s="1" t="s">
        <v>121</v>
      </c>
      <c r="EH214" s="1" t="s">
        <v>121</v>
      </c>
      <c r="EI214" s="1" t="s">
        <v>121</v>
      </c>
      <c r="EJ214" s="1" t="s">
        <v>121</v>
      </c>
      <c r="EK214" s="1" t="s">
        <v>121</v>
      </c>
      <c r="EL214" s="1" t="s">
        <v>121</v>
      </c>
      <c r="EM214" s="1" t="s">
        <v>121</v>
      </c>
      <c r="EN214" s="1" t="s">
        <v>121</v>
      </c>
      <c r="EO214" s="1" t="s">
        <v>121</v>
      </c>
      <c r="EP214" s="1" t="s">
        <v>121</v>
      </c>
      <c r="EQ214" s="1" t="s">
        <v>121</v>
      </c>
      <c r="ER214" s="1" t="s">
        <v>121</v>
      </c>
      <c r="ES214" s="1" t="s">
        <v>121</v>
      </c>
      <c r="ET214" s="1" t="s">
        <v>121</v>
      </c>
      <c r="EU214" s="1" t="s">
        <v>121</v>
      </c>
      <c r="EV214" s="1" t="s">
        <v>121</v>
      </c>
      <c r="EW214" s="1" t="s">
        <v>121</v>
      </c>
      <c r="EX214" s="1" t="s">
        <v>121</v>
      </c>
    </row>
    <row r="215" spans="1:154" x14ac:dyDescent="0.25">
      <c r="A215" s="72">
        <v>215</v>
      </c>
      <c r="B215" s="74" t="s">
        <v>449</v>
      </c>
      <c r="C215" s="91">
        <v>0.42754662840746049</v>
      </c>
      <c r="D215" s="86" t="s">
        <v>121</v>
      </c>
      <c r="E215" s="92">
        <v>-0.34410019775873435</v>
      </c>
      <c r="F215" s="77">
        <v>995</v>
      </c>
      <c r="G215" s="77">
        <v>697</v>
      </c>
      <c r="H215" s="77">
        <v>402</v>
      </c>
      <c r="I215" s="77">
        <v>1309</v>
      </c>
      <c r="J215" s="77">
        <v>1517</v>
      </c>
      <c r="K215" s="77">
        <v>1675</v>
      </c>
      <c r="L215" s="77">
        <v>1538</v>
      </c>
      <c r="M215" s="77">
        <v>989</v>
      </c>
      <c r="N215" s="77">
        <v>281</v>
      </c>
      <c r="O215" s="77">
        <v>296</v>
      </c>
      <c r="P215" s="77">
        <v>527</v>
      </c>
      <c r="Q215" s="405"/>
      <c r="R215" s="405"/>
      <c r="S215" s="405"/>
      <c r="T215" s="405"/>
      <c r="U215" s="77">
        <v>222</v>
      </c>
      <c r="V215" s="77">
        <v>149</v>
      </c>
      <c r="W215" s="77">
        <v>124</v>
      </c>
      <c r="X215" s="77">
        <v>112</v>
      </c>
      <c r="Y215" s="77">
        <v>94.653999999999996</v>
      </c>
      <c r="Z215" s="77">
        <v>151.548</v>
      </c>
      <c r="AA215" s="77">
        <v>188.40499999999997</v>
      </c>
      <c r="AB215" s="77">
        <v>534.39300000000003</v>
      </c>
      <c r="AC215" s="77">
        <v>545.5329999999999</v>
      </c>
      <c r="AD215" s="77">
        <v>572.31600000000026</v>
      </c>
      <c r="AE215" s="77">
        <v>595.8009999999997</v>
      </c>
      <c r="AF215" s="77">
        <v>1504.9860000000001</v>
      </c>
      <c r="AG215" s="77">
        <v>1271.3710000000001</v>
      </c>
      <c r="AH215" s="77">
        <v>1392.1419999999998</v>
      </c>
      <c r="AI215" s="77">
        <v>1324.498</v>
      </c>
      <c r="AJ215" s="77">
        <v>901.02</v>
      </c>
      <c r="AK215" s="77">
        <v>1062.3830000000003</v>
      </c>
      <c r="AL215" s="77">
        <v>773.3599999999999</v>
      </c>
      <c r="AM215" s="77">
        <v>638.55399999999997</v>
      </c>
      <c r="AN215" s="77">
        <v>658.65700000000004</v>
      </c>
      <c r="AO215" s="77">
        <v>620.33199999999988</v>
      </c>
      <c r="AP215" s="77">
        <v>707.97</v>
      </c>
      <c r="AQ215" s="77">
        <v>655.72400000000005</v>
      </c>
      <c r="AR215" s="77">
        <v>550.09</v>
      </c>
      <c r="AS215" s="77">
        <v>712.93600000000015</v>
      </c>
      <c r="AT215" s="77">
        <v>273.14999999999998</v>
      </c>
      <c r="AU215" s="77">
        <v>53.350000000000009</v>
      </c>
      <c r="AV215" s="77">
        <v>91.983999999999995</v>
      </c>
      <c r="AW215" s="77">
        <v>674.64799999999968</v>
      </c>
      <c r="AX215" s="77">
        <v>1276.4349999999999</v>
      </c>
      <c r="AY215" s="77">
        <v>1245.1670000000001</v>
      </c>
      <c r="AZ215" s="77">
        <v>1275.798</v>
      </c>
      <c r="BA215" s="77">
        <v>1164.884</v>
      </c>
      <c r="BB215" s="77">
        <v>1020.6229999999998</v>
      </c>
      <c r="BC215" s="77">
        <v>1017.948</v>
      </c>
      <c r="BD215" s="77">
        <v>978.72699999999998</v>
      </c>
      <c r="BE215" s="77">
        <v>878.35600000000022</v>
      </c>
      <c r="BF215" s="77">
        <v>894.97999999999979</v>
      </c>
      <c r="BG215" s="77">
        <v>1029.31</v>
      </c>
      <c r="BH215" s="77">
        <v>846.04200000000003</v>
      </c>
      <c r="BI215" s="77">
        <v>906.59099999999989</v>
      </c>
      <c r="BJ215" s="77">
        <v>810.74400000000014</v>
      </c>
      <c r="BK215" s="77">
        <v>847.1339999999999</v>
      </c>
      <c r="BL215" s="77">
        <v>746.88800000000003</v>
      </c>
      <c r="BM215" s="1">
        <v>664.08000000000015</v>
      </c>
      <c r="BN215" s="1">
        <v>603.84400000000005</v>
      </c>
      <c r="BO215" s="1">
        <v>684.0859999999999</v>
      </c>
      <c r="BP215" s="1">
        <v>684.74300000000005</v>
      </c>
      <c r="BQ215" s="1" t="s">
        <v>121</v>
      </c>
      <c r="BR215" s="1" t="s">
        <v>121</v>
      </c>
      <c r="BS215" s="1" t="s">
        <v>121</v>
      </c>
      <c r="BT215" s="1" t="s">
        <v>121</v>
      </c>
      <c r="BU215" s="1" t="s">
        <v>121</v>
      </c>
      <c r="BV215" s="1" t="s">
        <v>121</v>
      </c>
      <c r="BW215" s="1" t="s">
        <v>121</v>
      </c>
      <c r="BX215" s="1" t="s">
        <v>121</v>
      </c>
      <c r="BY215" s="1" t="s">
        <v>121</v>
      </c>
      <c r="BZ215" s="1" t="s">
        <v>121</v>
      </c>
      <c r="CA215" s="1" t="s">
        <v>121</v>
      </c>
      <c r="CB215" s="1" t="s">
        <v>121</v>
      </c>
      <c r="CC215" s="1" t="s">
        <v>121</v>
      </c>
      <c r="CD215" s="1" t="s">
        <v>121</v>
      </c>
      <c r="CE215" s="1" t="s">
        <v>121</v>
      </c>
      <c r="CF215" s="1" t="s">
        <v>121</v>
      </c>
      <c r="CG215" s="1" t="s">
        <v>121</v>
      </c>
      <c r="CH215" s="1" t="s">
        <v>121</v>
      </c>
      <c r="CI215" s="1" t="s">
        <v>121</v>
      </c>
      <c r="CJ215" s="1" t="s">
        <v>121</v>
      </c>
      <c r="CK215" s="1" t="s">
        <v>121</v>
      </c>
      <c r="CL215" s="1" t="s">
        <v>121</v>
      </c>
      <c r="CM215" s="1" t="s">
        <v>121</v>
      </c>
      <c r="CN215" s="1" t="s">
        <v>121</v>
      </c>
      <c r="CO215" s="1" t="s">
        <v>121</v>
      </c>
      <c r="CP215" s="1" t="s">
        <v>121</v>
      </c>
      <c r="CQ215" s="1" t="s">
        <v>121</v>
      </c>
      <c r="CR215" s="1" t="s">
        <v>121</v>
      </c>
      <c r="CS215" s="1" t="s">
        <v>121</v>
      </c>
      <c r="CT215" s="1" t="s">
        <v>121</v>
      </c>
      <c r="CU215" s="1" t="s">
        <v>121</v>
      </c>
      <c r="CV215" s="1" t="s">
        <v>121</v>
      </c>
      <c r="CW215" s="1" t="s">
        <v>121</v>
      </c>
      <c r="CX215" s="1" t="s">
        <v>121</v>
      </c>
      <c r="CY215" s="1" t="s">
        <v>121</v>
      </c>
      <c r="CZ215" s="1" t="s">
        <v>121</v>
      </c>
      <c r="DA215" s="1" t="s">
        <v>121</v>
      </c>
      <c r="DB215" s="1" t="s">
        <v>121</v>
      </c>
      <c r="DC215" s="1" t="s">
        <v>121</v>
      </c>
      <c r="DD215" s="1" t="s">
        <v>121</v>
      </c>
      <c r="DE215" s="1" t="s">
        <v>121</v>
      </c>
      <c r="DF215" s="1" t="s">
        <v>121</v>
      </c>
      <c r="DG215" s="1" t="s">
        <v>121</v>
      </c>
      <c r="DH215" s="1" t="s">
        <v>121</v>
      </c>
      <c r="DI215" s="1" t="s">
        <v>121</v>
      </c>
      <c r="DJ215" s="1" t="s">
        <v>121</v>
      </c>
      <c r="DK215" s="1" t="s">
        <v>121</v>
      </c>
      <c r="DL215" s="1" t="s">
        <v>121</v>
      </c>
      <c r="DM215" s="1" t="s">
        <v>121</v>
      </c>
      <c r="DN215" s="1" t="s">
        <v>121</v>
      </c>
      <c r="DO215" s="1" t="s">
        <v>121</v>
      </c>
      <c r="DP215" s="1" t="s">
        <v>121</v>
      </c>
      <c r="DQ215" s="1" t="s">
        <v>121</v>
      </c>
      <c r="DR215" s="1" t="s">
        <v>121</v>
      </c>
      <c r="DS215" s="1" t="s">
        <v>121</v>
      </c>
      <c r="DT215" s="1" t="s">
        <v>121</v>
      </c>
      <c r="DU215" s="1" t="s">
        <v>121</v>
      </c>
      <c r="DV215" s="1" t="s">
        <v>121</v>
      </c>
      <c r="DW215" s="1" t="s">
        <v>121</v>
      </c>
      <c r="DX215" s="1" t="s">
        <v>121</v>
      </c>
      <c r="DY215" s="1" t="s">
        <v>121</v>
      </c>
      <c r="DZ215" s="1" t="s">
        <v>121</v>
      </c>
      <c r="EA215" s="1" t="s">
        <v>121</v>
      </c>
      <c r="EB215" s="1" t="s">
        <v>121</v>
      </c>
      <c r="EC215" s="1" t="s">
        <v>121</v>
      </c>
      <c r="ED215" s="1" t="s">
        <v>121</v>
      </c>
      <c r="EE215" s="1" t="s">
        <v>121</v>
      </c>
      <c r="EF215" s="1" t="s">
        <v>121</v>
      </c>
      <c r="EG215" s="1" t="s">
        <v>121</v>
      </c>
      <c r="EH215" s="1" t="s">
        <v>121</v>
      </c>
      <c r="EI215" s="1" t="s">
        <v>121</v>
      </c>
      <c r="EJ215" s="1" t="s">
        <v>121</v>
      </c>
      <c r="EK215" s="1" t="s">
        <v>121</v>
      </c>
      <c r="EL215" s="1" t="s">
        <v>121</v>
      </c>
      <c r="EM215" s="1" t="s">
        <v>121</v>
      </c>
      <c r="EN215" s="1" t="s">
        <v>121</v>
      </c>
      <c r="EO215" s="1" t="s">
        <v>121</v>
      </c>
      <c r="EP215" s="1" t="s">
        <v>121</v>
      </c>
      <c r="EQ215" s="1" t="s">
        <v>121</v>
      </c>
      <c r="ER215" s="1" t="s">
        <v>121</v>
      </c>
      <c r="ES215" s="1" t="s">
        <v>121</v>
      </c>
      <c r="ET215" s="1" t="s">
        <v>121</v>
      </c>
      <c r="EU215" s="1" t="s">
        <v>121</v>
      </c>
      <c r="EV215" s="1" t="s">
        <v>121</v>
      </c>
      <c r="EW215" s="1" t="s">
        <v>121</v>
      </c>
      <c r="EX215" s="1" t="s">
        <v>121</v>
      </c>
    </row>
    <row r="216" spans="1:154" x14ac:dyDescent="0.25">
      <c r="A216" s="72">
        <v>216</v>
      </c>
      <c r="B216" s="239" t="s">
        <v>450</v>
      </c>
      <c r="C216" s="91">
        <v>2.5714285714285716</v>
      </c>
      <c r="D216" s="86" t="s">
        <v>121</v>
      </c>
      <c r="E216" s="92">
        <v>-0.16666666666666663</v>
      </c>
      <c r="F216" s="77">
        <v>25</v>
      </c>
      <c r="G216" s="77">
        <v>7</v>
      </c>
      <c r="H216" s="77" t="s">
        <v>121</v>
      </c>
      <c r="I216" s="77" t="s">
        <v>121</v>
      </c>
      <c r="J216" s="77">
        <v>30</v>
      </c>
      <c r="K216" s="77">
        <v>77</v>
      </c>
      <c r="L216" s="77">
        <v>75</v>
      </c>
      <c r="M216" s="77">
        <v>79</v>
      </c>
      <c r="N216" s="77">
        <v>298</v>
      </c>
      <c r="O216" s="77">
        <v>263</v>
      </c>
      <c r="P216" s="77">
        <v>169</v>
      </c>
      <c r="Q216" s="405"/>
      <c r="R216" s="405"/>
      <c r="S216" s="405"/>
      <c r="T216" s="405"/>
      <c r="U216" s="77">
        <v>74</v>
      </c>
      <c r="V216" s="77">
        <v>35</v>
      </c>
      <c r="W216" s="77">
        <v>30</v>
      </c>
      <c r="X216" s="77">
        <v>102</v>
      </c>
      <c r="Y216" s="77">
        <v>120.08699999999999</v>
      </c>
      <c r="Z216" s="77">
        <v>117.10400000000001</v>
      </c>
      <c r="AA216" s="77">
        <v>129.08199999999999</v>
      </c>
      <c r="AB216" s="77">
        <v>126.727</v>
      </c>
      <c r="AC216" s="77">
        <v>256.00700000000006</v>
      </c>
      <c r="AD216" s="77">
        <v>284.601</v>
      </c>
      <c r="AE216" s="77">
        <v>386.37900000000002</v>
      </c>
      <c r="AF216" s="77">
        <v>524.00099999999998</v>
      </c>
      <c r="AG216" s="77">
        <v>934.79299999999967</v>
      </c>
      <c r="AH216" s="77">
        <v>667.02100000000019</v>
      </c>
      <c r="AI216" s="77">
        <v>764.10299999999995</v>
      </c>
      <c r="AJ216" s="77">
        <v>875.18700000000001</v>
      </c>
      <c r="AK216" s="77">
        <v>1083.5479999999998</v>
      </c>
      <c r="AL216" s="77">
        <v>947.32100000000037</v>
      </c>
      <c r="AM216" s="77">
        <v>1024.8839999999998</v>
      </c>
      <c r="AN216" s="77">
        <v>1202.412</v>
      </c>
      <c r="AO216" s="77">
        <v>1307.9210000000003</v>
      </c>
      <c r="AP216" s="77">
        <v>1762.0609999999997</v>
      </c>
      <c r="AQ216" s="77">
        <v>1953.2869999999998</v>
      </c>
      <c r="AR216" s="77">
        <v>2031.248</v>
      </c>
      <c r="AS216" s="77">
        <v>1590.8450000000003</v>
      </c>
      <c r="AT216" s="77">
        <v>1610.4809999999998</v>
      </c>
      <c r="AU216" s="77">
        <v>1598.018</v>
      </c>
      <c r="AV216" s="77">
        <v>1160.8209999999999</v>
      </c>
      <c r="AW216" s="77">
        <v>635.42100000000005</v>
      </c>
      <c r="AX216" s="77" t="s">
        <v>121</v>
      </c>
      <c r="AY216" s="77" t="s">
        <v>121</v>
      </c>
      <c r="AZ216" s="77" t="s">
        <v>121</v>
      </c>
      <c r="BA216" s="77" t="s">
        <v>121</v>
      </c>
      <c r="BB216" s="77" t="s">
        <v>121</v>
      </c>
      <c r="BC216" s="77" t="s">
        <v>121</v>
      </c>
      <c r="BD216" s="77" t="s">
        <v>121</v>
      </c>
      <c r="BE216" s="77" t="s">
        <v>121</v>
      </c>
      <c r="BF216" s="77" t="s">
        <v>121</v>
      </c>
      <c r="BG216" s="77" t="s">
        <v>121</v>
      </c>
      <c r="BH216" s="77" t="s">
        <v>121</v>
      </c>
      <c r="BI216" s="77" t="s">
        <v>121</v>
      </c>
      <c r="BJ216" s="77" t="s">
        <v>121</v>
      </c>
      <c r="BK216" s="77" t="s">
        <v>121</v>
      </c>
      <c r="BL216" s="77" t="s">
        <v>121</v>
      </c>
      <c r="BM216" s="1" t="s">
        <v>121</v>
      </c>
      <c r="BN216" s="1" t="s">
        <v>121</v>
      </c>
      <c r="BO216" s="1" t="s">
        <v>121</v>
      </c>
      <c r="BP216" s="1" t="s">
        <v>121</v>
      </c>
      <c r="BQ216" s="1" t="s">
        <v>121</v>
      </c>
      <c r="BR216" s="1" t="s">
        <v>121</v>
      </c>
      <c r="BS216" s="1" t="s">
        <v>121</v>
      </c>
      <c r="BT216" s="1" t="s">
        <v>121</v>
      </c>
      <c r="BU216" s="1" t="s">
        <v>121</v>
      </c>
      <c r="BV216" s="1" t="s">
        <v>121</v>
      </c>
      <c r="BW216" s="1" t="s">
        <v>121</v>
      </c>
      <c r="BX216" s="1" t="s">
        <v>121</v>
      </c>
      <c r="BY216" s="1" t="s">
        <v>121</v>
      </c>
      <c r="BZ216" s="1" t="s">
        <v>121</v>
      </c>
      <c r="CA216" s="1" t="s">
        <v>121</v>
      </c>
      <c r="CB216" s="1" t="s">
        <v>121</v>
      </c>
      <c r="CC216" s="1" t="s">
        <v>121</v>
      </c>
      <c r="CD216" s="1" t="s">
        <v>121</v>
      </c>
      <c r="CE216" s="1" t="s">
        <v>121</v>
      </c>
      <c r="CF216" s="1" t="s">
        <v>121</v>
      </c>
      <c r="CG216" s="1" t="s">
        <v>121</v>
      </c>
      <c r="CH216" s="1" t="s">
        <v>121</v>
      </c>
      <c r="CI216" s="1" t="s">
        <v>121</v>
      </c>
      <c r="CJ216" s="1" t="s">
        <v>121</v>
      </c>
      <c r="CK216" s="1" t="s">
        <v>121</v>
      </c>
      <c r="CL216" s="1" t="s">
        <v>121</v>
      </c>
      <c r="CM216" s="1" t="s">
        <v>121</v>
      </c>
      <c r="CN216" s="1" t="s">
        <v>121</v>
      </c>
      <c r="CO216" s="1" t="s">
        <v>121</v>
      </c>
      <c r="CP216" s="1" t="s">
        <v>121</v>
      </c>
      <c r="CQ216" s="1" t="s">
        <v>121</v>
      </c>
      <c r="CR216" s="1" t="s">
        <v>121</v>
      </c>
      <c r="CS216" s="1" t="s">
        <v>121</v>
      </c>
      <c r="CT216" s="1" t="s">
        <v>121</v>
      </c>
      <c r="CU216" s="1" t="s">
        <v>121</v>
      </c>
      <c r="CV216" s="1" t="s">
        <v>121</v>
      </c>
      <c r="CW216" s="1" t="s">
        <v>121</v>
      </c>
      <c r="CX216" s="1" t="s">
        <v>121</v>
      </c>
      <c r="CY216" s="1" t="s">
        <v>121</v>
      </c>
      <c r="CZ216" s="1" t="s">
        <v>121</v>
      </c>
      <c r="DA216" s="1" t="s">
        <v>121</v>
      </c>
      <c r="DB216" s="1" t="s">
        <v>121</v>
      </c>
      <c r="DC216" s="1" t="s">
        <v>121</v>
      </c>
      <c r="DD216" s="1" t="s">
        <v>121</v>
      </c>
      <c r="DE216" s="1" t="s">
        <v>121</v>
      </c>
      <c r="DF216" s="1" t="s">
        <v>121</v>
      </c>
      <c r="DG216" s="1" t="s">
        <v>121</v>
      </c>
      <c r="DH216" s="1" t="s">
        <v>121</v>
      </c>
      <c r="DI216" s="1" t="s">
        <v>121</v>
      </c>
      <c r="DJ216" s="1" t="s">
        <v>121</v>
      </c>
      <c r="DK216" s="1" t="s">
        <v>121</v>
      </c>
      <c r="DL216" s="1" t="s">
        <v>121</v>
      </c>
      <c r="DM216" s="1" t="s">
        <v>121</v>
      </c>
      <c r="DN216" s="1" t="s">
        <v>121</v>
      </c>
      <c r="DO216" s="1" t="s">
        <v>121</v>
      </c>
      <c r="DP216" s="1" t="s">
        <v>121</v>
      </c>
      <c r="DQ216" s="1" t="s">
        <v>121</v>
      </c>
      <c r="DR216" s="1" t="s">
        <v>121</v>
      </c>
      <c r="DS216" s="1" t="s">
        <v>121</v>
      </c>
      <c r="DT216" s="1" t="s">
        <v>121</v>
      </c>
      <c r="DU216" s="1" t="s">
        <v>121</v>
      </c>
      <c r="DV216" s="1" t="s">
        <v>121</v>
      </c>
      <c r="DW216" s="1" t="s">
        <v>121</v>
      </c>
      <c r="DX216" s="1" t="s">
        <v>121</v>
      </c>
      <c r="DY216" s="1" t="s">
        <v>121</v>
      </c>
      <c r="DZ216" s="1" t="s">
        <v>121</v>
      </c>
      <c r="EA216" s="1" t="s">
        <v>121</v>
      </c>
      <c r="EB216" s="1" t="s">
        <v>121</v>
      </c>
      <c r="EC216" s="1" t="s">
        <v>121</v>
      </c>
      <c r="ED216" s="1" t="s">
        <v>121</v>
      </c>
      <c r="EE216" s="1" t="s">
        <v>121</v>
      </c>
      <c r="EF216" s="1" t="s">
        <v>121</v>
      </c>
      <c r="EG216" s="1" t="s">
        <v>121</v>
      </c>
      <c r="EH216" s="1" t="s">
        <v>121</v>
      </c>
      <c r="EI216" s="1" t="s">
        <v>121</v>
      </c>
      <c r="EJ216" s="1" t="s">
        <v>121</v>
      </c>
      <c r="EK216" s="1" t="s">
        <v>121</v>
      </c>
      <c r="EL216" s="1" t="s">
        <v>121</v>
      </c>
      <c r="EM216" s="1" t="s">
        <v>121</v>
      </c>
      <c r="EN216" s="1" t="s">
        <v>121</v>
      </c>
      <c r="EO216" s="1" t="s">
        <v>121</v>
      </c>
      <c r="EP216" s="1" t="s">
        <v>121</v>
      </c>
      <c r="EQ216" s="1" t="s">
        <v>121</v>
      </c>
      <c r="ER216" s="1" t="s">
        <v>121</v>
      </c>
      <c r="ES216" s="1" t="s">
        <v>121</v>
      </c>
      <c r="ET216" s="1" t="s">
        <v>121</v>
      </c>
      <c r="EU216" s="1" t="s">
        <v>121</v>
      </c>
      <c r="EV216" s="1" t="s">
        <v>121</v>
      </c>
      <c r="EW216" s="1" t="s">
        <v>121</v>
      </c>
      <c r="EX216" s="1" t="s">
        <v>121</v>
      </c>
    </row>
    <row r="217" spans="1:154" s="75" customFormat="1" ht="18.75" customHeight="1" x14ac:dyDescent="0.25">
      <c r="A217" s="72">
        <v>217</v>
      </c>
      <c r="B217" s="73" t="s">
        <v>451</v>
      </c>
      <c r="C217" s="94">
        <v>7.0778048206014077E-2</v>
      </c>
      <c r="D217" s="94" t="s">
        <v>121</v>
      </c>
      <c r="E217" s="94">
        <v>0.41960498581800199</v>
      </c>
      <c r="F217" s="124">
        <v>54554</v>
      </c>
      <c r="G217" s="124">
        <v>50948</v>
      </c>
      <c r="H217" s="124">
        <v>49474</v>
      </c>
      <c r="I217" s="124">
        <v>46911</v>
      </c>
      <c r="J217" s="124">
        <v>38429</v>
      </c>
      <c r="K217" s="124">
        <v>34883</v>
      </c>
      <c r="L217" s="124">
        <v>33965</v>
      </c>
      <c r="M217" s="124">
        <v>30139</v>
      </c>
      <c r="N217" s="124">
        <v>20386</v>
      </c>
      <c r="O217" s="124">
        <v>17366</v>
      </c>
      <c r="P217" s="124">
        <v>16768</v>
      </c>
      <c r="Q217" s="405"/>
      <c r="R217" s="405"/>
      <c r="S217" s="405"/>
      <c r="T217" s="405"/>
      <c r="U217" s="124">
        <v>13269.683000000005</v>
      </c>
      <c r="V217" s="124">
        <v>11062</v>
      </c>
      <c r="W217" s="124">
        <v>10581</v>
      </c>
      <c r="X217" s="124">
        <v>10080</v>
      </c>
      <c r="Y217" s="124">
        <v>11078.654</v>
      </c>
      <c r="Z217" s="124">
        <v>10374.485999999999</v>
      </c>
      <c r="AA217" s="124">
        <v>10710.966000000002</v>
      </c>
      <c r="AB217" s="124">
        <v>11265.894</v>
      </c>
      <c r="AC217" s="124">
        <v>12005.320999999996</v>
      </c>
      <c r="AD217" s="124">
        <v>12067.470000000005</v>
      </c>
      <c r="AE217" s="124">
        <v>11574.053</v>
      </c>
      <c r="AF217" s="124">
        <v>12846.71</v>
      </c>
      <c r="AG217" s="124">
        <v>12330.641000000001</v>
      </c>
      <c r="AH217" s="124">
        <v>11412.368000000002</v>
      </c>
      <c r="AI217" s="124">
        <v>11332.708999999997</v>
      </c>
      <c r="AJ217" s="124">
        <v>10962.854000000001</v>
      </c>
      <c r="AK217" s="124">
        <v>11844.102999999996</v>
      </c>
      <c r="AL217" s="124">
        <v>11535.064000000002</v>
      </c>
      <c r="AM217" s="124">
        <v>11674.452000000001</v>
      </c>
      <c r="AN217" s="124">
        <v>12116.298999999999</v>
      </c>
      <c r="AO217" s="124">
        <v>12844.278</v>
      </c>
      <c r="AP217" s="124">
        <v>13006.412</v>
      </c>
      <c r="AQ217" s="124">
        <v>13104.125</v>
      </c>
      <c r="AR217" s="124">
        <v>12896.994999999999</v>
      </c>
      <c r="AS217" s="124">
        <v>13155.930000000004</v>
      </c>
      <c r="AT217" s="124">
        <v>12749.339999999998</v>
      </c>
      <c r="AU217" s="124">
        <v>12609.874</v>
      </c>
      <c r="AV217" s="124">
        <v>12278.331</v>
      </c>
      <c r="AW217" s="124">
        <v>11134.422999999999</v>
      </c>
      <c r="AX217" s="124">
        <v>9618.6959999999999</v>
      </c>
      <c r="AY217" s="124">
        <v>9285.4740000000002</v>
      </c>
      <c r="AZ217" s="124">
        <v>8721.7070000000003</v>
      </c>
      <c r="BA217" s="124">
        <v>8350.9049999999988</v>
      </c>
      <c r="BB217" s="124">
        <v>7937.8520000000017</v>
      </c>
      <c r="BC217" s="124">
        <v>7537.6269999999995</v>
      </c>
      <c r="BD217" s="124">
        <v>7005.1410000000005</v>
      </c>
      <c r="BE217" s="124">
        <v>7155.4580000000005</v>
      </c>
      <c r="BF217" s="124">
        <v>6785.7690000000011</v>
      </c>
      <c r="BG217" s="124">
        <v>6997.2439999999988</v>
      </c>
      <c r="BH217" s="124">
        <v>6422.6959999999999</v>
      </c>
      <c r="BI217" s="124">
        <v>6577.5379999999968</v>
      </c>
      <c r="BJ217" s="124">
        <v>6587.1640000000025</v>
      </c>
      <c r="BK217" s="124">
        <v>6491.2179999999998</v>
      </c>
      <c r="BL217" s="124">
        <v>6121.1849999999995</v>
      </c>
      <c r="BM217" s="75">
        <v>5904.0019999999986</v>
      </c>
      <c r="BN217" s="75">
        <v>5746.130000000001</v>
      </c>
      <c r="BO217" s="75">
        <v>6112.3770000000013</v>
      </c>
      <c r="BP217" s="75">
        <v>6497.2579999999998</v>
      </c>
      <c r="BQ217" s="75" t="s">
        <v>121</v>
      </c>
      <c r="BR217" s="75" t="s">
        <v>121</v>
      </c>
      <c r="BS217" s="75" t="s">
        <v>121</v>
      </c>
      <c r="BT217" s="75" t="s">
        <v>121</v>
      </c>
      <c r="BU217" s="75" t="s">
        <v>121</v>
      </c>
      <c r="BV217" s="75" t="s">
        <v>121</v>
      </c>
      <c r="BW217" s="75" t="s">
        <v>121</v>
      </c>
      <c r="BX217" s="75" t="s">
        <v>121</v>
      </c>
      <c r="BY217" s="75" t="s">
        <v>121</v>
      </c>
      <c r="BZ217" s="75" t="s">
        <v>121</v>
      </c>
      <c r="CA217" s="75" t="s">
        <v>121</v>
      </c>
      <c r="CB217" s="75" t="s">
        <v>121</v>
      </c>
      <c r="CC217" s="75" t="s">
        <v>121</v>
      </c>
      <c r="CD217" s="75" t="s">
        <v>121</v>
      </c>
      <c r="CE217" s="75" t="s">
        <v>121</v>
      </c>
      <c r="CF217" s="75" t="s">
        <v>121</v>
      </c>
      <c r="CG217" s="75" t="s">
        <v>121</v>
      </c>
      <c r="CH217" s="75" t="s">
        <v>121</v>
      </c>
      <c r="CI217" s="75" t="s">
        <v>121</v>
      </c>
      <c r="CJ217" s="75" t="s">
        <v>121</v>
      </c>
      <c r="CK217" s="75" t="s">
        <v>121</v>
      </c>
      <c r="CL217" s="75" t="s">
        <v>121</v>
      </c>
      <c r="CM217" s="75" t="s">
        <v>121</v>
      </c>
      <c r="CN217" s="75" t="s">
        <v>121</v>
      </c>
      <c r="CO217" s="75" t="s">
        <v>121</v>
      </c>
      <c r="CP217" s="75" t="s">
        <v>121</v>
      </c>
      <c r="CQ217" s="75" t="s">
        <v>121</v>
      </c>
      <c r="CR217" s="75" t="s">
        <v>121</v>
      </c>
      <c r="CS217" s="75" t="s">
        <v>121</v>
      </c>
      <c r="CT217" s="75" t="s">
        <v>121</v>
      </c>
      <c r="CU217" s="75" t="s">
        <v>121</v>
      </c>
      <c r="CV217" s="75" t="s">
        <v>121</v>
      </c>
      <c r="CW217" s="75" t="s">
        <v>121</v>
      </c>
      <c r="CX217" s="75" t="s">
        <v>121</v>
      </c>
      <c r="CY217" s="75" t="s">
        <v>121</v>
      </c>
      <c r="CZ217" s="75" t="s">
        <v>121</v>
      </c>
      <c r="DA217" s="75" t="s">
        <v>121</v>
      </c>
      <c r="DB217" s="75" t="s">
        <v>121</v>
      </c>
      <c r="DC217" s="75" t="s">
        <v>121</v>
      </c>
      <c r="DD217" s="75" t="s">
        <v>121</v>
      </c>
      <c r="DE217" s="75" t="s">
        <v>121</v>
      </c>
      <c r="DF217" s="75" t="s">
        <v>121</v>
      </c>
      <c r="DG217" s="75" t="s">
        <v>121</v>
      </c>
      <c r="DH217" s="75" t="s">
        <v>121</v>
      </c>
      <c r="DI217" s="75" t="s">
        <v>121</v>
      </c>
      <c r="DJ217" s="75" t="s">
        <v>121</v>
      </c>
      <c r="DK217" s="75" t="s">
        <v>121</v>
      </c>
      <c r="DL217" s="75" t="s">
        <v>121</v>
      </c>
      <c r="DM217" s="75" t="s">
        <v>121</v>
      </c>
      <c r="DN217" s="75" t="s">
        <v>121</v>
      </c>
      <c r="DO217" s="75" t="s">
        <v>121</v>
      </c>
      <c r="DP217" s="75" t="s">
        <v>121</v>
      </c>
      <c r="DQ217" s="75" t="s">
        <v>121</v>
      </c>
      <c r="DR217" s="75" t="s">
        <v>121</v>
      </c>
      <c r="DS217" s="75" t="s">
        <v>121</v>
      </c>
      <c r="DT217" s="75" t="s">
        <v>121</v>
      </c>
      <c r="DU217" s="75" t="s">
        <v>121</v>
      </c>
      <c r="DV217" s="75" t="s">
        <v>121</v>
      </c>
      <c r="DW217" s="75" t="s">
        <v>121</v>
      </c>
      <c r="DX217" s="75" t="s">
        <v>121</v>
      </c>
      <c r="DY217" s="75" t="s">
        <v>121</v>
      </c>
      <c r="DZ217" s="75" t="s">
        <v>121</v>
      </c>
      <c r="EA217" s="75" t="s">
        <v>121</v>
      </c>
      <c r="EB217" s="75" t="s">
        <v>121</v>
      </c>
      <c r="EC217" s="75" t="s">
        <v>121</v>
      </c>
      <c r="ED217" s="75" t="s">
        <v>121</v>
      </c>
      <c r="EE217" s="75" t="s">
        <v>121</v>
      </c>
      <c r="EF217" s="75" t="s">
        <v>121</v>
      </c>
      <c r="EG217" s="75" t="s">
        <v>121</v>
      </c>
      <c r="EH217" s="75" t="s">
        <v>121</v>
      </c>
      <c r="EI217" s="75" t="s">
        <v>121</v>
      </c>
      <c r="EJ217" s="75" t="s">
        <v>121</v>
      </c>
      <c r="EK217" s="75" t="s">
        <v>121</v>
      </c>
      <c r="EL217" s="75" t="s">
        <v>121</v>
      </c>
      <c r="EM217" s="75" t="s">
        <v>121</v>
      </c>
      <c r="EN217" s="75" t="s">
        <v>121</v>
      </c>
      <c r="EO217" s="75" t="s">
        <v>121</v>
      </c>
      <c r="EP217" s="75" t="s">
        <v>121</v>
      </c>
      <c r="EQ217" s="75" t="s">
        <v>121</v>
      </c>
      <c r="ER217" s="75" t="s">
        <v>121</v>
      </c>
      <c r="ES217" s="75" t="s">
        <v>121</v>
      </c>
      <c r="ET217" s="75" t="s">
        <v>121</v>
      </c>
      <c r="EU217" s="75" t="s">
        <v>121</v>
      </c>
      <c r="EV217" s="75" t="s">
        <v>121</v>
      </c>
      <c r="EW217" s="75" t="s">
        <v>121</v>
      </c>
      <c r="EX217" s="75" t="s">
        <v>121</v>
      </c>
    </row>
    <row r="218" spans="1:154" ht="18.75" customHeight="1" x14ac:dyDescent="0.25">
      <c r="A218" s="72">
        <v>218</v>
      </c>
      <c r="B218" s="73" t="s">
        <v>410</v>
      </c>
      <c r="C218" s="91" t="s">
        <v>121</v>
      </c>
      <c r="D218" s="86" t="s">
        <v>121</v>
      </c>
      <c r="E218" s="92" t="s">
        <v>121</v>
      </c>
      <c r="F218" s="86" t="s">
        <v>121</v>
      </c>
      <c r="G218" s="86" t="s">
        <v>121</v>
      </c>
      <c r="H218" s="86" t="s">
        <v>121</v>
      </c>
      <c r="I218" s="86" t="s">
        <v>121</v>
      </c>
      <c r="J218" s="86" t="s">
        <v>121</v>
      </c>
      <c r="K218" s="86" t="s">
        <v>121</v>
      </c>
      <c r="L218" s="86" t="s">
        <v>121</v>
      </c>
      <c r="M218" s="86" t="s">
        <v>121</v>
      </c>
      <c r="N218" s="86" t="s">
        <v>121</v>
      </c>
      <c r="O218" s="86" t="s">
        <v>121</v>
      </c>
      <c r="P218" s="86" t="s">
        <v>121</v>
      </c>
      <c r="Q218" s="405"/>
      <c r="R218" s="405"/>
      <c r="S218" s="405"/>
      <c r="T218" s="405"/>
      <c r="U218" s="86" t="s">
        <v>121</v>
      </c>
      <c r="V218" s="86" t="s">
        <v>121</v>
      </c>
      <c r="W218" s="319" t="s">
        <v>121</v>
      </c>
      <c r="X218" s="86" t="s">
        <v>121</v>
      </c>
      <c r="Y218" s="86" t="s">
        <v>121</v>
      </c>
      <c r="Z218" s="86" t="s">
        <v>121</v>
      </c>
      <c r="AA218" s="86" t="s">
        <v>121</v>
      </c>
      <c r="AB218" s="86" t="s">
        <v>121</v>
      </c>
      <c r="AC218" s="86" t="s">
        <v>121</v>
      </c>
      <c r="AD218" s="86" t="s">
        <v>121</v>
      </c>
      <c r="AE218" s="86" t="s">
        <v>121</v>
      </c>
      <c r="AF218" s="86" t="s">
        <v>121</v>
      </c>
      <c r="AG218" s="86" t="s">
        <v>121</v>
      </c>
      <c r="AH218" s="86" t="s">
        <v>121</v>
      </c>
      <c r="AI218" s="86" t="s">
        <v>121</v>
      </c>
      <c r="AJ218" s="86" t="s">
        <v>121</v>
      </c>
      <c r="AK218" s="86" t="s">
        <v>121</v>
      </c>
      <c r="AL218" s="86" t="s">
        <v>121</v>
      </c>
      <c r="AM218" s="86" t="s">
        <v>121</v>
      </c>
      <c r="AN218" s="86" t="s">
        <v>121</v>
      </c>
      <c r="AO218" s="86" t="s">
        <v>121</v>
      </c>
      <c r="AP218" s="86" t="s">
        <v>121</v>
      </c>
      <c r="AQ218" s="86" t="s">
        <v>121</v>
      </c>
      <c r="AR218" s="86" t="s">
        <v>121</v>
      </c>
      <c r="AS218" s="86" t="s">
        <v>121</v>
      </c>
      <c r="AT218" s="86" t="s">
        <v>121</v>
      </c>
      <c r="AU218" s="86" t="s">
        <v>121</v>
      </c>
      <c r="AV218" s="86" t="s">
        <v>121</v>
      </c>
      <c r="AW218" s="86" t="s">
        <v>121</v>
      </c>
      <c r="AX218" s="86" t="s">
        <v>121</v>
      </c>
      <c r="AY218" s="77" t="s">
        <v>121</v>
      </c>
      <c r="AZ218" s="55" t="s">
        <v>121</v>
      </c>
      <c r="BA218" s="55" t="s">
        <v>121</v>
      </c>
      <c r="BB218" s="55" t="s">
        <v>121</v>
      </c>
      <c r="BC218" s="55" t="s">
        <v>121</v>
      </c>
      <c r="BD218" s="55" t="s">
        <v>121</v>
      </c>
      <c r="BE218" s="55" t="s">
        <v>121</v>
      </c>
      <c r="BF218" s="55" t="s">
        <v>121</v>
      </c>
      <c r="BG218" s="55" t="s">
        <v>121</v>
      </c>
      <c r="BH218" s="55" t="s">
        <v>121</v>
      </c>
      <c r="BI218" s="55" t="s">
        <v>121</v>
      </c>
      <c r="BJ218" s="55" t="s">
        <v>121</v>
      </c>
      <c r="BK218" s="55" t="s">
        <v>121</v>
      </c>
      <c r="BL218" s="55" t="s">
        <v>121</v>
      </c>
      <c r="BM218" s="1" t="s">
        <v>121</v>
      </c>
      <c r="BN218" s="1" t="s">
        <v>121</v>
      </c>
      <c r="BO218" s="1" t="s">
        <v>121</v>
      </c>
      <c r="BP218" s="1" t="s">
        <v>121</v>
      </c>
      <c r="BQ218" s="1" t="s">
        <v>121</v>
      </c>
      <c r="BR218" s="1" t="s">
        <v>121</v>
      </c>
      <c r="BS218" s="1" t="s">
        <v>121</v>
      </c>
      <c r="BT218" s="1" t="s">
        <v>121</v>
      </c>
      <c r="BU218" s="1" t="s">
        <v>121</v>
      </c>
      <c r="BV218" s="1" t="s">
        <v>121</v>
      </c>
      <c r="BW218" s="1" t="s">
        <v>121</v>
      </c>
      <c r="BX218" s="1" t="s">
        <v>121</v>
      </c>
      <c r="BY218" s="1" t="s">
        <v>121</v>
      </c>
      <c r="BZ218" s="1" t="s">
        <v>121</v>
      </c>
      <c r="CA218" s="1" t="s">
        <v>121</v>
      </c>
      <c r="CB218" s="1" t="s">
        <v>121</v>
      </c>
      <c r="CC218" s="1" t="s">
        <v>121</v>
      </c>
      <c r="CD218" s="1" t="s">
        <v>121</v>
      </c>
      <c r="CE218" s="1" t="s">
        <v>121</v>
      </c>
      <c r="CF218" s="1" t="s">
        <v>121</v>
      </c>
      <c r="CG218" s="1" t="s">
        <v>121</v>
      </c>
      <c r="CH218" s="1" t="s">
        <v>121</v>
      </c>
      <c r="CI218" s="1" t="s">
        <v>121</v>
      </c>
      <c r="CJ218" s="1" t="s">
        <v>121</v>
      </c>
      <c r="CK218" s="1" t="s">
        <v>121</v>
      </c>
      <c r="CL218" s="1" t="s">
        <v>121</v>
      </c>
      <c r="CM218" s="1" t="s">
        <v>121</v>
      </c>
      <c r="CN218" s="1" t="s">
        <v>121</v>
      </c>
      <c r="CO218" s="1" t="s">
        <v>121</v>
      </c>
      <c r="CP218" s="1" t="s">
        <v>121</v>
      </c>
      <c r="CQ218" s="1" t="s">
        <v>121</v>
      </c>
      <c r="CR218" s="1" t="s">
        <v>121</v>
      </c>
      <c r="CS218" s="1" t="s">
        <v>121</v>
      </c>
      <c r="CT218" s="1" t="s">
        <v>121</v>
      </c>
      <c r="CU218" s="1" t="s">
        <v>121</v>
      </c>
      <c r="CV218" s="1" t="s">
        <v>121</v>
      </c>
      <c r="CW218" s="1" t="s">
        <v>121</v>
      </c>
      <c r="CX218" s="1" t="s">
        <v>121</v>
      </c>
      <c r="CY218" s="1" t="s">
        <v>121</v>
      </c>
      <c r="CZ218" s="1" t="s">
        <v>121</v>
      </c>
      <c r="DA218" s="1" t="s">
        <v>121</v>
      </c>
      <c r="DB218" s="1" t="s">
        <v>121</v>
      </c>
      <c r="DC218" s="1" t="s">
        <v>121</v>
      </c>
      <c r="DD218" s="1" t="s">
        <v>121</v>
      </c>
      <c r="DE218" s="1" t="s">
        <v>121</v>
      </c>
      <c r="DF218" s="1" t="s">
        <v>121</v>
      </c>
      <c r="DG218" s="1" t="s">
        <v>121</v>
      </c>
      <c r="DH218" s="1" t="s">
        <v>121</v>
      </c>
      <c r="DI218" s="1" t="s">
        <v>121</v>
      </c>
      <c r="DJ218" s="1" t="s">
        <v>121</v>
      </c>
      <c r="DK218" s="1" t="s">
        <v>121</v>
      </c>
      <c r="DL218" s="1" t="s">
        <v>121</v>
      </c>
      <c r="DM218" s="1" t="s">
        <v>121</v>
      </c>
      <c r="DN218" s="1" t="s">
        <v>121</v>
      </c>
      <c r="DO218" s="1" t="s">
        <v>121</v>
      </c>
      <c r="DP218" s="1" t="s">
        <v>121</v>
      </c>
      <c r="DQ218" s="1" t="s">
        <v>121</v>
      </c>
      <c r="DR218" s="1" t="s">
        <v>121</v>
      </c>
      <c r="DS218" s="1" t="s">
        <v>121</v>
      </c>
      <c r="DT218" s="1" t="s">
        <v>121</v>
      </c>
      <c r="DU218" s="1" t="s">
        <v>121</v>
      </c>
      <c r="DV218" s="1" t="s">
        <v>121</v>
      </c>
      <c r="DW218" s="1" t="s">
        <v>121</v>
      </c>
      <c r="DX218" s="1" t="s">
        <v>121</v>
      </c>
      <c r="DY218" s="1" t="s">
        <v>121</v>
      </c>
      <c r="DZ218" s="1" t="s">
        <v>121</v>
      </c>
      <c r="EA218" s="1" t="s">
        <v>121</v>
      </c>
      <c r="EB218" s="1" t="s">
        <v>121</v>
      </c>
      <c r="EC218" s="1" t="s">
        <v>121</v>
      </c>
      <c r="ED218" s="1" t="s">
        <v>121</v>
      </c>
      <c r="EE218" s="1" t="s">
        <v>121</v>
      </c>
      <c r="EF218" s="1" t="s">
        <v>121</v>
      </c>
      <c r="EG218" s="1" t="s">
        <v>121</v>
      </c>
      <c r="EH218" s="1" t="s">
        <v>121</v>
      </c>
      <c r="EI218" s="1" t="s">
        <v>121</v>
      </c>
      <c r="EJ218" s="1" t="s">
        <v>121</v>
      </c>
      <c r="EK218" s="1" t="s">
        <v>121</v>
      </c>
      <c r="EL218" s="1" t="s">
        <v>121</v>
      </c>
      <c r="EM218" s="1" t="s">
        <v>121</v>
      </c>
      <c r="EN218" s="1" t="s">
        <v>121</v>
      </c>
      <c r="EO218" s="1" t="s">
        <v>121</v>
      </c>
      <c r="EP218" s="1" t="s">
        <v>121</v>
      </c>
      <c r="EQ218" s="1" t="s">
        <v>121</v>
      </c>
      <c r="ER218" s="1" t="s">
        <v>121</v>
      </c>
      <c r="ES218" s="1" t="s">
        <v>121</v>
      </c>
      <c r="ET218" s="1" t="s">
        <v>121</v>
      </c>
      <c r="EU218" s="1" t="s">
        <v>121</v>
      </c>
      <c r="EV218" s="1" t="s">
        <v>121</v>
      </c>
      <c r="EW218" s="1" t="s">
        <v>121</v>
      </c>
      <c r="EX218" s="1" t="s">
        <v>121</v>
      </c>
    </row>
    <row r="219" spans="1:154" x14ac:dyDescent="0.25">
      <c r="A219" s="72">
        <v>219</v>
      </c>
      <c r="B219" s="61" t="s">
        <v>287</v>
      </c>
      <c r="C219" s="91">
        <v>0.52098168870803652</v>
      </c>
      <c r="D219" s="86" t="s">
        <v>121</v>
      </c>
      <c r="E219" s="92">
        <v>0.47794390213764992</v>
      </c>
      <c r="F219" s="77">
        <v>11961</v>
      </c>
      <c r="G219" s="77">
        <v>7864</v>
      </c>
      <c r="H219" s="77">
        <v>7060</v>
      </c>
      <c r="I219" s="77">
        <v>9848</v>
      </c>
      <c r="J219" s="77">
        <v>8093</v>
      </c>
      <c r="K219" s="77">
        <v>7023</v>
      </c>
      <c r="L219" s="77">
        <v>6306</v>
      </c>
      <c r="M219" s="77">
        <v>5828</v>
      </c>
      <c r="N219" s="77">
        <v>2280</v>
      </c>
      <c r="O219" s="77">
        <v>1489</v>
      </c>
      <c r="P219" s="77">
        <v>696</v>
      </c>
      <c r="Q219" s="405"/>
      <c r="R219" s="405"/>
      <c r="S219" s="405"/>
      <c r="T219" s="405"/>
      <c r="U219" s="77">
        <v>1846</v>
      </c>
      <c r="V219" s="77">
        <v>749</v>
      </c>
      <c r="W219" s="77">
        <v>951</v>
      </c>
      <c r="X219" s="77">
        <v>815</v>
      </c>
      <c r="Y219" s="77">
        <v>976.21099999999979</v>
      </c>
      <c r="Z219" s="77">
        <v>1236.8430000000003</v>
      </c>
      <c r="AA219" s="77">
        <v>1295.1029999999998</v>
      </c>
      <c r="AB219" s="77">
        <v>1232.8430000000001</v>
      </c>
      <c r="AC219" s="77">
        <v>1617.6580000000004</v>
      </c>
      <c r="AD219" s="77">
        <v>1791.8250000000003</v>
      </c>
      <c r="AE219" s="77">
        <v>1626.9389999999999</v>
      </c>
      <c r="AF219" s="77">
        <v>2422.357</v>
      </c>
      <c r="AG219" s="77">
        <v>2175.2110000000002</v>
      </c>
      <c r="AH219" s="77">
        <v>2028.5680000000002</v>
      </c>
      <c r="AI219" s="77">
        <v>2283.7470000000003</v>
      </c>
      <c r="AJ219" s="77">
        <v>1885.0029999999999</v>
      </c>
      <c r="AK219" s="77">
        <v>2009.3959999999988</v>
      </c>
      <c r="AL219" s="77">
        <v>2444.813000000001</v>
      </c>
      <c r="AM219" s="77">
        <v>3176.0859999999998</v>
      </c>
      <c r="AN219" s="77">
        <v>2746.4609999999998</v>
      </c>
      <c r="AO219" s="77">
        <v>2338.1679999999997</v>
      </c>
      <c r="AP219" s="77">
        <v>2629.393</v>
      </c>
      <c r="AQ219" s="77">
        <v>3033.3049999999998</v>
      </c>
      <c r="AR219" s="77">
        <v>2777.8359999999998</v>
      </c>
      <c r="AS219" s="77">
        <v>2471.9159999999993</v>
      </c>
      <c r="AT219" s="77">
        <v>2938.1050000000005</v>
      </c>
      <c r="AU219" s="77">
        <v>2950.076</v>
      </c>
      <c r="AV219" s="77">
        <v>2849.5630000000001</v>
      </c>
      <c r="AW219" s="77">
        <v>2108.6940000000004</v>
      </c>
      <c r="AX219" s="77">
        <v>1513.248</v>
      </c>
      <c r="AY219" s="77">
        <v>1462.277</v>
      </c>
      <c r="AZ219" s="77">
        <v>1171.8589999999999</v>
      </c>
      <c r="BA219" s="77">
        <v>1060.134</v>
      </c>
      <c r="BB219" s="77">
        <v>988.71900000000005</v>
      </c>
      <c r="BC219" s="77">
        <v>831.90700000000004</v>
      </c>
      <c r="BD219" s="77">
        <v>689.08</v>
      </c>
      <c r="BE219" s="77">
        <v>796.05799999999999</v>
      </c>
      <c r="BF219" s="77">
        <v>668.54899999999998</v>
      </c>
      <c r="BG219" s="77">
        <v>684.42699999999991</v>
      </c>
      <c r="BH219" s="77">
        <v>357.72899999999998</v>
      </c>
      <c r="BI219" s="77">
        <v>371.012</v>
      </c>
      <c r="BJ219" s="77">
        <v>173.09799999999998</v>
      </c>
      <c r="BK219" s="77">
        <v>171.661</v>
      </c>
      <c r="BL219" s="77">
        <v>70.22</v>
      </c>
      <c r="BM219" s="1">
        <v>68.7349999999999</v>
      </c>
      <c r="BN219" s="1">
        <v>216.67500000000007</v>
      </c>
      <c r="BO219" s="1">
        <v>28.235000000000014</v>
      </c>
      <c r="BP219" s="1">
        <v>299.25599999999997</v>
      </c>
      <c r="BQ219" s="1" t="s">
        <v>121</v>
      </c>
      <c r="BR219" s="1" t="s">
        <v>121</v>
      </c>
      <c r="BS219" s="1" t="s">
        <v>121</v>
      </c>
      <c r="BT219" s="1" t="s">
        <v>121</v>
      </c>
      <c r="BU219" s="1" t="s">
        <v>121</v>
      </c>
      <c r="BV219" s="1" t="s">
        <v>121</v>
      </c>
      <c r="BW219" s="1" t="s">
        <v>121</v>
      </c>
      <c r="BX219" s="1" t="s">
        <v>121</v>
      </c>
      <c r="BY219" s="1" t="s">
        <v>121</v>
      </c>
      <c r="BZ219" s="1" t="s">
        <v>121</v>
      </c>
      <c r="CA219" s="1" t="s">
        <v>121</v>
      </c>
      <c r="CB219" s="1" t="s">
        <v>121</v>
      </c>
      <c r="CC219" s="1" t="s">
        <v>121</v>
      </c>
      <c r="CD219" s="1" t="s">
        <v>121</v>
      </c>
      <c r="CE219" s="1" t="s">
        <v>121</v>
      </c>
      <c r="CF219" s="1" t="s">
        <v>121</v>
      </c>
      <c r="CG219" s="1" t="s">
        <v>121</v>
      </c>
      <c r="CH219" s="1" t="s">
        <v>121</v>
      </c>
      <c r="CI219" s="1" t="s">
        <v>121</v>
      </c>
      <c r="CJ219" s="1" t="s">
        <v>121</v>
      </c>
      <c r="CK219" s="1" t="s">
        <v>121</v>
      </c>
      <c r="CL219" s="1" t="s">
        <v>121</v>
      </c>
      <c r="CM219" s="1" t="s">
        <v>121</v>
      </c>
      <c r="CN219" s="1" t="s">
        <v>121</v>
      </c>
      <c r="CO219" s="1" t="s">
        <v>121</v>
      </c>
      <c r="CP219" s="1" t="s">
        <v>121</v>
      </c>
      <c r="CQ219" s="1" t="s">
        <v>121</v>
      </c>
      <c r="CR219" s="1" t="s">
        <v>121</v>
      </c>
      <c r="CS219" s="1" t="s">
        <v>121</v>
      </c>
      <c r="CT219" s="1" t="s">
        <v>121</v>
      </c>
      <c r="CU219" s="1" t="s">
        <v>121</v>
      </c>
      <c r="CV219" s="1" t="s">
        <v>121</v>
      </c>
      <c r="CW219" s="1" t="s">
        <v>121</v>
      </c>
      <c r="CX219" s="1" t="s">
        <v>121</v>
      </c>
      <c r="CY219" s="1" t="s">
        <v>121</v>
      </c>
      <c r="CZ219" s="1" t="s">
        <v>121</v>
      </c>
      <c r="DA219" s="1" t="s">
        <v>121</v>
      </c>
      <c r="DB219" s="1" t="s">
        <v>121</v>
      </c>
      <c r="DC219" s="1" t="s">
        <v>121</v>
      </c>
      <c r="DD219" s="1" t="s">
        <v>121</v>
      </c>
      <c r="DE219" s="1" t="s">
        <v>121</v>
      </c>
      <c r="DF219" s="1" t="s">
        <v>121</v>
      </c>
      <c r="DG219" s="1" t="s">
        <v>121</v>
      </c>
      <c r="DH219" s="1" t="s">
        <v>121</v>
      </c>
      <c r="DI219" s="1" t="s">
        <v>121</v>
      </c>
      <c r="DJ219" s="1" t="s">
        <v>121</v>
      </c>
      <c r="DK219" s="1" t="s">
        <v>121</v>
      </c>
      <c r="DL219" s="1" t="s">
        <v>121</v>
      </c>
      <c r="DM219" s="1" t="s">
        <v>121</v>
      </c>
      <c r="DN219" s="1" t="s">
        <v>121</v>
      </c>
      <c r="DO219" s="1" t="s">
        <v>121</v>
      </c>
      <c r="DP219" s="1" t="s">
        <v>121</v>
      </c>
      <c r="DQ219" s="1" t="s">
        <v>121</v>
      </c>
      <c r="DR219" s="1" t="s">
        <v>121</v>
      </c>
      <c r="DS219" s="1" t="s">
        <v>121</v>
      </c>
      <c r="DT219" s="1" t="s">
        <v>121</v>
      </c>
      <c r="DU219" s="1" t="s">
        <v>121</v>
      </c>
      <c r="DV219" s="1" t="s">
        <v>121</v>
      </c>
      <c r="DW219" s="1" t="s">
        <v>121</v>
      </c>
      <c r="DX219" s="1" t="s">
        <v>121</v>
      </c>
      <c r="DY219" s="1" t="s">
        <v>121</v>
      </c>
      <c r="DZ219" s="1" t="s">
        <v>121</v>
      </c>
      <c r="EA219" s="1" t="s">
        <v>121</v>
      </c>
      <c r="EB219" s="1" t="s">
        <v>121</v>
      </c>
      <c r="EC219" s="1" t="s">
        <v>121</v>
      </c>
      <c r="ED219" s="1" t="s">
        <v>121</v>
      </c>
      <c r="EE219" s="1" t="s">
        <v>121</v>
      </c>
      <c r="EF219" s="1" t="s">
        <v>121</v>
      </c>
      <c r="EG219" s="1" t="s">
        <v>121</v>
      </c>
      <c r="EH219" s="1" t="s">
        <v>121</v>
      </c>
      <c r="EI219" s="1" t="s">
        <v>121</v>
      </c>
      <c r="EJ219" s="1" t="s">
        <v>121</v>
      </c>
      <c r="EK219" s="1" t="s">
        <v>121</v>
      </c>
      <c r="EL219" s="1" t="s">
        <v>121</v>
      </c>
      <c r="EM219" s="1" t="s">
        <v>121</v>
      </c>
      <c r="EN219" s="1" t="s">
        <v>121</v>
      </c>
      <c r="EO219" s="1" t="s">
        <v>121</v>
      </c>
      <c r="EP219" s="1" t="s">
        <v>121</v>
      </c>
      <c r="EQ219" s="1" t="s">
        <v>121</v>
      </c>
      <c r="ER219" s="1" t="s">
        <v>121</v>
      </c>
      <c r="ES219" s="1" t="s">
        <v>121</v>
      </c>
      <c r="ET219" s="1" t="s">
        <v>121</v>
      </c>
      <c r="EU219" s="1" t="s">
        <v>121</v>
      </c>
      <c r="EV219" s="1" t="s">
        <v>121</v>
      </c>
      <c r="EW219" s="1" t="s">
        <v>121</v>
      </c>
      <c r="EX219" s="1" t="s">
        <v>121</v>
      </c>
    </row>
    <row r="220" spans="1:154" x14ac:dyDescent="0.25">
      <c r="A220" s="72">
        <v>220</v>
      </c>
      <c r="B220" s="136" t="s">
        <v>452</v>
      </c>
      <c r="C220" s="91">
        <v>-6.5990593768371575E-2</v>
      </c>
      <c r="D220" s="86" t="s">
        <v>121</v>
      </c>
      <c r="E220" s="92">
        <v>0.56836130306021726</v>
      </c>
      <c r="F220" s="77">
        <v>6355</v>
      </c>
      <c r="G220" s="77">
        <v>6804</v>
      </c>
      <c r="H220" s="77">
        <v>7201</v>
      </c>
      <c r="I220" s="77">
        <v>5843</v>
      </c>
      <c r="J220" s="77">
        <v>4052</v>
      </c>
      <c r="K220" s="77">
        <v>3472</v>
      </c>
      <c r="L220" s="77">
        <v>3415</v>
      </c>
      <c r="M220" s="77">
        <v>2739</v>
      </c>
      <c r="N220" s="77">
        <v>1437</v>
      </c>
      <c r="O220" s="77">
        <v>1506</v>
      </c>
      <c r="P220" s="77">
        <v>1504</v>
      </c>
      <c r="Q220" s="405"/>
      <c r="R220" s="405"/>
      <c r="S220" s="405"/>
      <c r="T220" s="405"/>
      <c r="U220" s="77">
        <v>1140</v>
      </c>
      <c r="V220" s="77">
        <v>1068</v>
      </c>
      <c r="W220" s="77">
        <v>966</v>
      </c>
      <c r="X220" s="77">
        <v>744</v>
      </c>
      <c r="Y220" s="77">
        <v>715.53900000000021</v>
      </c>
      <c r="Z220" s="77">
        <v>735.78800000000001</v>
      </c>
      <c r="AA220" s="77">
        <v>1073.9049999999997</v>
      </c>
      <c r="AB220" s="77">
        <v>1005.768</v>
      </c>
      <c r="AC220" s="77">
        <v>1164.806</v>
      </c>
      <c r="AD220" s="77">
        <v>1171.0950000000003</v>
      </c>
      <c r="AE220" s="77">
        <v>1319.8909999999998</v>
      </c>
      <c r="AF220" s="77">
        <v>1321.2850000000001</v>
      </c>
      <c r="AG220" s="77">
        <v>1159.1329999999998</v>
      </c>
      <c r="AH220" s="77">
        <v>1147.982</v>
      </c>
      <c r="AI220" s="77">
        <v>1072.2890000000002</v>
      </c>
      <c r="AJ220" s="77">
        <v>1291.636</v>
      </c>
      <c r="AK220" s="77">
        <v>1243.0680000000002</v>
      </c>
      <c r="AL220" s="77">
        <v>1202.4569999999999</v>
      </c>
      <c r="AM220" s="77">
        <v>1265.9139999999998</v>
      </c>
      <c r="AN220" s="77">
        <v>1852.498</v>
      </c>
      <c r="AO220" s="77">
        <v>1473.2640000000001</v>
      </c>
      <c r="AP220" s="77">
        <v>1579.0720000000001</v>
      </c>
      <c r="AQ220" s="77">
        <v>1712.0819999999999</v>
      </c>
      <c r="AR220" s="77">
        <v>1750.7170000000001</v>
      </c>
      <c r="AS220" s="77">
        <v>2056.4109999999991</v>
      </c>
      <c r="AT220" s="77">
        <v>2122.9340000000002</v>
      </c>
      <c r="AU220" s="77">
        <v>2292.4389999999999</v>
      </c>
      <c r="AV220" s="77">
        <v>2164.5430000000001</v>
      </c>
      <c r="AW220" s="77">
        <v>1334.1469999999995</v>
      </c>
      <c r="AX220" s="77">
        <v>1268.4960000000001</v>
      </c>
      <c r="AY220" s="77">
        <v>1155.865</v>
      </c>
      <c r="AZ220" s="77">
        <v>1141.1690000000001</v>
      </c>
      <c r="BA220" s="77">
        <v>1234.0259999999998</v>
      </c>
      <c r="BB220" s="77">
        <v>1276.9010000000003</v>
      </c>
      <c r="BC220" s="77">
        <v>1367.32</v>
      </c>
      <c r="BD220" s="77">
        <v>1286.2349999999999</v>
      </c>
      <c r="BE220" s="77">
        <v>1239.123</v>
      </c>
      <c r="BF220" s="77">
        <v>1313.1280000000002</v>
      </c>
      <c r="BG220" s="77">
        <v>1298.9549999999999</v>
      </c>
      <c r="BH220" s="77">
        <v>1400.5450000000001</v>
      </c>
      <c r="BI220" s="77">
        <v>1211.4659999999999</v>
      </c>
      <c r="BJ220" s="77">
        <v>1126.7820000000002</v>
      </c>
      <c r="BK220" s="77">
        <v>1155.1180000000002</v>
      </c>
      <c r="BL220" s="77">
        <v>1093.9469999999999</v>
      </c>
      <c r="BM220" s="1">
        <v>1128.1499999999996</v>
      </c>
      <c r="BN220" s="1">
        <v>866.75900000000001</v>
      </c>
      <c r="BO220" s="1">
        <v>1307.9360000000001</v>
      </c>
      <c r="BP220" s="1">
        <v>1464.078</v>
      </c>
      <c r="BQ220" s="1" t="s">
        <v>121</v>
      </c>
      <c r="BR220" s="1" t="s">
        <v>121</v>
      </c>
      <c r="BS220" s="1" t="s">
        <v>121</v>
      </c>
      <c r="BT220" s="1" t="s">
        <v>121</v>
      </c>
      <c r="BU220" s="1" t="s">
        <v>121</v>
      </c>
      <c r="BV220" s="1" t="s">
        <v>121</v>
      </c>
      <c r="BW220" s="1" t="s">
        <v>121</v>
      </c>
      <c r="BX220" s="1" t="s">
        <v>121</v>
      </c>
      <c r="BY220" s="1" t="s">
        <v>121</v>
      </c>
      <c r="BZ220" s="1" t="s">
        <v>121</v>
      </c>
      <c r="CA220" s="1" t="s">
        <v>121</v>
      </c>
      <c r="CB220" s="1" t="s">
        <v>121</v>
      </c>
      <c r="CC220" s="1" t="s">
        <v>121</v>
      </c>
      <c r="CD220" s="1" t="s">
        <v>121</v>
      </c>
      <c r="CE220" s="1" t="s">
        <v>121</v>
      </c>
      <c r="CF220" s="1" t="s">
        <v>121</v>
      </c>
      <c r="CG220" s="1" t="s">
        <v>121</v>
      </c>
      <c r="CH220" s="1" t="s">
        <v>121</v>
      </c>
      <c r="CI220" s="1" t="s">
        <v>121</v>
      </c>
      <c r="CJ220" s="1" t="s">
        <v>121</v>
      </c>
      <c r="CK220" s="1" t="s">
        <v>121</v>
      </c>
      <c r="CL220" s="1" t="s">
        <v>121</v>
      </c>
      <c r="CM220" s="1" t="s">
        <v>121</v>
      </c>
      <c r="CN220" s="1" t="s">
        <v>121</v>
      </c>
      <c r="CO220" s="1" t="s">
        <v>121</v>
      </c>
      <c r="CP220" s="1" t="s">
        <v>121</v>
      </c>
      <c r="CQ220" s="1" t="s">
        <v>121</v>
      </c>
      <c r="CR220" s="1" t="s">
        <v>121</v>
      </c>
      <c r="CS220" s="1" t="s">
        <v>121</v>
      </c>
      <c r="CT220" s="1" t="s">
        <v>121</v>
      </c>
      <c r="CU220" s="1" t="s">
        <v>121</v>
      </c>
      <c r="CV220" s="1" t="s">
        <v>121</v>
      </c>
      <c r="CW220" s="1" t="s">
        <v>121</v>
      </c>
      <c r="CX220" s="1" t="s">
        <v>121</v>
      </c>
      <c r="CY220" s="1" t="s">
        <v>121</v>
      </c>
      <c r="CZ220" s="1" t="s">
        <v>121</v>
      </c>
      <c r="DA220" s="1" t="s">
        <v>121</v>
      </c>
      <c r="DB220" s="1" t="s">
        <v>121</v>
      </c>
      <c r="DC220" s="1" t="s">
        <v>121</v>
      </c>
      <c r="DD220" s="1" t="s">
        <v>121</v>
      </c>
      <c r="DE220" s="1" t="s">
        <v>121</v>
      </c>
      <c r="DF220" s="1" t="s">
        <v>121</v>
      </c>
      <c r="DG220" s="1" t="s">
        <v>121</v>
      </c>
      <c r="DH220" s="1" t="s">
        <v>121</v>
      </c>
      <c r="DI220" s="1" t="s">
        <v>121</v>
      </c>
      <c r="DJ220" s="1" t="s">
        <v>121</v>
      </c>
      <c r="DK220" s="1" t="s">
        <v>121</v>
      </c>
      <c r="DL220" s="1" t="s">
        <v>121</v>
      </c>
      <c r="DM220" s="1" t="s">
        <v>121</v>
      </c>
      <c r="DN220" s="1" t="s">
        <v>121</v>
      </c>
      <c r="DO220" s="1" t="s">
        <v>121</v>
      </c>
      <c r="DP220" s="1" t="s">
        <v>121</v>
      </c>
      <c r="DQ220" s="1" t="s">
        <v>121</v>
      </c>
      <c r="DR220" s="1" t="s">
        <v>121</v>
      </c>
      <c r="DS220" s="1" t="s">
        <v>121</v>
      </c>
      <c r="DT220" s="1" t="s">
        <v>121</v>
      </c>
      <c r="DU220" s="1" t="s">
        <v>121</v>
      </c>
      <c r="DV220" s="1" t="s">
        <v>121</v>
      </c>
      <c r="DW220" s="1" t="s">
        <v>121</v>
      </c>
      <c r="DX220" s="1" t="s">
        <v>121</v>
      </c>
      <c r="DY220" s="1" t="s">
        <v>121</v>
      </c>
      <c r="DZ220" s="1" t="s">
        <v>121</v>
      </c>
      <c r="EA220" s="1" t="s">
        <v>121</v>
      </c>
      <c r="EB220" s="1" t="s">
        <v>121</v>
      </c>
      <c r="EC220" s="1" t="s">
        <v>121</v>
      </c>
      <c r="ED220" s="1" t="s">
        <v>121</v>
      </c>
      <c r="EE220" s="1" t="s">
        <v>121</v>
      </c>
      <c r="EF220" s="1" t="s">
        <v>121</v>
      </c>
      <c r="EG220" s="1" t="s">
        <v>121</v>
      </c>
      <c r="EH220" s="1" t="s">
        <v>121</v>
      </c>
      <c r="EI220" s="1" t="s">
        <v>121</v>
      </c>
      <c r="EJ220" s="1" t="s">
        <v>121</v>
      </c>
      <c r="EK220" s="1" t="s">
        <v>121</v>
      </c>
      <c r="EL220" s="1" t="s">
        <v>121</v>
      </c>
      <c r="EM220" s="1" t="s">
        <v>121</v>
      </c>
      <c r="EN220" s="1" t="s">
        <v>121</v>
      </c>
      <c r="EO220" s="1" t="s">
        <v>121</v>
      </c>
      <c r="EP220" s="1" t="s">
        <v>121</v>
      </c>
      <c r="EQ220" s="1" t="s">
        <v>121</v>
      </c>
      <c r="ER220" s="1" t="s">
        <v>121</v>
      </c>
      <c r="ES220" s="1" t="s">
        <v>121</v>
      </c>
      <c r="ET220" s="1" t="s">
        <v>121</v>
      </c>
      <c r="EU220" s="1" t="s">
        <v>121</v>
      </c>
      <c r="EV220" s="1" t="s">
        <v>121</v>
      </c>
      <c r="EW220" s="1" t="s">
        <v>121</v>
      </c>
      <c r="EX220" s="1" t="s">
        <v>121</v>
      </c>
    </row>
    <row r="221" spans="1:154" x14ac:dyDescent="0.25">
      <c r="A221" s="72">
        <v>221</v>
      </c>
      <c r="B221" s="61" t="s">
        <v>453</v>
      </c>
      <c r="C221" s="91">
        <v>5.1174386563443974E-3</v>
      </c>
      <c r="D221" s="86" t="s">
        <v>121</v>
      </c>
      <c r="E221" s="92">
        <v>0.94638546563333747</v>
      </c>
      <c r="F221" s="77">
        <v>15320</v>
      </c>
      <c r="G221" s="77">
        <v>15242</v>
      </c>
      <c r="H221" s="77">
        <v>13930</v>
      </c>
      <c r="I221" s="77">
        <v>10659</v>
      </c>
      <c r="J221" s="77">
        <v>7871</v>
      </c>
      <c r="K221" s="77">
        <v>6770</v>
      </c>
      <c r="L221" s="77">
        <v>6092</v>
      </c>
      <c r="M221" s="77">
        <v>4615</v>
      </c>
      <c r="N221" s="77">
        <v>3259</v>
      </c>
      <c r="O221" s="77">
        <v>2828</v>
      </c>
      <c r="P221" s="77">
        <v>2697</v>
      </c>
      <c r="Q221" s="405"/>
      <c r="R221" s="405"/>
      <c r="S221" s="405"/>
      <c r="T221" s="405"/>
      <c r="U221" s="77">
        <v>1739</v>
      </c>
      <c r="V221" s="77">
        <v>1615</v>
      </c>
      <c r="W221" s="77">
        <v>1527</v>
      </c>
      <c r="X221" s="77">
        <v>1546</v>
      </c>
      <c r="Y221" s="77">
        <v>1686.8209999999999</v>
      </c>
      <c r="Z221" s="77">
        <v>1821.9100000000003</v>
      </c>
      <c r="AA221" s="77">
        <v>1923.2709999999997</v>
      </c>
      <c r="AB221" s="77">
        <v>2107.998</v>
      </c>
      <c r="AC221" s="77">
        <v>2155.8569999999991</v>
      </c>
      <c r="AD221" s="77">
        <v>2520.5720000000001</v>
      </c>
      <c r="AE221" s="77">
        <v>2541.3900000000003</v>
      </c>
      <c r="AF221" s="77">
        <v>2451.4989999999998</v>
      </c>
      <c r="AG221" s="77">
        <v>2191.4479999999994</v>
      </c>
      <c r="AH221" s="77">
        <v>2089.2580000000007</v>
      </c>
      <c r="AI221" s="77">
        <v>2073.9729999999995</v>
      </c>
      <c r="AJ221" s="77">
        <v>2105.0070000000001</v>
      </c>
      <c r="AK221" s="77">
        <v>2117.1229999999996</v>
      </c>
      <c r="AL221" s="77">
        <v>2158.5450000000001</v>
      </c>
      <c r="AM221" s="77">
        <v>2198.4499999999998</v>
      </c>
      <c r="AN221" s="77">
        <v>2181.8879999999999</v>
      </c>
      <c r="AO221" s="77">
        <v>2186.1960000000008</v>
      </c>
      <c r="AP221" s="77">
        <v>2333.585</v>
      </c>
      <c r="AQ221" s="77">
        <v>2352.0999999999995</v>
      </c>
      <c r="AR221" s="77">
        <v>2499.1840000000002</v>
      </c>
      <c r="AS221" s="77">
        <v>2679.4300000000003</v>
      </c>
      <c r="AT221" s="77">
        <v>2715.8190000000004</v>
      </c>
      <c r="AU221" s="77">
        <v>2573.0329999999999</v>
      </c>
      <c r="AV221" s="77">
        <v>2214.5070000000001</v>
      </c>
      <c r="AW221" s="77">
        <v>1316.7860000000001</v>
      </c>
      <c r="AX221" s="77">
        <v>1593.7429999999999</v>
      </c>
      <c r="AY221" s="77">
        <v>1489.634</v>
      </c>
      <c r="AZ221" s="77">
        <v>1526.7249999999999</v>
      </c>
      <c r="BA221" s="77">
        <v>1469.3400000000001</v>
      </c>
      <c r="BB221" s="77">
        <v>1537.2569999999996</v>
      </c>
      <c r="BC221" s="77">
        <v>1460.097</v>
      </c>
      <c r="BD221" s="77">
        <v>1342.403</v>
      </c>
      <c r="BE221" s="77">
        <v>1253.5459999999998</v>
      </c>
      <c r="BF221" s="77">
        <v>1244.4479999999999</v>
      </c>
      <c r="BG221" s="77">
        <v>1213.6500000000001</v>
      </c>
      <c r="BH221" s="77">
        <v>1101.0340000000001</v>
      </c>
      <c r="BI221" s="77">
        <v>980.41100000000006</v>
      </c>
      <c r="BJ221" s="77">
        <v>940.55899999999997</v>
      </c>
      <c r="BK221" s="77">
        <v>890.827</v>
      </c>
      <c r="BL221" s="77">
        <v>933.34799999999996</v>
      </c>
      <c r="BM221" s="1">
        <v>1019.694</v>
      </c>
      <c r="BN221" s="1">
        <v>1067.8580000000002</v>
      </c>
      <c r="BO221" s="1">
        <v>1174.5940000000001</v>
      </c>
      <c r="BP221" s="1">
        <v>1207.587</v>
      </c>
      <c r="BQ221" s="1" t="s">
        <v>121</v>
      </c>
      <c r="BR221" s="1" t="s">
        <v>121</v>
      </c>
      <c r="BS221" s="1" t="s">
        <v>121</v>
      </c>
      <c r="BT221" s="1" t="s">
        <v>121</v>
      </c>
      <c r="BU221" s="1" t="s">
        <v>121</v>
      </c>
      <c r="BV221" s="1" t="s">
        <v>121</v>
      </c>
      <c r="BW221" s="1" t="s">
        <v>121</v>
      </c>
      <c r="BX221" s="1" t="s">
        <v>121</v>
      </c>
      <c r="BY221" s="1" t="s">
        <v>121</v>
      </c>
      <c r="BZ221" s="1" t="s">
        <v>121</v>
      </c>
      <c r="CA221" s="1" t="s">
        <v>121</v>
      </c>
      <c r="CB221" s="1" t="s">
        <v>121</v>
      </c>
      <c r="CC221" s="1" t="s">
        <v>121</v>
      </c>
      <c r="CD221" s="1" t="s">
        <v>121</v>
      </c>
      <c r="CE221" s="1" t="s">
        <v>121</v>
      </c>
      <c r="CF221" s="1" t="s">
        <v>121</v>
      </c>
      <c r="CG221" s="1" t="s">
        <v>121</v>
      </c>
      <c r="CH221" s="1" t="s">
        <v>121</v>
      </c>
      <c r="CI221" s="1" t="s">
        <v>121</v>
      </c>
      <c r="CJ221" s="1" t="s">
        <v>121</v>
      </c>
      <c r="CK221" s="1" t="s">
        <v>121</v>
      </c>
      <c r="CL221" s="1" t="s">
        <v>121</v>
      </c>
      <c r="CM221" s="1" t="s">
        <v>121</v>
      </c>
      <c r="CN221" s="1" t="s">
        <v>121</v>
      </c>
      <c r="CO221" s="1" t="s">
        <v>121</v>
      </c>
      <c r="CP221" s="1" t="s">
        <v>121</v>
      </c>
      <c r="CQ221" s="1" t="s">
        <v>121</v>
      </c>
      <c r="CR221" s="1" t="s">
        <v>121</v>
      </c>
      <c r="CS221" s="1" t="s">
        <v>121</v>
      </c>
      <c r="CT221" s="1" t="s">
        <v>121</v>
      </c>
      <c r="CU221" s="1" t="s">
        <v>121</v>
      </c>
      <c r="CV221" s="1" t="s">
        <v>121</v>
      </c>
      <c r="CW221" s="1" t="s">
        <v>121</v>
      </c>
      <c r="CX221" s="1" t="s">
        <v>121</v>
      </c>
      <c r="CY221" s="1" t="s">
        <v>121</v>
      </c>
      <c r="CZ221" s="1" t="s">
        <v>121</v>
      </c>
      <c r="DA221" s="1" t="s">
        <v>121</v>
      </c>
      <c r="DB221" s="1" t="s">
        <v>121</v>
      </c>
      <c r="DC221" s="1" t="s">
        <v>121</v>
      </c>
      <c r="DD221" s="1" t="s">
        <v>121</v>
      </c>
      <c r="DE221" s="1" t="s">
        <v>121</v>
      </c>
      <c r="DF221" s="1" t="s">
        <v>121</v>
      </c>
      <c r="DG221" s="1" t="s">
        <v>121</v>
      </c>
      <c r="DH221" s="1" t="s">
        <v>121</v>
      </c>
      <c r="DI221" s="1" t="s">
        <v>121</v>
      </c>
      <c r="DJ221" s="1" t="s">
        <v>121</v>
      </c>
      <c r="DK221" s="1" t="s">
        <v>121</v>
      </c>
      <c r="DL221" s="1" t="s">
        <v>121</v>
      </c>
      <c r="DM221" s="1" t="s">
        <v>121</v>
      </c>
      <c r="DN221" s="1" t="s">
        <v>121</v>
      </c>
      <c r="DO221" s="1" t="s">
        <v>121</v>
      </c>
      <c r="DP221" s="1" t="s">
        <v>121</v>
      </c>
      <c r="DQ221" s="1" t="s">
        <v>121</v>
      </c>
      <c r="DR221" s="1" t="s">
        <v>121</v>
      </c>
      <c r="DS221" s="1" t="s">
        <v>121</v>
      </c>
      <c r="DT221" s="1" t="s">
        <v>121</v>
      </c>
      <c r="DU221" s="1" t="s">
        <v>121</v>
      </c>
      <c r="DV221" s="1" t="s">
        <v>121</v>
      </c>
      <c r="DW221" s="1" t="s">
        <v>121</v>
      </c>
      <c r="DX221" s="1" t="s">
        <v>121</v>
      </c>
      <c r="DY221" s="1" t="s">
        <v>121</v>
      </c>
      <c r="DZ221" s="1" t="s">
        <v>121</v>
      </c>
      <c r="EA221" s="1" t="s">
        <v>121</v>
      </c>
      <c r="EB221" s="1" t="s">
        <v>121</v>
      </c>
      <c r="EC221" s="1" t="s">
        <v>121</v>
      </c>
      <c r="ED221" s="1" t="s">
        <v>121</v>
      </c>
      <c r="EE221" s="1" t="s">
        <v>121</v>
      </c>
      <c r="EF221" s="1" t="s">
        <v>121</v>
      </c>
      <c r="EG221" s="1" t="s">
        <v>121</v>
      </c>
      <c r="EH221" s="1" t="s">
        <v>121</v>
      </c>
      <c r="EI221" s="1" t="s">
        <v>121</v>
      </c>
      <c r="EJ221" s="1" t="s">
        <v>121</v>
      </c>
      <c r="EK221" s="1" t="s">
        <v>121</v>
      </c>
      <c r="EL221" s="1" t="s">
        <v>121</v>
      </c>
      <c r="EM221" s="1" t="s">
        <v>121</v>
      </c>
      <c r="EN221" s="1" t="s">
        <v>121</v>
      </c>
      <c r="EO221" s="1" t="s">
        <v>121</v>
      </c>
      <c r="EP221" s="1" t="s">
        <v>121</v>
      </c>
      <c r="EQ221" s="1" t="s">
        <v>121</v>
      </c>
      <c r="ER221" s="1" t="s">
        <v>121</v>
      </c>
      <c r="ES221" s="1" t="s">
        <v>121</v>
      </c>
      <c r="ET221" s="1" t="s">
        <v>121</v>
      </c>
      <c r="EU221" s="1" t="s">
        <v>121</v>
      </c>
      <c r="EV221" s="1" t="s">
        <v>121</v>
      </c>
      <c r="EW221" s="1" t="s">
        <v>121</v>
      </c>
      <c r="EX221" s="1" t="s">
        <v>121</v>
      </c>
    </row>
    <row r="222" spans="1:154" x14ac:dyDescent="0.25">
      <c r="A222" s="72">
        <v>222</v>
      </c>
      <c r="B222" s="61" t="s">
        <v>294</v>
      </c>
      <c r="C222" s="91">
        <v>-0.27272727272727271</v>
      </c>
      <c r="D222" s="86" t="s">
        <v>121</v>
      </c>
      <c r="E222" s="92">
        <v>0.36170212765957444</v>
      </c>
      <c r="F222" s="77">
        <v>64</v>
      </c>
      <c r="G222" s="77">
        <v>88</v>
      </c>
      <c r="H222" s="77">
        <v>164</v>
      </c>
      <c r="I222" s="77">
        <v>58</v>
      </c>
      <c r="J222" s="77">
        <v>47</v>
      </c>
      <c r="K222" s="77">
        <v>47</v>
      </c>
      <c r="L222" s="77">
        <v>49</v>
      </c>
      <c r="M222" s="77">
        <v>50</v>
      </c>
      <c r="N222" s="77">
        <v>44</v>
      </c>
      <c r="O222" s="77">
        <v>29</v>
      </c>
      <c r="P222" s="77">
        <v>35</v>
      </c>
      <c r="Q222" s="405"/>
      <c r="R222" s="405"/>
      <c r="S222" s="405"/>
      <c r="T222" s="405"/>
      <c r="U222" s="77">
        <v>79</v>
      </c>
      <c r="V222" s="77">
        <v>32</v>
      </c>
      <c r="W222" s="77">
        <v>42</v>
      </c>
      <c r="X222" s="77">
        <v>47</v>
      </c>
      <c r="Y222" s="77">
        <v>54.60499999999999</v>
      </c>
      <c r="Z222" s="77">
        <v>82.975000000000023</v>
      </c>
      <c r="AA222" s="77">
        <v>83.802999999999983</v>
      </c>
      <c r="AB222" s="77">
        <v>75.617000000000004</v>
      </c>
      <c r="AC222" s="77">
        <v>72.34899999999999</v>
      </c>
      <c r="AD222" s="77">
        <v>71.365000000000009</v>
      </c>
      <c r="AE222" s="77">
        <v>70.385999999999981</v>
      </c>
      <c r="AF222" s="77">
        <v>74.117000000000004</v>
      </c>
      <c r="AG222" s="77">
        <v>82.61699999999999</v>
      </c>
      <c r="AH222" s="77">
        <v>72.080000000000013</v>
      </c>
      <c r="AI222" s="77">
        <v>78.254999999999995</v>
      </c>
      <c r="AJ222" s="77">
        <v>78.581999999999994</v>
      </c>
      <c r="AK222" s="77">
        <v>81.895999999999987</v>
      </c>
      <c r="AL222" s="77">
        <v>71.013999999999982</v>
      </c>
      <c r="AM222" s="77">
        <v>76.478000000000009</v>
      </c>
      <c r="AN222" s="77">
        <v>76.625</v>
      </c>
      <c r="AO222" s="77">
        <v>82.963000000000022</v>
      </c>
      <c r="AP222" s="77">
        <v>78.005999999999972</v>
      </c>
      <c r="AQ222" s="77">
        <v>112.506</v>
      </c>
      <c r="AR222" s="77">
        <v>169.04400000000001</v>
      </c>
      <c r="AS222" s="77">
        <v>175.41599999999994</v>
      </c>
      <c r="AT222" s="77">
        <v>158.56300000000005</v>
      </c>
      <c r="AU222" s="77">
        <v>130.68499999999997</v>
      </c>
      <c r="AV222" s="77">
        <v>160.477</v>
      </c>
      <c r="AW222" s="77">
        <v>148.52500000000003</v>
      </c>
      <c r="AX222" s="77">
        <v>102.48699999999999</v>
      </c>
      <c r="AY222" s="77">
        <v>100.02199999999999</v>
      </c>
      <c r="AZ222" s="77">
        <v>96.344999999999999</v>
      </c>
      <c r="BA222" s="77">
        <v>112.762</v>
      </c>
      <c r="BB222" s="77">
        <v>86.646000000000001</v>
      </c>
      <c r="BC222" s="77">
        <v>70.551000000000016</v>
      </c>
      <c r="BD222" s="77">
        <v>48.482999999999997</v>
      </c>
      <c r="BE222" s="77">
        <v>62.110000000000014</v>
      </c>
      <c r="BF222" s="77">
        <v>79.024999999999977</v>
      </c>
      <c r="BG222" s="77">
        <v>104.66</v>
      </c>
      <c r="BH222" s="77">
        <v>106.66200000000001</v>
      </c>
      <c r="BI222" s="77">
        <v>146.77199999999993</v>
      </c>
      <c r="BJ222" s="77">
        <v>155.93200000000002</v>
      </c>
      <c r="BK222" s="77">
        <v>134.04</v>
      </c>
      <c r="BL222" s="77">
        <v>153.60400000000001</v>
      </c>
      <c r="BM222" s="1">
        <v>144.09200000000004</v>
      </c>
      <c r="BN222" s="1">
        <v>159.81</v>
      </c>
      <c r="BO222" s="1">
        <v>155.547</v>
      </c>
      <c r="BP222" s="1">
        <v>96.381</v>
      </c>
      <c r="BQ222" s="1" t="s">
        <v>121</v>
      </c>
      <c r="BR222" s="1" t="s">
        <v>121</v>
      </c>
      <c r="BS222" s="1" t="s">
        <v>121</v>
      </c>
      <c r="BT222" s="1" t="s">
        <v>121</v>
      </c>
      <c r="BU222" s="1" t="s">
        <v>121</v>
      </c>
      <c r="BV222" s="1" t="s">
        <v>121</v>
      </c>
      <c r="BW222" s="1" t="s">
        <v>121</v>
      </c>
      <c r="BX222" s="1" t="s">
        <v>121</v>
      </c>
      <c r="BY222" s="1" t="s">
        <v>121</v>
      </c>
      <c r="BZ222" s="1" t="s">
        <v>121</v>
      </c>
      <c r="CA222" s="1" t="s">
        <v>121</v>
      </c>
      <c r="CB222" s="1" t="s">
        <v>121</v>
      </c>
      <c r="CC222" s="1" t="s">
        <v>121</v>
      </c>
      <c r="CD222" s="1" t="s">
        <v>121</v>
      </c>
      <c r="CE222" s="1" t="s">
        <v>121</v>
      </c>
      <c r="CF222" s="1" t="s">
        <v>121</v>
      </c>
      <c r="CG222" s="1" t="s">
        <v>121</v>
      </c>
      <c r="CH222" s="1" t="s">
        <v>121</v>
      </c>
      <c r="CI222" s="1" t="s">
        <v>121</v>
      </c>
      <c r="CJ222" s="1" t="s">
        <v>121</v>
      </c>
      <c r="CK222" s="1" t="s">
        <v>121</v>
      </c>
      <c r="CL222" s="1" t="s">
        <v>121</v>
      </c>
      <c r="CM222" s="1" t="s">
        <v>121</v>
      </c>
      <c r="CN222" s="1" t="s">
        <v>121</v>
      </c>
      <c r="CO222" s="1" t="s">
        <v>121</v>
      </c>
      <c r="CP222" s="1" t="s">
        <v>121</v>
      </c>
      <c r="CQ222" s="1" t="s">
        <v>121</v>
      </c>
      <c r="CR222" s="1" t="s">
        <v>121</v>
      </c>
      <c r="CS222" s="1" t="s">
        <v>121</v>
      </c>
      <c r="CT222" s="1" t="s">
        <v>121</v>
      </c>
      <c r="CU222" s="1" t="s">
        <v>121</v>
      </c>
      <c r="CV222" s="1" t="s">
        <v>121</v>
      </c>
      <c r="CW222" s="1" t="s">
        <v>121</v>
      </c>
      <c r="CX222" s="1" t="s">
        <v>121</v>
      </c>
      <c r="CY222" s="1" t="s">
        <v>121</v>
      </c>
      <c r="CZ222" s="1" t="s">
        <v>121</v>
      </c>
      <c r="DA222" s="1" t="s">
        <v>121</v>
      </c>
      <c r="DB222" s="1" t="s">
        <v>121</v>
      </c>
      <c r="DC222" s="1" t="s">
        <v>121</v>
      </c>
      <c r="DD222" s="1" t="s">
        <v>121</v>
      </c>
      <c r="DE222" s="1" t="s">
        <v>121</v>
      </c>
      <c r="DF222" s="1" t="s">
        <v>121</v>
      </c>
      <c r="DG222" s="1" t="s">
        <v>121</v>
      </c>
      <c r="DH222" s="1" t="s">
        <v>121</v>
      </c>
      <c r="DI222" s="1" t="s">
        <v>121</v>
      </c>
      <c r="DJ222" s="1" t="s">
        <v>121</v>
      </c>
      <c r="DK222" s="1" t="s">
        <v>121</v>
      </c>
      <c r="DL222" s="1" t="s">
        <v>121</v>
      </c>
      <c r="DM222" s="1" t="s">
        <v>121</v>
      </c>
      <c r="DN222" s="1" t="s">
        <v>121</v>
      </c>
      <c r="DO222" s="1" t="s">
        <v>121</v>
      </c>
      <c r="DP222" s="1" t="s">
        <v>121</v>
      </c>
      <c r="DQ222" s="1" t="s">
        <v>121</v>
      </c>
      <c r="DR222" s="1" t="s">
        <v>121</v>
      </c>
      <c r="DS222" s="1" t="s">
        <v>121</v>
      </c>
      <c r="DT222" s="1" t="s">
        <v>121</v>
      </c>
      <c r="DU222" s="1" t="s">
        <v>121</v>
      </c>
      <c r="DV222" s="1" t="s">
        <v>121</v>
      </c>
      <c r="DW222" s="1" t="s">
        <v>121</v>
      </c>
      <c r="DX222" s="1" t="s">
        <v>121</v>
      </c>
      <c r="DY222" s="1" t="s">
        <v>121</v>
      </c>
      <c r="DZ222" s="1" t="s">
        <v>121</v>
      </c>
      <c r="EA222" s="1" t="s">
        <v>121</v>
      </c>
      <c r="EB222" s="1" t="s">
        <v>121</v>
      </c>
      <c r="EC222" s="1" t="s">
        <v>121</v>
      </c>
      <c r="ED222" s="1" t="s">
        <v>121</v>
      </c>
      <c r="EE222" s="1" t="s">
        <v>121</v>
      </c>
      <c r="EF222" s="1" t="s">
        <v>121</v>
      </c>
      <c r="EG222" s="1" t="s">
        <v>121</v>
      </c>
      <c r="EH222" s="1" t="s">
        <v>121</v>
      </c>
      <c r="EI222" s="1" t="s">
        <v>121</v>
      </c>
      <c r="EJ222" s="1" t="s">
        <v>121</v>
      </c>
      <c r="EK222" s="1" t="s">
        <v>121</v>
      </c>
      <c r="EL222" s="1" t="s">
        <v>121</v>
      </c>
      <c r="EM222" s="1" t="s">
        <v>121</v>
      </c>
      <c r="EN222" s="1" t="s">
        <v>121</v>
      </c>
      <c r="EO222" s="1" t="s">
        <v>121</v>
      </c>
      <c r="EP222" s="1" t="s">
        <v>121</v>
      </c>
      <c r="EQ222" s="1" t="s">
        <v>121</v>
      </c>
      <c r="ER222" s="1" t="s">
        <v>121</v>
      </c>
      <c r="ES222" s="1" t="s">
        <v>121</v>
      </c>
      <c r="ET222" s="1" t="s">
        <v>121</v>
      </c>
      <c r="EU222" s="1" t="s">
        <v>121</v>
      </c>
      <c r="EV222" s="1" t="s">
        <v>121</v>
      </c>
      <c r="EW222" s="1" t="s">
        <v>121</v>
      </c>
      <c r="EX222" s="1" t="s">
        <v>121</v>
      </c>
    </row>
    <row r="223" spans="1:154" x14ac:dyDescent="0.25">
      <c r="A223" s="72">
        <v>223</v>
      </c>
      <c r="B223" s="61" t="s">
        <v>372</v>
      </c>
      <c r="C223" s="91">
        <v>-0.33913043478260874</v>
      </c>
      <c r="D223" s="86" t="s">
        <v>121</v>
      </c>
      <c r="E223" s="92">
        <v>0.18222222222222229</v>
      </c>
      <c r="F223" s="77">
        <v>532</v>
      </c>
      <c r="G223" s="77">
        <v>805</v>
      </c>
      <c r="H223" s="77">
        <v>560</v>
      </c>
      <c r="I223" s="77">
        <v>570</v>
      </c>
      <c r="J223" s="77">
        <v>450</v>
      </c>
      <c r="K223" s="77">
        <v>323</v>
      </c>
      <c r="L223" s="77">
        <v>324</v>
      </c>
      <c r="M223" s="77">
        <v>284</v>
      </c>
      <c r="N223" s="77">
        <v>187</v>
      </c>
      <c r="O223" s="77">
        <v>96</v>
      </c>
      <c r="P223" s="77">
        <v>80</v>
      </c>
      <c r="Q223" s="405"/>
      <c r="R223" s="405"/>
      <c r="S223" s="405"/>
      <c r="T223" s="405"/>
      <c r="U223" s="77">
        <v>49</v>
      </c>
      <c r="V223" s="77">
        <v>77</v>
      </c>
      <c r="W223" s="77">
        <v>76</v>
      </c>
      <c r="X223" s="77">
        <v>64</v>
      </c>
      <c r="Y223" s="77">
        <v>51.34899999999999</v>
      </c>
      <c r="Z223" s="77">
        <v>50.063000000000017</v>
      </c>
      <c r="AA223" s="77">
        <v>43.485999999999997</v>
      </c>
      <c r="AB223" s="77">
        <v>47.101999999999997</v>
      </c>
      <c r="AC223" s="77">
        <v>63.853999999999999</v>
      </c>
      <c r="AD223" s="77">
        <v>49.573999999999998</v>
      </c>
      <c r="AE223" s="77">
        <v>35.351999999999997</v>
      </c>
      <c r="AF223" s="77">
        <v>34.6</v>
      </c>
      <c r="AG223" s="77">
        <v>38.376999999999995</v>
      </c>
      <c r="AH223" s="77">
        <v>3.9590000000000032</v>
      </c>
      <c r="AI223" s="77">
        <v>52.298000000000002</v>
      </c>
      <c r="AJ223" s="77">
        <v>52.116</v>
      </c>
      <c r="AK223" s="77">
        <v>48.923000000000002</v>
      </c>
      <c r="AL223" s="77">
        <v>47.628999999999962</v>
      </c>
      <c r="AM223" s="77">
        <v>117.51000000000002</v>
      </c>
      <c r="AN223" s="77">
        <v>190.89099999999999</v>
      </c>
      <c r="AO223" s="77">
        <v>268.28699999999998</v>
      </c>
      <c r="AP223" s="77">
        <v>248.69300000000001</v>
      </c>
      <c r="AQ223" s="77">
        <v>118.70000000000002</v>
      </c>
      <c r="AR223" s="77">
        <v>90.617999999999995</v>
      </c>
      <c r="AS223" s="77">
        <v>62.594999999999999</v>
      </c>
      <c r="AT223" s="77">
        <v>55.544000000000011</v>
      </c>
      <c r="AU223" s="77">
        <v>55.803999999999988</v>
      </c>
      <c r="AV223" s="77">
        <v>74.396000000000001</v>
      </c>
      <c r="AW223" s="77">
        <v>58.772999999999996</v>
      </c>
      <c r="AX223" s="77">
        <v>50.540000000000006</v>
      </c>
      <c r="AY223" s="77">
        <v>61.542999999999999</v>
      </c>
      <c r="AZ223" s="77">
        <v>50.079000000000001</v>
      </c>
      <c r="BA223" s="77">
        <v>62.819000000000003</v>
      </c>
      <c r="BB223" s="77">
        <v>35.070999999999998</v>
      </c>
      <c r="BC223" s="77">
        <v>34.651000000000003</v>
      </c>
      <c r="BD223" s="77">
        <v>49.220999999999997</v>
      </c>
      <c r="BE223" s="77">
        <v>67.180000000000007</v>
      </c>
      <c r="BF223" s="77">
        <v>66.784999999999997</v>
      </c>
      <c r="BG223" s="77">
        <v>133.779</v>
      </c>
      <c r="BH223" s="77">
        <v>70.355000000000004</v>
      </c>
      <c r="BI223" s="77">
        <v>37.850999999999985</v>
      </c>
      <c r="BJ223" s="77">
        <v>37.347000000000008</v>
      </c>
      <c r="BK223" s="77">
        <v>40.150999999999996</v>
      </c>
      <c r="BL223" s="77">
        <v>27.071000000000002</v>
      </c>
      <c r="BM223" s="1">
        <v>27.500999999999991</v>
      </c>
      <c r="BN223" s="1">
        <v>45.400999999999996</v>
      </c>
      <c r="BO223" s="1">
        <v>21.896000000000001</v>
      </c>
      <c r="BP223" s="1">
        <v>49.17</v>
      </c>
      <c r="BQ223" s="1" t="s">
        <v>121</v>
      </c>
      <c r="BR223" s="1" t="s">
        <v>121</v>
      </c>
      <c r="BS223" s="1" t="s">
        <v>121</v>
      </c>
      <c r="BT223" s="1" t="s">
        <v>121</v>
      </c>
      <c r="BU223" s="1" t="s">
        <v>121</v>
      </c>
      <c r="BV223" s="1" t="s">
        <v>121</v>
      </c>
      <c r="BW223" s="1" t="s">
        <v>121</v>
      </c>
      <c r="BX223" s="1" t="s">
        <v>121</v>
      </c>
      <c r="BY223" s="1" t="s">
        <v>121</v>
      </c>
      <c r="BZ223" s="1" t="s">
        <v>121</v>
      </c>
      <c r="CA223" s="1" t="s">
        <v>121</v>
      </c>
      <c r="CB223" s="1" t="s">
        <v>121</v>
      </c>
      <c r="CC223" s="1" t="s">
        <v>121</v>
      </c>
      <c r="CD223" s="1" t="s">
        <v>121</v>
      </c>
      <c r="CE223" s="1" t="s">
        <v>121</v>
      </c>
      <c r="CF223" s="1" t="s">
        <v>121</v>
      </c>
      <c r="CG223" s="1" t="s">
        <v>121</v>
      </c>
      <c r="CH223" s="1" t="s">
        <v>121</v>
      </c>
      <c r="CI223" s="1" t="s">
        <v>121</v>
      </c>
      <c r="CJ223" s="1" t="s">
        <v>121</v>
      </c>
      <c r="CK223" s="1" t="s">
        <v>121</v>
      </c>
      <c r="CL223" s="1" t="s">
        <v>121</v>
      </c>
      <c r="CM223" s="1" t="s">
        <v>121</v>
      </c>
      <c r="CN223" s="1" t="s">
        <v>121</v>
      </c>
      <c r="CO223" s="1" t="s">
        <v>121</v>
      </c>
      <c r="CP223" s="1" t="s">
        <v>121</v>
      </c>
      <c r="CQ223" s="1" t="s">
        <v>121</v>
      </c>
      <c r="CR223" s="1" t="s">
        <v>121</v>
      </c>
      <c r="CS223" s="1" t="s">
        <v>121</v>
      </c>
      <c r="CT223" s="1" t="s">
        <v>121</v>
      </c>
      <c r="CU223" s="1" t="s">
        <v>121</v>
      </c>
      <c r="CV223" s="1" t="s">
        <v>121</v>
      </c>
      <c r="CW223" s="1" t="s">
        <v>121</v>
      </c>
      <c r="CX223" s="1" t="s">
        <v>121</v>
      </c>
      <c r="CY223" s="1" t="s">
        <v>121</v>
      </c>
      <c r="CZ223" s="1" t="s">
        <v>121</v>
      </c>
      <c r="DA223" s="1" t="s">
        <v>121</v>
      </c>
      <c r="DB223" s="1" t="s">
        <v>121</v>
      </c>
      <c r="DC223" s="1" t="s">
        <v>121</v>
      </c>
      <c r="DD223" s="1" t="s">
        <v>121</v>
      </c>
      <c r="DE223" s="1" t="s">
        <v>121</v>
      </c>
      <c r="DF223" s="1" t="s">
        <v>121</v>
      </c>
      <c r="DG223" s="1" t="s">
        <v>121</v>
      </c>
      <c r="DH223" s="1" t="s">
        <v>121</v>
      </c>
      <c r="DI223" s="1" t="s">
        <v>121</v>
      </c>
      <c r="DJ223" s="1" t="s">
        <v>121</v>
      </c>
      <c r="DK223" s="1" t="s">
        <v>121</v>
      </c>
      <c r="DL223" s="1" t="s">
        <v>121</v>
      </c>
      <c r="DM223" s="1" t="s">
        <v>121</v>
      </c>
      <c r="DN223" s="1" t="s">
        <v>121</v>
      </c>
      <c r="DO223" s="1" t="s">
        <v>121</v>
      </c>
      <c r="DP223" s="1" t="s">
        <v>121</v>
      </c>
      <c r="DQ223" s="1" t="s">
        <v>121</v>
      </c>
      <c r="DR223" s="1" t="s">
        <v>121</v>
      </c>
      <c r="DS223" s="1" t="s">
        <v>121</v>
      </c>
      <c r="DT223" s="1" t="s">
        <v>121</v>
      </c>
      <c r="DU223" s="1" t="s">
        <v>121</v>
      </c>
      <c r="DV223" s="1" t="s">
        <v>121</v>
      </c>
      <c r="DW223" s="1" t="s">
        <v>121</v>
      </c>
      <c r="DX223" s="1" t="s">
        <v>121</v>
      </c>
      <c r="DY223" s="1" t="s">
        <v>121</v>
      </c>
      <c r="DZ223" s="1" t="s">
        <v>121</v>
      </c>
      <c r="EA223" s="1" t="s">
        <v>121</v>
      </c>
      <c r="EB223" s="1" t="s">
        <v>121</v>
      </c>
      <c r="EC223" s="1" t="s">
        <v>121</v>
      </c>
      <c r="ED223" s="1" t="s">
        <v>121</v>
      </c>
      <c r="EE223" s="1" t="s">
        <v>121</v>
      </c>
      <c r="EF223" s="1" t="s">
        <v>121</v>
      </c>
      <c r="EG223" s="1" t="s">
        <v>121</v>
      </c>
      <c r="EH223" s="1" t="s">
        <v>121</v>
      </c>
      <c r="EI223" s="1" t="s">
        <v>121</v>
      </c>
      <c r="EJ223" s="1" t="s">
        <v>121</v>
      </c>
      <c r="EK223" s="1" t="s">
        <v>121</v>
      </c>
      <c r="EL223" s="1" t="s">
        <v>121</v>
      </c>
      <c r="EM223" s="1" t="s">
        <v>121</v>
      </c>
      <c r="EN223" s="1" t="s">
        <v>121</v>
      </c>
      <c r="EO223" s="1" t="s">
        <v>121</v>
      </c>
      <c r="EP223" s="1" t="s">
        <v>121</v>
      </c>
      <c r="EQ223" s="1" t="s">
        <v>121</v>
      </c>
      <c r="ER223" s="1" t="s">
        <v>121</v>
      </c>
      <c r="ES223" s="1" t="s">
        <v>121</v>
      </c>
      <c r="ET223" s="1" t="s">
        <v>121</v>
      </c>
      <c r="EU223" s="1" t="s">
        <v>121</v>
      </c>
      <c r="EV223" s="1" t="s">
        <v>121</v>
      </c>
      <c r="EW223" s="1" t="s">
        <v>121</v>
      </c>
      <c r="EX223" s="1" t="s">
        <v>121</v>
      </c>
    </row>
    <row r="224" spans="1:154" x14ac:dyDescent="0.25">
      <c r="A224" s="72">
        <v>224</v>
      </c>
      <c r="B224" s="61" t="s">
        <v>293</v>
      </c>
      <c r="C224" s="91" t="s">
        <v>121</v>
      </c>
      <c r="D224" s="86" t="s">
        <v>121</v>
      </c>
      <c r="E224" s="92" t="s">
        <v>121</v>
      </c>
      <c r="F224" s="77" t="s">
        <v>121</v>
      </c>
      <c r="G224" s="77" t="s">
        <v>121</v>
      </c>
      <c r="H224" s="77" t="s">
        <v>121</v>
      </c>
      <c r="I224" s="77" t="s">
        <v>121</v>
      </c>
      <c r="J224" s="77" t="s">
        <v>121</v>
      </c>
      <c r="K224" s="77" t="s">
        <v>121</v>
      </c>
      <c r="L224" s="77" t="s">
        <v>121</v>
      </c>
      <c r="M224" s="77" t="s">
        <v>121</v>
      </c>
      <c r="N224" s="77" t="s">
        <v>121</v>
      </c>
      <c r="O224" s="77">
        <v>12</v>
      </c>
      <c r="P224" s="77">
        <v>18</v>
      </c>
      <c r="Q224" s="405"/>
      <c r="R224" s="405"/>
      <c r="S224" s="405"/>
      <c r="T224" s="405"/>
      <c r="U224" s="77">
        <v>38</v>
      </c>
      <c r="V224" s="77">
        <v>43</v>
      </c>
      <c r="W224" s="77">
        <v>51</v>
      </c>
      <c r="X224" s="77">
        <v>60</v>
      </c>
      <c r="Y224" s="77">
        <v>73.420999999999992</v>
      </c>
      <c r="Z224" s="77">
        <v>84.753000000000014</v>
      </c>
      <c r="AA224" s="77">
        <v>96.3</v>
      </c>
      <c r="AB224" s="77">
        <v>108.526</v>
      </c>
      <c r="AC224" s="77">
        <v>96.426000000000045</v>
      </c>
      <c r="AD224" s="77">
        <v>140.375</v>
      </c>
      <c r="AE224" s="77">
        <v>195.22399999999999</v>
      </c>
      <c r="AF224" s="77">
        <v>341.11700000000002</v>
      </c>
      <c r="AG224" s="77">
        <v>261.52699999999993</v>
      </c>
      <c r="AH224" s="77">
        <v>207.92100000000005</v>
      </c>
      <c r="AI224" s="77">
        <v>187.16399999999999</v>
      </c>
      <c r="AJ224" s="77">
        <v>176.43299999999999</v>
      </c>
      <c r="AK224" s="77">
        <v>372.81600000000003</v>
      </c>
      <c r="AL224" s="77">
        <v>205.68700000000001</v>
      </c>
      <c r="AM224" s="77">
        <v>257.125</v>
      </c>
      <c r="AN224" s="77">
        <v>361.65899999999999</v>
      </c>
      <c r="AO224" s="77">
        <v>393.30600000000004</v>
      </c>
      <c r="AP224" s="77">
        <v>408.58799999999997</v>
      </c>
      <c r="AQ224" s="77">
        <v>431.82</v>
      </c>
      <c r="AR224" s="77">
        <v>510.815</v>
      </c>
      <c r="AS224" s="77">
        <v>523.58999999999992</v>
      </c>
      <c r="AT224" s="77">
        <v>614.61200000000008</v>
      </c>
      <c r="AU224" s="77">
        <v>428.6629999999999</v>
      </c>
      <c r="AV224" s="77">
        <v>624.78399999999999</v>
      </c>
      <c r="AW224" s="77">
        <v>557.54500000000007</v>
      </c>
      <c r="AX224" s="77">
        <v>519.08399999999995</v>
      </c>
      <c r="AY224" s="77">
        <v>468.75299999999999</v>
      </c>
      <c r="AZ224" s="77">
        <v>487.791</v>
      </c>
      <c r="BA224" s="77">
        <v>448.31099999999992</v>
      </c>
      <c r="BB224" s="77">
        <v>419.95000000000016</v>
      </c>
      <c r="BC224" s="77">
        <v>398.42099999999994</v>
      </c>
      <c r="BD224" s="77">
        <v>393.48</v>
      </c>
      <c r="BE224" s="77">
        <v>406.60200000000009</v>
      </c>
      <c r="BF224" s="77">
        <v>256.02499999999998</v>
      </c>
      <c r="BG224" s="77">
        <v>272.524</v>
      </c>
      <c r="BH224" s="77">
        <v>246.21199999999999</v>
      </c>
      <c r="BI224" s="77">
        <v>269.16999999999996</v>
      </c>
      <c r="BJ224" s="77">
        <v>343.61400000000003</v>
      </c>
      <c r="BK224" s="77">
        <v>336.74900000000002</v>
      </c>
      <c r="BL224" s="77">
        <v>335.27499999999998</v>
      </c>
      <c r="BM224" s="1">
        <v>292.48499999999996</v>
      </c>
      <c r="BN224" s="1">
        <v>187.86699999999999</v>
      </c>
      <c r="BO224" s="1">
        <v>172.697</v>
      </c>
      <c r="BP224" s="1">
        <v>76.381</v>
      </c>
      <c r="BQ224" s="1" t="s">
        <v>121</v>
      </c>
      <c r="BR224" s="1" t="s">
        <v>121</v>
      </c>
      <c r="BS224" s="1" t="s">
        <v>121</v>
      </c>
      <c r="BT224" s="1" t="s">
        <v>121</v>
      </c>
      <c r="BU224" s="1" t="s">
        <v>121</v>
      </c>
      <c r="BV224" s="1" t="s">
        <v>121</v>
      </c>
      <c r="BW224" s="1" t="s">
        <v>121</v>
      </c>
      <c r="BX224" s="1" t="s">
        <v>121</v>
      </c>
      <c r="BY224" s="1" t="s">
        <v>121</v>
      </c>
      <c r="BZ224" s="1" t="s">
        <v>121</v>
      </c>
      <c r="CA224" s="1" t="s">
        <v>121</v>
      </c>
      <c r="CB224" s="1" t="s">
        <v>121</v>
      </c>
      <c r="CC224" s="1" t="s">
        <v>121</v>
      </c>
      <c r="CD224" s="1" t="s">
        <v>121</v>
      </c>
      <c r="CE224" s="1" t="s">
        <v>121</v>
      </c>
      <c r="CF224" s="1" t="s">
        <v>121</v>
      </c>
      <c r="CG224" s="1" t="s">
        <v>121</v>
      </c>
      <c r="CH224" s="1" t="s">
        <v>121</v>
      </c>
      <c r="CI224" s="1" t="s">
        <v>121</v>
      </c>
      <c r="CJ224" s="1" t="s">
        <v>121</v>
      </c>
      <c r="CK224" s="1" t="s">
        <v>121</v>
      </c>
      <c r="CL224" s="1" t="s">
        <v>121</v>
      </c>
      <c r="CM224" s="1" t="s">
        <v>121</v>
      </c>
      <c r="CN224" s="1" t="s">
        <v>121</v>
      </c>
      <c r="CO224" s="1" t="s">
        <v>121</v>
      </c>
      <c r="CP224" s="1" t="s">
        <v>121</v>
      </c>
      <c r="CQ224" s="1" t="s">
        <v>121</v>
      </c>
      <c r="CR224" s="1" t="s">
        <v>121</v>
      </c>
      <c r="CS224" s="1" t="s">
        <v>121</v>
      </c>
      <c r="CT224" s="1" t="s">
        <v>121</v>
      </c>
      <c r="CU224" s="1" t="s">
        <v>121</v>
      </c>
      <c r="CV224" s="1" t="s">
        <v>121</v>
      </c>
      <c r="CW224" s="1" t="s">
        <v>121</v>
      </c>
      <c r="CX224" s="1" t="s">
        <v>121</v>
      </c>
      <c r="CY224" s="1" t="s">
        <v>121</v>
      </c>
      <c r="CZ224" s="1" t="s">
        <v>121</v>
      </c>
      <c r="DA224" s="1" t="s">
        <v>121</v>
      </c>
      <c r="DB224" s="1" t="s">
        <v>121</v>
      </c>
      <c r="DC224" s="1" t="s">
        <v>121</v>
      </c>
      <c r="DD224" s="1" t="s">
        <v>121</v>
      </c>
      <c r="DE224" s="1" t="s">
        <v>121</v>
      </c>
      <c r="DF224" s="1" t="s">
        <v>121</v>
      </c>
      <c r="DG224" s="1" t="s">
        <v>121</v>
      </c>
      <c r="DH224" s="1" t="s">
        <v>121</v>
      </c>
      <c r="DI224" s="1" t="s">
        <v>121</v>
      </c>
      <c r="DJ224" s="1" t="s">
        <v>121</v>
      </c>
      <c r="DK224" s="1" t="s">
        <v>121</v>
      </c>
      <c r="DL224" s="1" t="s">
        <v>121</v>
      </c>
      <c r="DM224" s="1" t="s">
        <v>121</v>
      </c>
      <c r="DN224" s="1" t="s">
        <v>121</v>
      </c>
      <c r="DO224" s="1" t="s">
        <v>121</v>
      </c>
      <c r="DP224" s="1" t="s">
        <v>121</v>
      </c>
      <c r="DQ224" s="1" t="s">
        <v>121</v>
      </c>
      <c r="DR224" s="1" t="s">
        <v>121</v>
      </c>
      <c r="DS224" s="1" t="s">
        <v>121</v>
      </c>
      <c r="DT224" s="1" t="s">
        <v>121</v>
      </c>
      <c r="DU224" s="1" t="s">
        <v>121</v>
      </c>
      <c r="DV224" s="1" t="s">
        <v>121</v>
      </c>
      <c r="DW224" s="1" t="s">
        <v>121</v>
      </c>
      <c r="DX224" s="1" t="s">
        <v>121</v>
      </c>
      <c r="DY224" s="1" t="s">
        <v>121</v>
      </c>
      <c r="DZ224" s="1" t="s">
        <v>121</v>
      </c>
      <c r="EA224" s="1" t="s">
        <v>121</v>
      </c>
      <c r="EB224" s="1" t="s">
        <v>121</v>
      </c>
      <c r="EC224" s="1" t="s">
        <v>121</v>
      </c>
      <c r="ED224" s="1" t="s">
        <v>121</v>
      </c>
      <c r="EE224" s="1" t="s">
        <v>121</v>
      </c>
      <c r="EF224" s="1" t="s">
        <v>121</v>
      </c>
      <c r="EG224" s="1" t="s">
        <v>121</v>
      </c>
      <c r="EH224" s="1" t="s">
        <v>121</v>
      </c>
      <c r="EI224" s="1" t="s">
        <v>121</v>
      </c>
      <c r="EJ224" s="1" t="s">
        <v>121</v>
      </c>
      <c r="EK224" s="1" t="s">
        <v>121</v>
      </c>
      <c r="EL224" s="1" t="s">
        <v>121</v>
      </c>
      <c r="EM224" s="1" t="s">
        <v>121</v>
      </c>
      <c r="EN224" s="1" t="s">
        <v>121</v>
      </c>
      <c r="EO224" s="1" t="s">
        <v>121</v>
      </c>
      <c r="EP224" s="1" t="s">
        <v>121</v>
      </c>
      <c r="EQ224" s="1" t="s">
        <v>121</v>
      </c>
      <c r="ER224" s="1" t="s">
        <v>121</v>
      </c>
      <c r="ES224" s="1" t="s">
        <v>121</v>
      </c>
      <c r="ET224" s="1" t="s">
        <v>121</v>
      </c>
      <c r="EU224" s="1" t="s">
        <v>121</v>
      </c>
      <c r="EV224" s="1" t="s">
        <v>121</v>
      </c>
      <c r="EW224" s="1" t="s">
        <v>121</v>
      </c>
      <c r="EX224" s="1" t="s">
        <v>121</v>
      </c>
    </row>
    <row r="225" spans="1:154" x14ac:dyDescent="0.25">
      <c r="A225" s="72">
        <v>225</v>
      </c>
      <c r="B225" s="61" t="s">
        <v>295</v>
      </c>
      <c r="C225" s="91" t="s">
        <v>121</v>
      </c>
      <c r="D225" s="86" t="s">
        <v>121</v>
      </c>
      <c r="E225" s="92" t="s">
        <v>121</v>
      </c>
      <c r="F225" s="77" t="s">
        <v>121</v>
      </c>
      <c r="G225" s="77" t="s">
        <v>121</v>
      </c>
      <c r="H225" s="77" t="s">
        <v>121</v>
      </c>
      <c r="I225" s="77" t="s">
        <v>121</v>
      </c>
      <c r="J225" s="77" t="s">
        <v>121</v>
      </c>
      <c r="K225" s="77" t="s">
        <v>121</v>
      </c>
      <c r="L225" s="77" t="s">
        <v>121</v>
      </c>
      <c r="M225" s="77" t="s">
        <v>121</v>
      </c>
      <c r="N225" s="77" t="s">
        <v>121</v>
      </c>
      <c r="O225" s="77" t="s">
        <v>121</v>
      </c>
      <c r="P225" s="77" t="s">
        <v>121</v>
      </c>
      <c r="Q225" s="405"/>
      <c r="R225" s="405"/>
      <c r="S225" s="405"/>
      <c r="T225" s="405"/>
      <c r="U225" s="77" t="s">
        <v>121</v>
      </c>
      <c r="V225" s="77" t="s">
        <v>121</v>
      </c>
      <c r="W225" s="77" t="s">
        <v>121</v>
      </c>
      <c r="X225" s="77" t="s">
        <v>121</v>
      </c>
      <c r="Y225" s="77" t="s">
        <v>121</v>
      </c>
      <c r="Z225" s="77" t="s">
        <v>121</v>
      </c>
      <c r="AA225" s="77" t="s">
        <v>121</v>
      </c>
      <c r="AB225" s="77" t="s">
        <v>121</v>
      </c>
      <c r="AC225" s="77">
        <v>23.076999999999998</v>
      </c>
      <c r="AD225" s="77">
        <v>24.141999999999996</v>
      </c>
      <c r="AE225" s="77">
        <v>23.868000000000002</v>
      </c>
      <c r="AF225" s="77">
        <v>23.594000000000001</v>
      </c>
      <c r="AG225" s="77">
        <v>24.13900000000001</v>
      </c>
      <c r="AH225" s="77">
        <v>24.126999999999995</v>
      </c>
      <c r="AI225" s="77">
        <v>23.938000000000002</v>
      </c>
      <c r="AJ225" s="77">
        <v>26.207999999999998</v>
      </c>
      <c r="AK225" s="77">
        <v>28.210000000000008</v>
      </c>
      <c r="AL225" s="77">
        <v>29.648999999999994</v>
      </c>
      <c r="AM225" s="77">
        <v>21.736000000000004</v>
      </c>
      <c r="AN225" s="77">
        <v>37.405999999999999</v>
      </c>
      <c r="AO225" s="77">
        <v>35.777000000000001</v>
      </c>
      <c r="AP225" s="77">
        <v>31.343000000000004</v>
      </c>
      <c r="AQ225" s="77">
        <v>30.638999999999996</v>
      </c>
      <c r="AR225" s="77">
        <v>30.914000000000001</v>
      </c>
      <c r="AS225" s="77">
        <v>31.653999999999996</v>
      </c>
      <c r="AT225" s="77">
        <v>61.117999999999995</v>
      </c>
      <c r="AU225" s="77">
        <v>61.376000000000005</v>
      </c>
      <c r="AV225" s="77">
        <v>67.94</v>
      </c>
      <c r="AW225" s="77">
        <v>73.346000000000004</v>
      </c>
      <c r="AX225" s="77">
        <v>100.30799999999999</v>
      </c>
      <c r="AY225" s="77">
        <v>133.64099999999999</v>
      </c>
      <c r="AZ225" s="77">
        <v>157.97900000000001</v>
      </c>
      <c r="BA225" s="77">
        <v>145.56299999999999</v>
      </c>
      <c r="BB225" s="77">
        <v>188.33899999999994</v>
      </c>
      <c r="BC225" s="77">
        <v>212.96400000000003</v>
      </c>
      <c r="BD225" s="77">
        <v>208.881</v>
      </c>
      <c r="BE225" s="77">
        <v>229.42499999999995</v>
      </c>
      <c r="BF225" s="77">
        <v>238.577</v>
      </c>
      <c r="BG225" s="77">
        <v>251.06400000000002</v>
      </c>
      <c r="BH225" s="77">
        <v>216.84399999999999</v>
      </c>
      <c r="BI225" s="77">
        <v>276.79399999999998</v>
      </c>
      <c r="BJ225" s="77">
        <v>261.77800000000002</v>
      </c>
      <c r="BK225" s="77">
        <v>242.63200000000001</v>
      </c>
      <c r="BL225" s="77">
        <v>239.94900000000001</v>
      </c>
      <c r="BM225" s="1">
        <v>245.75099999999998</v>
      </c>
      <c r="BN225" s="1">
        <v>233.161</v>
      </c>
      <c r="BO225" s="1">
        <v>258.399</v>
      </c>
      <c r="BP225" s="1">
        <v>219.24299999999999</v>
      </c>
      <c r="BQ225" s="1" t="s">
        <v>121</v>
      </c>
      <c r="BR225" s="1" t="s">
        <v>121</v>
      </c>
      <c r="BS225" s="1" t="s">
        <v>121</v>
      </c>
      <c r="BT225" s="1" t="s">
        <v>121</v>
      </c>
      <c r="BU225" s="1" t="s">
        <v>121</v>
      </c>
      <c r="BV225" s="1" t="s">
        <v>121</v>
      </c>
      <c r="BW225" s="1" t="s">
        <v>121</v>
      </c>
      <c r="BX225" s="1" t="s">
        <v>121</v>
      </c>
      <c r="BY225" s="1" t="s">
        <v>121</v>
      </c>
      <c r="BZ225" s="1" t="s">
        <v>121</v>
      </c>
      <c r="CA225" s="1" t="s">
        <v>121</v>
      </c>
      <c r="CB225" s="1" t="s">
        <v>121</v>
      </c>
      <c r="CC225" s="1" t="s">
        <v>121</v>
      </c>
      <c r="CD225" s="1" t="s">
        <v>121</v>
      </c>
      <c r="CE225" s="1" t="s">
        <v>121</v>
      </c>
      <c r="CF225" s="1" t="s">
        <v>121</v>
      </c>
      <c r="CG225" s="1" t="s">
        <v>121</v>
      </c>
      <c r="CH225" s="1" t="s">
        <v>121</v>
      </c>
      <c r="CI225" s="1" t="s">
        <v>121</v>
      </c>
      <c r="CJ225" s="1" t="s">
        <v>121</v>
      </c>
      <c r="CK225" s="1" t="s">
        <v>121</v>
      </c>
      <c r="CL225" s="1" t="s">
        <v>121</v>
      </c>
      <c r="CM225" s="1" t="s">
        <v>121</v>
      </c>
      <c r="CN225" s="1" t="s">
        <v>121</v>
      </c>
      <c r="CO225" s="1" t="s">
        <v>121</v>
      </c>
      <c r="CP225" s="1" t="s">
        <v>121</v>
      </c>
      <c r="CQ225" s="1" t="s">
        <v>121</v>
      </c>
      <c r="CR225" s="1" t="s">
        <v>121</v>
      </c>
      <c r="CS225" s="1" t="s">
        <v>121</v>
      </c>
      <c r="CT225" s="1" t="s">
        <v>121</v>
      </c>
      <c r="CU225" s="1" t="s">
        <v>121</v>
      </c>
      <c r="CV225" s="1" t="s">
        <v>121</v>
      </c>
      <c r="CW225" s="1" t="s">
        <v>121</v>
      </c>
      <c r="CX225" s="1" t="s">
        <v>121</v>
      </c>
      <c r="CY225" s="1" t="s">
        <v>121</v>
      </c>
      <c r="CZ225" s="1" t="s">
        <v>121</v>
      </c>
      <c r="DA225" s="1" t="s">
        <v>121</v>
      </c>
      <c r="DB225" s="1" t="s">
        <v>121</v>
      </c>
      <c r="DC225" s="1" t="s">
        <v>121</v>
      </c>
      <c r="DD225" s="1" t="s">
        <v>121</v>
      </c>
      <c r="DE225" s="1" t="s">
        <v>121</v>
      </c>
      <c r="DF225" s="1" t="s">
        <v>121</v>
      </c>
      <c r="DG225" s="1" t="s">
        <v>121</v>
      </c>
      <c r="DH225" s="1" t="s">
        <v>121</v>
      </c>
      <c r="DI225" s="1" t="s">
        <v>121</v>
      </c>
      <c r="DJ225" s="1" t="s">
        <v>121</v>
      </c>
      <c r="DK225" s="1" t="s">
        <v>121</v>
      </c>
      <c r="DL225" s="1" t="s">
        <v>121</v>
      </c>
      <c r="DM225" s="1" t="s">
        <v>121</v>
      </c>
      <c r="DN225" s="1" t="s">
        <v>121</v>
      </c>
      <c r="DO225" s="1" t="s">
        <v>121</v>
      </c>
      <c r="DP225" s="1" t="s">
        <v>121</v>
      </c>
      <c r="DQ225" s="1" t="s">
        <v>121</v>
      </c>
      <c r="DR225" s="1" t="s">
        <v>121</v>
      </c>
      <c r="DS225" s="1" t="s">
        <v>121</v>
      </c>
      <c r="DT225" s="1" t="s">
        <v>121</v>
      </c>
      <c r="DU225" s="1" t="s">
        <v>121</v>
      </c>
      <c r="DV225" s="1" t="s">
        <v>121</v>
      </c>
      <c r="DW225" s="1" t="s">
        <v>121</v>
      </c>
      <c r="DX225" s="1" t="s">
        <v>121</v>
      </c>
      <c r="DY225" s="1" t="s">
        <v>121</v>
      </c>
      <c r="DZ225" s="1" t="s">
        <v>121</v>
      </c>
      <c r="EA225" s="1" t="s">
        <v>121</v>
      </c>
      <c r="EB225" s="1" t="s">
        <v>121</v>
      </c>
      <c r="EC225" s="1" t="s">
        <v>121</v>
      </c>
      <c r="ED225" s="1" t="s">
        <v>121</v>
      </c>
      <c r="EE225" s="1" t="s">
        <v>121</v>
      </c>
      <c r="EF225" s="1" t="s">
        <v>121</v>
      </c>
      <c r="EG225" s="1" t="s">
        <v>121</v>
      </c>
      <c r="EH225" s="1" t="s">
        <v>121</v>
      </c>
      <c r="EI225" s="1" t="s">
        <v>121</v>
      </c>
      <c r="EJ225" s="1" t="s">
        <v>121</v>
      </c>
      <c r="EK225" s="1" t="s">
        <v>121</v>
      </c>
      <c r="EL225" s="1" t="s">
        <v>121</v>
      </c>
      <c r="EM225" s="1" t="s">
        <v>121</v>
      </c>
      <c r="EN225" s="1" t="s">
        <v>121</v>
      </c>
      <c r="EO225" s="1" t="s">
        <v>121</v>
      </c>
      <c r="EP225" s="1" t="s">
        <v>121</v>
      </c>
      <c r="EQ225" s="1" t="s">
        <v>121</v>
      </c>
      <c r="ER225" s="1" t="s">
        <v>121</v>
      </c>
      <c r="ES225" s="1" t="s">
        <v>121</v>
      </c>
      <c r="ET225" s="1" t="s">
        <v>121</v>
      </c>
      <c r="EU225" s="1" t="s">
        <v>121</v>
      </c>
      <c r="EV225" s="1" t="s">
        <v>121</v>
      </c>
      <c r="EW225" s="1" t="s">
        <v>121</v>
      </c>
      <c r="EX225" s="1" t="s">
        <v>121</v>
      </c>
    </row>
    <row r="226" spans="1:154" s="75" customFormat="1" ht="18.75" customHeight="1" x14ac:dyDescent="0.25">
      <c r="A226" s="72">
        <v>226</v>
      </c>
      <c r="B226" s="73" t="s">
        <v>454</v>
      </c>
      <c r="C226" s="94">
        <v>0.11132032594227836</v>
      </c>
      <c r="D226" s="94" t="s">
        <v>121</v>
      </c>
      <c r="E226" s="94">
        <v>0.66879539804026722</v>
      </c>
      <c r="F226" s="124">
        <v>34232</v>
      </c>
      <c r="G226" s="124">
        <v>30803</v>
      </c>
      <c r="H226" s="124">
        <v>28915</v>
      </c>
      <c r="I226" s="124">
        <v>26978</v>
      </c>
      <c r="J226" s="124">
        <v>20513</v>
      </c>
      <c r="K226" s="124">
        <v>17635</v>
      </c>
      <c r="L226" s="124">
        <v>16186</v>
      </c>
      <c r="M226" s="124">
        <v>13516</v>
      </c>
      <c r="N226" s="124">
        <v>7207</v>
      </c>
      <c r="O226" s="124">
        <v>5960</v>
      </c>
      <c r="P226" s="124">
        <v>5030</v>
      </c>
      <c r="Q226" s="405"/>
      <c r="R226" s="405"/>
      <c r="S226" s="405"/>
      <c r="T226" s="405"/>
      <c r="U226" s="124">
        <v>4891</v>
      </c>
      <c r="V226" s="124">
        <v>3584</v>
      </c>
      <c r="W226" s="124">
        <v>3613</v>
      </c>
      <c r="X226" s="124">
        <v>3276</v>
      </c>
      <c r="Y226" s="124">
        <v>3557.9459999999999</v>
      </c>
      <c r="Z226" s="124">
        <v>4012.3320000000008</v>
      </c>
      <c r="AA226" s="124">
        <v>4515.8679999999995</v>
      </c>
      <c r="AB226" s="124">
        <v>4577.8540000000003</v>
      </c>
      <c r="AC226" s="124">
        <v>5194.027000000001</v>
      </c>
      <c r="AD226" s="124">
        <v>5768.9479999999994</v>
      </c>
      <c r="AE226" s="124">
        <v>5813.0500000000011</v>
      </c>
      <c r="AF226" s="124">
        <v>6668.5690000000004</v>
      </c>
      <c r="AG226" s="124">
        <v>5932.4520000000002</v>
      </c>
      <c r="AH226" s="124">
        <v>5573.8950000000013</v>
      </c>
      <c r="AI226" s="124">
        <v>5771.6639999999998</v>
      </c>
      <c r="AJ226" s="124">
        <v>5614.9850000000006</v>
      </c>
      <c r="AK226" s="124">
        <v>5901.431999999998</v>
      </c>
      <c r="AL226" s="124">
        <v>6159.7940000000008</v>
      </c>
      <c r="AM226" s="124">
        <v>7113.299</v>
      </c>
      <c r="AN226" s="124">
        <v>7447.427999999999</v>
      </c>
      <c r="AO226" s="124">
        <v>6777.9610000000011</v>
      </c>
      <c r="AP226" s="124">
        <v>7308.68</v>
      </c>
      <c r="AQ226" s="124">
        <v>7791.1519999999991</v>
      </c>
      <c r="AR226" s="124">
        <v>7829.1279999999997</v>
      </c>
      <c r="AS226" s="124">
        <v>8001.0119999999988</v>
      </c>
      <c r="AT226" s="124">
        <v>8666.6950000000015</v>
      </c>
      <c r="AU226" s="124">
        <v>8492.0759999999991</v>
      </c>
      <c r="AV226" s="124">
        <v>8156.2099999999982</v>
      </c>
      <c r="AW226" s="124">
        <v>5597.8160000000007</v>
      </c>
      <c r="AX226" s="124">
        <v>5147.9059999999999</v>
      </c>
      <c r="AY226" s="124">
        <v>4871.7349999999988</v>
      </c>
      <c r="AZ226" s="124">
        <v>4631.9470000000001</v>
      </c>
      <c r="BA226" s="124">
        <v>4532.9549999999999</v>
      </c>
      <c r="BB226" s="124">
        <v>4532.8829999999998</v>
      </c>
      <c r="BC226" s="124">
        <v>4375.9109999999991</v>
      </c>
      <c r="BD226" s="124">
        <v>4017.7829999999999</v>
      </c>
      <c r="BE226" s="124">
        <v>4054.0439999999999</v>
      </c>
      <c r="BF226" s="124">
        <v>3866.5370000000003</v>
      </c>
      <c r="BG226" s="124">
        <v>3959.0589999999997</v>
      </c>
      <c r="BH226" s="124">
        <v>3499.3809999999999</v>
      </c>
      <c r="BI226" s="124">
        <v>3293.4760000000001</v>
      </c>
      <c r="BJ226" s="124">
        <v>3039.1100000000006</v>
      </c>
      <c r="BK226" s="124">
        <v>2971.1780000000003</v>
      </c>
      <c r="BL226" s="124">
        <v>2853.4139999999998</v>
      </c>
      <c r="BM226" s="75">
        <v>2926.4080000000004</v>
      </c>
      <c r="BN226" s="75">
        <v>2777.5310000000004</v>
      </c>
      <c r="BO226" s="75">
        <v>3119.3040000000005</v>
      </c>
      <c r="BP226" s="75">
        <v>3412.0959999999995</v>
      </c>
      <c r="BQ226" s="75" t="s">
        <v>121</v>
      </c>
      <c r="BR226" s="75" t="s">
        <v>121</v>
      </c>
      <c r="BS226" s="75" t="s">
        <v>121</v>
      </c>
      <c r="BT226" s="75" t="s">
        <v>121</v>
      </c>
      <c r="BU226" s="75" t="s">
        <v>121</v>
      </c>
      <c r="BV226" s="75" t="s">
        <v>121</v>
      </c>
      <c r="BW226" s="75" t="s">
        <v>121</v>
      </c>
      <c r="BX226" s="75" t="s">
        <v>121</v>
      </c>
      <c r="BY226" s="75" t="s">
        <v>121</v>
      </c>
      <c r="BZ226" s="75" t="s">
        <v>121</v>
      </c>
      <c r="CA226" s="75" t="s">
        <v>121</v>
      </c>
      <c r="CB226" s="75" t="s">
        <v>121</v>
      </c>
      <c r="CC226" s="75" t="s">
        <v>121</v>
      </c>
      <c r="CD226" s="75" t="s">
        <v>121</v>
      </c>
      <c r="CE226" s="75" t="s">
        <v>121</v>
      </c>
      <c r="CF226" s="75" t="s">
        <v>121</v>
      </c>
      <c r="CG226" s="75" t="s">
        <v>121</v>
      </c>
      <c r="CH226" s="75" t="s">
        <v>121</v>
      </c>
      <c r="CI226" s="75" t="s">
        <v>121</v>
      </c>
      <c r="CJ226" s="75" t="s">
        <v>121</v>
      </c>
      <c r="CK226" s="75" t="s">
        <v>121</v>
      </c>
      <c r="CL226" s="75" t="s">
        <v>121</v>
      </c>
      <c r="CM226" s="75" t="s">
        <v>121</v>
      </c>
      <c r="CN226" s="75" t="s">
        <v>121</v>
      </c>
      <c r="CO226" s="75" t="s">
        <v>121</v>
      </c>
      <c r="CP226" s="75" t="s">
        <v>121</v>
      </c>
      <c r="CQ226" s="75" t="s">
        <v>121</v>
      </c>
      <c r="CR226" s="75" t="s">
        <v>121</v>
      </c>
      <c r="CS226" s="75" t="s">
        <v>121</v>
      </c>
      <c r="CT226" s="75" t="s">
        <v>121</v>
      </c>
      <c r="CU226" s="75" t="s">
        <v>121</v>
      </c>
      <c r="CV226" s="75" t="s">
        <v>121</v>
      </c>
      <c r="CW226" s="75" t="s">
        <v>121</v>
      </c>
      <c r="CX226" s="75" t="s">
        <v>121</v>
      </c>
      <c r="CY226" s="75" t="s">
        <v>121</v>
      </c>
      <c r="CZ226" s="75" t="s">
        <v>121</v>
      </c>
      <c r="DA226" s="75" t="s">
        <v>121</v>
      </c>
      <c r="DB226" s="75" t="s">
        <v>121</v>
      </c>
      <c r="DC226" s="75" t="s">
        <v>121</v>
      </c>
      <c r="DD226" s="75" t="s">
        <v>121</v>
      </c>
      <c r="DE226" s="75" t="s">
        <v>121</v>
      </c>
      <c r="DF226" s="75" t="s">
        <v>121</v>
      </c>
      <c r="DG226" s="75" t="s">
        <v>121</v>
      </c>
      <c r="DH226" s="75" t="s">
        <v>121</v>
      </c>
      <c r="DI226" s="75" t="s">
        <v>121</v>
      </c>
      <c r="DJ226" s="75" t="s">
        <v>121</v>
      </c>
      <c r="DK226" s="75" t="s">
        <v>121</v>
      </c>
      <c r="DL226" s="75" t="s">
        <v>121</v>
      </c>
      <c r="DM226" s="75" t="s">
        <v>121</v>
      </c>
      <c r="DN226" s="75" t="s">
        <v>121</v>
      </c>
      <c r="DO226" s="75" t="s">
        <v>121</v>
      </c>
      <c r="DP226" s="75" t="s">
        <v>121</v>
      </c>
      <c r="DQ226" s="75" t="s">
        <v>121</v>
      </c>
      <c r="DR226" s="75" t="s">
        <v>121</v>
      </c>
      <c r="DS226" s="75" t="s">
        <v>121</v>
      </c>
      <c r="DT226" s="75" t="s">
        <v>121</v>
      </c>
      <c r="DU226" s="75" t="s">
        <v>121</v>
      </c>
      <c r="DV226" s="75" t="s">
        <v>121</v>
      </c>
      <c r="DW226" s="75" t="s">
        <v>121</v>
      </c>
      <c r="DX226" s="75" t="s">
        <v>121</v>
      </c>
      <c r="DY226" s="75" t="s">
        <v>121</v>
      </c>
      <c r="DZ226" s="75" t="s">
        <v>121</v>
      </c>
      <c r="EA226" s="75" t="s">
        <v>121</v>
      </c>
      <c r="EB226" s="75" t="s">
        <v>121</v>
      </c>
      <c r="EC226" s="75" t="s">
        <v>121</v>
      </c>
      <c r="ED226" s="75" t="s">
        <v>121</v>
      </c>
      <c r="EE226" s="75" t="s">
        <v>121</v>
      </c>
      <c r="EF226" s="75" t="s">
        <v>121</v>
      </c>
      <c r="EG226" s="75" t="s">
        <v>121</v>
      </c>
      <c r="EH226" s="75" t="s">
        <v>121</v>
      </c>
      <c r="EI226" s="75" t="s">
        <v>121</v>
      </c>
      <c r="EJ226" s="75" t="s">
        <v>121</v>
      </c>
      <c r="EK226" s="75" t="s">
        <v>121</v>
      </c>
      <c r="EL226" s="75" t="s">
        <v>121</v>
      </c>
      <c r="EM226" s="75" t="s">
        <v>121</v>
      </c>
      <c r="EN226" s="75" t="s">
        <v>121</v>
      </c>
      <c r="EO226" s="75" t="s">
        <v>121</v>
      </c>
      <c r="EP226" s="75" t="s">
        <v>121</v>
      </c>
      <c r="EQ226" s="75" t="s">
        <v>121</v>
      </c>
      <c r="ER226" s="75" t="s">
        <v>121</v>
      </c>
      <c r="ES226" s="75" t="s">
        <v>121</v>
      </c>
      <c r="ET226" s="75" t="s">
        <v>121</v>
      </c>
      <c r="EU226" s="75" t="s">
        <v>121</v>
      </c>
      <c r="EV226" s="75" t="s">
        <v>121</v>
      </c>
      <c r="EW226" s="75" t="s">
        <v>121</v>
      </c>
      <c r="EX226" s="75" t="s">
        <v>121</v>
      </c>
    </row>
    <row r="227" spans="1:154" s="75" customFormat="1" ht="18.75" customHeight="1" x14ac:dyDescent="0.25">
      <c r="A227" s="72">
        <v>227</v>
      </c>
      <c r="B227" s="240" t="s">
        <v>411</v>
      </c>
      <c r="C227" s="94">
        <v>5.7542768273716849E-2</v>
      </c>
      <c r="D227" s="94" t="s">
        <v>121</v>
      </c>
      <c r="E227" s="94">
        <v>0.18881118881118875</v>
      </c>
      <c r="F227" s="124">
        <v>680</v>
      </c>
      <c r="G227" s="124">
        <v>643</v>
      </c>
      <c r="H227" s="124">
        <v>631</v>
      </c>
      <c r="I227" s="124">
        <v>586</v>
      </c>
      <c r="J227" s="124">
        <v>572</v>
      </c>
      <c r="K227" s="124">
        <v>584</v>
      </c>
      <c r="L227" s="124">
        <v>577</v>
      </c>
      <c r="M227" s="124">
        <v>546</v>
      </c>
      <c r="N227" s="124">
        <v>519</v>
      </c>
      <c r="O227" s="124">
        <v>520</v>
      </c>
      <c r="P227" s="124">
        <v>529</v>
      </c>
      <c r="Q227" s="405"/>
      <c r="R227" s="405"/>
      <c r="S227" s="405"/>
      <c r="T227" s="405"/>
      <c r="U227" s="219">
        <v>426</v>
      </c>
      <c r="V227" s="124">
        <v>419</v>
      </c>
      <c r="W227" s="124">
        <v>338</v>
      </c>
      <c r="X227" s="219">
        <v>338</v>
      </c>
      <c r="Y227" s="219">
        <v>330.29499999999996</v>
      </c>
      <c r="Z227" s="219">
        <v>321.73</v>
      </c>
      <c r="AA227" s="219">
        <v>137.54000000000002</v>
      </c>
      <c r="AB227" s="219">
        <v>452.435</v>
      </c>
      <c r="AC227" s="219">
        <v>443.95900000000006</v>
      </c>
      <c r="AD227" s="219">
        <v>442.14899999999989</v>
      </c>
      <c r="AE227" s="219">
        <v>439.58300000000003</v>
      </c>
      <c r="AF227" s="219">
        <v>441.8</v>
      </c>
      <c r="AG227" s="219">
        <v>332.38699999999994</v>
      </c>
      <c r="AH227" s="219">
        <v>319.024</v>
      </c>
      <c r="AI227" s="219">
        <v>304.87299999999999</v>
      </c>
      <c r="AJ227" s="219">
        <v>294.02699999999999</v>
      </c>
      <c r="AK227" s="219">
        <v>226.702</v>
      </c>
      <c r="AL227" s="219">
        <v>226.96999999999997</v>
      </c>
      <c r="AM227" s="219">
        <v>221.5</v>
      </c>
      <c r="AN227" s="219">
        <v>215.27199999999999</v>
      </c>
      <c r="AO227" s="219">
        <v>215.70500000000004</v>
      </c>
      <c r="AP227" s="219">
        <v>217.37799999999999</v>
      </c>
      <c r="AQ227" s="219">
        <v>176.01</v>
      </c>
      <c r="AR227" s="219">
        <v>178.214</v>
      </c>
      <c r="AS227" s="219">
        <v>163.17199999999991</v>
      </c>
      <c r="AT227" s="219">
        <v>157.63300000000004</v>
      </c>
      <c r="AU227" s="219">
        <v>142.501</v>
      </c>
      <c r="AV227" s="219">
        <v>144.42699999999999</v>
      </c>
      <c r="AW227" s="219">
        <v>139.71600000000001</v>
      </c>
      <c r="AX227" s="219">
        <v>127.61600000000001</v>
      </c>
      <c r="AY227" s="219">
        <v>121.997</v>
      </c>
      <c r="AZ227" s="219">
        <v>121.867</v>
      </c>
      <c r="BA227" s="219">
        <v>113.32900000000001</v>
      </c>
      <c r="BB227" s="219">
        <v>111.905</v>
      </c>
      <c r="BC227" s="219">
        <v>107.01900000000001</v>
      </c>
      <c r="BD227" s="219">
        <v>96.717999999999989</v>
      </c>
      <c r="BE227" s="219">
        <v>87.545999999999935</v>
      </c>
      <c r="BF227" s="219">
        <v>97.788000000000011</v>
      </c>
      <c r="BG227" s="219">
        <v>89.008999999999986</v>
      </c>
      <c r="BH227" s="219">
        <v>83.703000000000003</v>
      </c>
      <c r="BI227" s="219">
        <v>79.331999999999994</v>
      </c>
      <c r="BJ227" s="219">
        <v>76.099000000000018</v>
      </c>
      <c r="BK227" s="219">
        <v>141.93199999999999</v>
      </c>
      <c r="BL227" s="219" t="s">
        <v>121</v>
      </c>
      <c r="BM227" s="75">
        <v>67.200000000000017</v>
      </c>
      <c r="BN227" s="75">
        <v>-69.992000000000019</v>
      </c>
      <c r="BO227" s="75">
        <v>197.21600000000001</v>
      </c>
      <c r="BP227" s="75">
        <v>60.643999999999998</v>
      </c>
      <c r="BQ227" s="75" t="s">
        <v>121</v>
      </c>
      <c r="BR227" s="75" t="s">
        <v>121</v>
      </c>
      <c r="BS227" s="75" t="s">
        <v>121</v>
      </c>
      <c r="BT227" s="75" t="s">
        <v>121</v>
      </c>
      <c r="BU227" s="75" t="s">
        <v>121</v>
      </c>
      <c r="BV227" s="75" t="s">
        <v>121</v>
      </c>
      <c r="BW227" s="75" t="s">
        <v>121</v>
      </c>
      <c r="BX227" s="75" t="s">
        <v>121</v>
      </c>
      <c r="BY227" s="75" t="s">
        <v>121</v>
      </c>
      <c r="BZ227" s="75" t="s">
        <v>121</v>
      </c>
      <c r="CA227" s="75" t="s">
        <v>121</v>
      </c>
      <c r="CB227" s="75" t="s">
        <v>121</v>
      </c>
      <c r="CC227" s="75" t="s">
        <v>121</v>
      </c>
      <c r="CD227" s="75" t="s">
        <v>121</v>
      </c>
      <c r="CE227" s="75" t="s">
        <v>121</v>
      </c>
      <c r="CF227" s="75" t="s">
        <v>121</v>
      </c>
      <c r="CG227" s="75" t="s">
        <v>121</v>
      </c>
      <c r="CH227" s="75" t="s">
        <v>121</v>
      </c>
      <c r="CI227" s="75" t="s">
        <v>121</v>
      </c>
      <c r="CJ227" s="75" t="s">
        <v>121</v>
      </c>
      <c r="CK227" s="75" t="s">
        <v>121</v>
      </c>
      <c r="CL227" s="75" t="s">
        <v>121</v>
      </c>
      <c r="CM227" s="75" t="s">
        <v>121</v>
      </c>
      <c r="CN227" s="75" t="s">
        <v>121</v>
      </c>
      <c r="CO227" s="75" t="s">
        <v>121</v>
      </c>
      <c r="CP227" s="75" t="s">
        <v>121</v>
      </c>
      <c r="CQ227" s="75" t="s">
        <v>121</v>
      </c>
      <c r="CR227" s="75" t="s">
        <v>121</v>
      </c>
      <c r="CS227" s="75" t="s">
        <v>121</v>
      </c>
      <c r="CT227" s="75" t="s">
        <v>121</v>
      </c>
      <c r="CU227" s="75" t="s">
        <v>121</v>
      </c>
      <c r="CV227" s="75" t="s">
        <v>121</v>
      </c>
      <c r="CW227" s="75" t="s">
        <v>121</v>
      </c>
      <c r="CX227" s="75" t="s">
        <v>121</v>
      </c>
      <c r="CY227" s="75" t="s">
        <v>121</v>
      </c>
      <c r="CZ227" s="75" t="s">
        <v>121</v>
      </c>
      <c r="DA227" s="75" t="s">
        <v>121</v>
      </c>
      <c r="DB227" s="75" t="s">
        <v>121</v>
      </c>
      <c r="DC227" s="75" t="s">
        <v>121</v>
      </c>
      <c r="DD227" s="75" t="s">
        <v>121</v>
      </c>
      <c r="DE227" s="75" t="s">
        <v>121</v>
      </c>
      <c r="DF227" s="75" t="s">
        <v>121</v>
      </c>
      <c r="DG227" s="75" t="s">
        <v>121</v>
      </c>
      <c r="DH227" s="75" t="s">
        <v>121</v>
      </c>
      <c r="DI227" s="75" t="s">
        <v>121</v>
      </c>
      <c r="DJ227" s="75" t="s">
        <v>121</v>
      </c>
      <c r="DK227" s="75" t="s">
        <v>121</v>
      </c>
      <c r="DL227" s="75" t="s">
        <v>121</v>
      </c>
      <c r="DM227" s="75" t="s">
        <v>121</v>
      </c>
      <c r="DN227" s="75" t="s">
        <v>121</v>
      </c>
      <c r="DO227" s="75" t="s">
        <v>121</v>
      </c>
      <c r="DP227" s="75" t="s">
        <v>121</v>
      </c>
      <c r="DQ227" s="75" t="s">
        <v>121</v>
      </c>
      <c r="DR227" s="75" t="s">
        <v>121</v>
      </c>
      <c r="DS227" s="75" t="s">
        <v>121</v>
      </c>
      <c r="DT227" s="75" t="s">
        <v>121</v>
      </c>
      <c r="DU227" s="75" t="s">
        <v>121</v>
      </c>
      <c r="DV227" s="75" t="s">
        <v>121</v>
      </c>
      <c r="DW227" s="75" t="s">
        <v>121</v>
      </c>
      <c r="DX227" s="75" t="s">
        <v>121</v>
      </c>
      <c r="DY227" s="75" t="s">
        <v>121</v>
      </c>
      <c r="DZ227" s="75" t="s">
        <v>121</v>
      </c>
      <c r="EA227" s="75" t="s">
        <v>121</v>
      </c>
      <c r="EB227" s="75" t="s">
        <v>121</v>
      </c>
      <c r="EC227" s="75" t="s">
        <v>121</v>
      </c>
      <c r="ED227" s="75" t="s">
        <v>121</v>
      </c>
      <c r="EE227" s="75" t="s">
        <v>121</v>
      </c>
      <c r="EF227" s="75" t="s">
        <v>121</v>
      </c>
      <c r="EG227" s="75" t="s">
        <v>121</v>
      </c>
      <c r="EH227" s="75" t="s">
        <v>121</v>
      </c>
      <c r="EI227" s="75" t="s">
        <v>121</v>
      </c>
      <c r="EJ227" s="75" t="s">
        <v>121</v>
      </c>
      <c r="EK227" s="75" t="s">
        <v>121</v>
      </c>
      <c r="EL227" s="75" t="s">
        <v>121</v>
      </c>
      <c r="EM227" s="75" t="s">
        <v>121</v>
      </c>
      <c r="EN227" s="75" t="s">
        <v>121</v>
      </c>
      <c r="EO227" s="75" t="s">
        <v>121</v>
      </c>
      <c r="EP227" s="75" t="s">
        <v>121</v>
      </c>
      <c r="EQ227" s="75" t="s">
        <v>121</v>
      </c>
      <c r="ER227" s="75" t="s">
        <v>121</v>
      </c>
      <c r="ES227" s="75" t="s">
        <v>121</v>
      </c>
      <c r="ET227" s="75" t="s">
        <v>121</v>
      </c>
      <c r="EU227" s="75" t="s">
        <v>121</v>
      </c>
      <c r="EV227" s="75" t="s">
        <v>121</v>
      </c>
      <c r="EW227" s="75" t="s">
        <v>121</v>
      </c>
      <c r="EX227" s="75" t="s">
        <v>121</v>
      </c>
    </row>
    <row r="228" spans="1:154" s="75" customFormat="1" ht="18.75" customHeight="1" x14ac:dyDescent="0.25">
      <c r="A228" s="72">
        <v>228</v>
      </c>
      <c r="B228" s="73" t="s">
        <v>412</v>
      </c>
      <c r="C228" s="94">
        <v>7.1787508973437664E-3</v>
      </c>
      <c r="D228" s="94" t="s">
        <v>121</v>
      </c>
      <c r="E228" s="94">
        <v>0.13249538745387457</v>
      </c>
      <c r="F228" s="124">
        <v>19642</v>
      </c>
      <c r="G228" s="124">
        <v>19502</v>
      </c>
      <c r="H228" s="124">
        <v>19928</v>
      </c>
      <c r="I228" s="124">
        <v>19347</v>
      </c>
      <c r="J228" s="124">
        <v>17344</v>
      </c>
      <c r="K228" s="124">
        <v>16664</v>
      </c>
      <c r="L228" s="124">
        <v>17202</v>
      </c>
      <c r="M228" s="124">
        <v>16077</v>
      </c>
      <c r="N228" s="124">
        <v>12660</v>
      </c>
      <c r="O228" s="124">
        <v>10886</v>
      </c>
      <c r="P228" s="124">
        <v>11209</v>
      </c>
      <c r="Q228" s="405"/>
      <c r="R228" s="405"/>
      <c r="S228" s="405"/>
      <c r="T228" s="405"/>
      <c r="U228" s="124">
        <v>7952.6830000000045</v>
      </c>
      <c r="V228" s="124">
        <v>7059</v>
      </c>
      <c r="W228" s="124">
        <v>6630</v>
      </c>
      <c r="X228" s="124">
        <v>6466</v>
      </c>
      <c r="Y228" s="124">
        <v>7190.4130000000005</v>
      </c>
      <c r="Z228" s="124">
        <v>6040.4239999999991</v>
      </c>
      <c r="AA228" s="124">
        <v>6057.5580000000027</v>
      </c>
      <c r="AB228" s="124">
        <v>6235.6049999999996</v>
      </c>
      <c r="AC228" s="124">
        <v>6367.3349999999955</v>
      </c>
      <c r="AD228" s="124">
        <v>5856.373000000005</v>
      </c>
      <c r="AE228" s="124">
        <v>5321.4199999999992</v>
      </c>
      <c r="AF228" s="124">
        <v>5736.3409999999985</v>
      </c>
      <c r="AG228" s="124">
        <v>6065.8020000000015</v>
      </c>
      <c r="AH228" s="124">
        <v>5519.4490000000005</v>
      </c>
      <c r="AI228" s="124">
        <v>5256.1719999999978</v>
      </c>
      <c r="AJ228" s="124">
        <v>5053.8420000000006</v>
      </c>
      <c r="AK228" s="124">
        <v>5715.9689999999973</v>
      </c>
      <c r="AL228" s="124">
        <v>5148.3000000000011</v>
      </c>
      <c r="AM228" s="124">
        <v>4339.6530000000012</v>
      </c>
      <c r="AN228" s="124">
        <v>4453.5990000000002</v>
      </c>
      <c r="AO228" s="124">
        <v>5850.6119999999992</v>
      </c>
      <c r="AP228" s="124">
        <v>5480.3540000000003</v>
      </c>
      <c r="AQ228" s="124">
        <v>5136.9630000000006</v>
      </c>
      <c r="AR228" s="124">
        <v>4889.6529999999993</v>
      </c>
      <c r="AS228" s="124">
        <v>4991.7460000000056</v>
      </c>
      <c r="AT228" s="124">
        <v>3925.011999999997</v>
      </c>
      <c r="AU228" s="124">
        <v>3975.2970000000005</v>
      </c>
      <c r="AV228" s="124">
        <v>3977.6940000000018</v>
      </c>
      <c r="AW228" s="124">
        <v>5396.8909999999978</v>
      </c>
      <c r="AX228" s="124">
        <v>4343.174</v>
      </c>
      <c r="AY228" s="124">
        <v>4291.7420000000011</v>
      </c>
      <c r="AZ228" s="124">
        <v>3967.893</v>
      </c>
      <c r="BA228" s="124">
        <v>3704.6209999999987</v>
      </c>
      <c r="BB228" s="124">
        <v>3293.0640000000017</v>
      </c>
      <c r="BC228" s="124">
        <v>3054.6970000000001</v>
      </c>
      <c r="BD228" s="124">
        <v>2890.6400000000008</v>
      </c>
      <c r="BE228" s="124">
        <v>3013.8680000000008</v>
      </c>
      <c r="BF228" s="124">
        <v>2821.4440000000009</v>
      </c>
      <c r="BG228" s="124">
        <v>2949.175999999999</v>
      </c>
      <c r="BH228" s="124">
        <v>2839.6120000000001</v>
      </c>
      <c r="BI228" s="124">
        <v>3204.7299999999968</v>
      </c>
      <c r="BJ228" s="124">
        <v>3471.9550000000017</v>
      </c>
      <c r="BK228" s="124">
        <v>3378.1079999999997</v>
      </c>
      <c r="BL228" s="124">
        <v>3267.7709999999997</v>
      </c>
      <c r="BM228" s="75">
        <v>2910.3939999999984</v>
      </c>
      <c r="BN228" s="75">
        <v>3038.5910000000008</v>
      </c>
      <c r="BO228" s="75">
        <v>2795.8570000000009</v>
      </c>
      <c r="BP228" s="75">
        <v>3024.5180000000005</v>
      </c>
      <c r="BQ228" s="75" t="s">
        <v>121</v>
      </c>
      <c r="BR228" s="75" t="s">
        <v>121</v>
      </c>
      <c r="BS228" s="75" t="s">
        <v>121</v>
      </c>
      <c r="BT228" s="75" t="s">
        <v>121</v>
      </c>
      <c r="BU228" s="75" t="s">
        <v>121</v>
      </c>
      <c r="BV228" s="75" t="s">
        <v>121</v>
      </c>
      <c r="BW228" s="75" t="s">
        <v>121</v>
      </c>
      <c r="BX228" s="75" t="s">
        <v>121</v>
      </c>
      <c r="BY228" s="75" t="s">
        <v>121</v>
      </c>
      <c r="BZ228" s="75" t="s">
        <v>121</v>
      </c>
      <c r="CA228" s="75" t="s">
        <v>121</v>
      </c>
      <c r="CB228" s="75" t="s">
        <v>121</v>
      </c>
      <c r="CC228" s="75" t="s">
        <v>121</v>
      </c>
      <c r="CD228" s="75" t="s">
        <v>121</v>
      </c>
      <c r="CE228" s="75" t="s">
        <v>121</v>
      </c>
      <c r="CF228" s="75" t="s">
        <v>121</v>
      </c>
      <c r="CG228" s="75" t="s">
        <v>121</v>
      </c>
      <c r="CH228" s="75" t="s">
        <v>121</v>
      </c>
      <c r="CI228" s="75" t="s">
        <v>121</v>
      </c>
      <c r="CJ228" s="75" t="s">
        <v>121</v>
      </c>
      <c r="CK228" s="75" t="s">
        <v>121</v>
      </c>
      <c r="CL228" s="75" t="s">
        <v>121</v>
      </c>
      <c r="CM228" s="75" t="s">
        <v>121</v>
      </c>
      <c r="CN228" s="75" t="s">
        <v>121</v>
      </c>
      <c r="CO228" s="75" t="s">
        <v>121</v>
      </c>
      <c r="CP228" s="75" t="s">
        <v>121</v>
      </c>
      <c r="CQ228" s="75" t="s">
        <v>121</v>
      </c>
      <c r="CR228" s="75" t="s">
        <v>121</v>
      </c>
      <c r="CS228" s="75" t="s">
        <v>121</v>
      </c>
      <c r="CT228" s="75" t="s">
        <v>121</v>
      </c>
      <c r="CU228" s="75" t="s">
        <v>121</v>
      </c>
      <c r="CV228" s="75" t="s">
        <v>121</v>
      </c>
      <c r="CW228" s="75" t="s">
        <v>121</v>
      </c>
      <c r="CX228" s="75" t="s">
        <v>121</v>
      </c>
      <c r="CY228" s="75" t="s">
        <v>121</v>
      </c>
      <c r="CZ228" s="75" t="s">
        <v>121</v>
      </c>
      <c r="DA228" s="75" t="s">
        <v>121</v>
      </c>
      <c r="DB228" s="75" t="s">
        <v>121</v>
      </c>
      <c r="DC228" s="75" t="s">
        <v>121</v>
      </c>
      <c r="DD228" s="75" t="s">
        <v>121</v>
      </c>
      <c r="DE228" s="75" t="s">
        <v>121</v>
      </c>
      <c r="DF228" s="75" t="s">
        <v>121</v>
      </c>
      <c r="DG228" s="75" t="s">
        <v>121</v>
      </c>
      <c r="DH228" s="75" t="s">
        <v>121</v>
      </c>
      <c r="DI228" s="75" t="s">
        <v>121</v>
      </c>
      <c r="DJ228" s="75" t="s">
        <v>121</v>
      </c>
      <c r="DK228" s="75" t="s">
        <v>121</v>
      </c>
      <c r="DL228" s="75" t="s">
        <v>121</v>
      </c>
      <c r="DM228" s="75" t="s">
        <v>121</v>
      </c>
      <c r="DN228" s="75" t="s">
        <v>121</v>
      </c>
      <c r="DO228" s="75" t="s">
        <v>121</v>
      </c>
      <c r="DP228" s="75" t="s">
        <v>121</v>
      </c>
      <c r="DQ228" s="75" t="s">
        <v>121</v>
      </c>
      <c r="DR228" s="75" t="s">
        <v>121</v>
      </c>
      <c r="DS228" s="75" t="s">
        <v>121</v>
      </c>
      <c r="DT228" s="75" t="s">
        <v>121</v>
      </c>
      <c r="DU228" s="75" t="s">
        <v>121</v>
      </c>
      <c r="DV228" s="75" t="s">
        <v>121</v>
      </c>
      <c r="DW228" s="75" t="s">
        <v>121</v>
      </c>
      <c r="DX228" s="75" t="s">
        <v>121</v>
      </c>
      <c r="DY228" s="75" t="s">
        <v>121</v>
      </c>
      <c r="DZ228" s="75" t="s">
        <v>121</v>
      </c>
      <c r="EA228" s="75" t="s">
        <v>121</v>
      </c>
      <c r="EB228" s="75" t="s">
        <v>121</v>
      </c>
      <c r="EC228" s="75" t="s">
        <v>121</v>
      </c>
      <c r="ED228" s="75" t="s">
        <v>121</v>
      </c>
      <c r="EE228" s="75" t="s">
        <v>121</v>
      </c>
      <c r="EF228" s="75" t="s">
        <v>121</v>
      </c>
      <c r="EG228" s="75" t="s">
        <v>121</v>
      </c>
      <c r="EH228" s="75" t="s">
        <v>121</v>
      </c>
      <c r="EI228" s="75" t="s">
        <v>121</v>
      </c>
      <c r="EJ228" s="75" t="s">
        <v>121</v>
      </c>
      <c r="EK228" s="75" t="s">
        <v>121</v>
      </c>
      <c r="EL228" s="75" t="s">
        <v>121</v>
      </c>
      <c r="EM228" s="75" t="s">
        <v>121</v>
      </c>
      <c r="EN228" s="75" t="s">
        <v>121</v>
      </c>
      <c r="EO228" s="75" t="s">
        <v>121</v>
      </c>
      <c r="EP228" s="75" t="s">
        <v>121</v>
      </c>
      <c r="EQ228" s="75" t="s">
        <v>121</v>
      </c>
      <c r="ER228" s="75" t="s">
        <v>121</v>
      </c>
      <c r="ES228" s="75" t="s">
        <v>121</v>
      </c>
      <c r="ET228" s="75" t="s">
        <v>121</v>
      </c>
      <c r="EU228" s="75" t="s">
        <v>121</v>
      </c>
      <c r="EV228" s="75" t="s">
        <v>121</v>
      </c>
      <c r="EW228" s="75" t="s">
        <v>121</v>
      </c>
      <c r="EX228" s="75" t="s">
        <v>121</v>
      </c>
    </row>
    <row r="229" spans="1:154" x14ac:dyDescent="0.25">
      <c r="A229" s="72">
        <v>229</v>
      </c>
      <c r="B229" s="1" t="s">
        <v>121</v>
      </c>
      <c r="C229" s="1" t="s">
        <v>121</v>
      </c>
      <c r="D229" s="1" t="s">
        <v>121</v>
      </c>
      <c r="E229" s="55" t="s">
        <v>121</v>
      </c>
      <c r="F229" s="55" t="s">
        <v>121</v>
      </c>
      <c r="G229" s="55" t="s">
        <v>121</v>
      </c>
      <c r="H229" s="55" t="s">
        <v>121</v>
      </c>
      <c r="I229" s="55" t="s">
        <v>121</v>
      </c>
      <c r="J229" s="55" t="s">
        <v>121</v>
      </c>
      <c r="K229" s="55" t="s">
        <v>121</v>
      </c>
      <c r="L229" s="55" t="s">
        <v>121</v>
      </c>
      <c r="M229" s="55" t="s">
        <v>121</v>
      </c>
      <c r="N229" s="55" t="s">
        <v>121</v>
      </c>
      <c r="O229" s="55" t="s">
        <v>121</v>
      </c>
      <c r="P229" s="55" t="s">
        <v>121</v>
      </c>
      <c r="Q229" s="405"/>
      <c r="R229" s="405"/>
      <c r="S229" s="405"/>
      <c r="T229" s="405"/>
      <c r="U229" s="55" t="s">
        <v>121</v>
      </c>
      <c r="V229" s="55" t="s">
        <v>121</v>
      </c>
      <c r="W229" s="55" t="s">
        <v>121</v>
      </c>
      <c r="X229" s="55" t="s">
        <v>121</v>
      </c>
      <c r="Y229" s="252" t="s">
        <v>121</v>
      </c>
      <c r="Z229" s="252" t="s">
        <v>121</v>
      </c>
      <c r="AA229" s="252" t="s">
        <v>121</v>
      </c>
      <c r="AB229" s="252" t="s">
        <v>121</v>
      </c>
      <c r="AC229" s="55" t="s">
        <v>121</v>
      </c>
      <c r="AD229" s="55" t="s">
        <v>121</v>
      </c>
      <c r="AE229" s="55" t="s">
        <v>121</v>
      </c>
      <c r="AF229" s="55" t="s">
        <v>121</v>
      </c>
      <c r="AG229" s="55" t="s">
        <v>121</v>
      </c>
      <c r="AH229" s="55" t="s">
        <v>121</v>
      </c>
      <c r="AI229" s="55" t="s">
        <v>121</v>
      </c>
      <c r="AJ229" s="55" t="s">
        <v>121</v>
      </c>
      <c r="AK229" s="55" t="s">
        <v>121</v>
      </c>
      <c r="AL229" s="55" t="s">
        <v>121</v>
      </c>
      <c r="AM229" s="55" t="s">
        <v>121</v>
      </c>
      <c r="AN229" s="55" t="s">
        <v>121</v>
      </c>
      <c r="AO229" s="55" t="s">
        <v>121</v>
      </c>
      <c r="AP229" s="55" t="s">
        <v>121</v>
      </c>
      <c r="AQ229" s="55" t="s">
        <v>121</v>
      </c>
      <c r="AR229" s="55" t="s">
        <v>121</v>
      </c>
      <c r="AS229" s="55" t="s">
        <v>121</v>
      </c>
      <c r="AT229" s="55" t="s">
        <v>121</v>
      </c>
      <c r="AU229" s="55" t="s">
        <v>121</v>
      </c>
      <c r="AV229" s="55" t="s">
        <v>121</v>
      </c>
      <c r="AW229" s="55" t="s">
        <v>121</v>
      </c>
      <c r="AX229" s="55" t="s">
        <v>121</v>
      </c>
      <c r="AY229" s="55" t="s">
        <v>121</v>
      </c>
      <c r="AZ229" s="55" t="s">
        <v>121</v>
      </c>
      <c r="BA229" s="55" t="s">
        <v>121</v>
      </c>
      <c r="BB229" s="55" t="s">
        <v>121</v>
      </c>
      <c r="BC229" s="55" t="s">
        <v>121</v>
      </c>
      <c r="BD229" s="55" t="s">
        <v>121</v>
      </c>
      <c r="BE229" s="55" t="s">
        <v>121</v>
      </c>
      <c r="BF229" s="55" t="s">
        <v>121</v>
      </c>
      <c r="BG229" s="55" t="s">
        <v>121</v>
      </c>
      <c r="BH229" s="1" t="s">
        <v>121</v>
      </c>
      <c r="BI229" s="1" t="s">
        <v>121</v>
      </c>
      <c r="BJ229" s="1" t="s">
        <v>121</v>
      </c>
      <c r="BK229" s="1" t="s">
        <v>121</v>
      </c>
      <c r="BL229" s="1" t="s">
        <v>121</v>
      </c>
      <c r="BM229" s="1" t="s">
        <v>121</v>
      </c>
      <c r="BN229" s="1" t="s">
        <v>121</v>
      </c>
      <c r="BO229" s="1" t="s">
        <v>121</v>
      </c>
      <c r="BP229" s="1" t="s">
        <v>121</v>
      </c>
      <c r="BQ229" s="1" t="s">
        <v>121</v>
      </c>
      <c r="BR229" s="1" t="s">
        <v>121</v>
      </c>
      <c r="BS229" s="1" t="s">
        <v>121</v>
      </c>
      <c r="BT229" s="1" t="s">
        <v>121</v>
      </c>
      <c r="BU229" s="1" t="s">
        <v>121</v>
      </c>
      <c r="BV229" s="1" t="s">
        <v>121</v>
      </c>
      <c r="BW229" s="1" t="s">
        <v>121</v>
      </c>
      <c r="BX229" s="1" t="s">
        <v>121</v>
      </c>
      <c r="BY229" s="1" t="s">
        <v>121</v>
      </c>
      <c r="BZ229" s="1" t="s">
        <v>121</v>
      </c>
      <c r="CA229" s="1" t="s">
        <v>121</v>
      </c>
      <c r="CB229" s="1" t="s">
        <v>121</v>
      </c>
      <c r="CC229" s="1" t="s">
        <v>121</v>
      </c>
      <c r="CD229" s="1" t="s">
        <v>121</v>
      </c>
      <c r="CE229" s="1" t="s">
        <v>121</v>
      </c>
      <c r="CF229" s="1" t="s">
        <v>121</v>
      </c>
      <c r="CG229" s="1" t="s">
        <v>121</v>
      </c>
      <c r="CH229" s="1" t="s">
        <v>121</v>
      </c>
      <c r="CI229" s="1" t="s">
        <v>121</v>
      </c>
      <c r="CJ229" s="1" t="s">
        <v>121</v>
      </c>
      <c r="CK229" s="1" t="s">
        <v>121</v>
      </c>
      <c r="CL229" s="1" t="s">
        <v>121</v>
      </c>
      <c r="CM229" s="1" t="s">
        <v>121</v>
      </c>
      <c r="CN229" s="1" t="s">
        <v>121</v>
      </c>
      <c r="CO229" s="1" t="s">
        <v>121</v>
      </c>
      <c r="CP229" s="1" t="s">
        <v>121</v>
      </c>
      <c r="CQ229" s="1" t="s">
        <v>121</v>
      </c>
      <c r="CR229" s="1" t="s">
        <v>121</v>
      </c>
      <c r="CS229" s="1" t="s">
        <v>121</v>
      </c>
      <c r="CT229" s="1" t="s">
        <v>121</v>
      </c>
      <c r="CU229" s="1" t="s">
        <v>121</v>
      </c>
      <c r="CV229" s="1" t="s">
        <v>121</v>
      </c>
      <c r="CW229" s="1" t="s">
        <v>121</v>
      </c>
      <c r="CX229" s="1" t="s">
        <v>121</v>
      </c>
      <c r="CY229" s="1" t="s">
        <v>121</v>
      </c>
      <c r="CZ229" s="1" t="s">
        <v>121</v>
      </c>
      <c r="DA229" s="1" t="s">
        <v>121</v>
      </c>
      <c r="DB229" s="1" t="s">
        <v>121</v>
      </c>
      <c r="DC229" s="1" t="s">
        <v>121</v>
      </c>
      <c r="DD229" s="1" t="s">
        <v>121</v>
      </c>
      <c r="DE229" s="1" t="s">
        <v>121</v>
      </c>
      <c r="DF229" s="1" t="s">
        <v>121</v>
      </c>
      <c r="DG229" s="1" t="s">
        <v>121</v>
      </c>
      <c r="DH229" s="1" t="s">
        <v>121</v>
      </c>
      <c r="DI229" s="1" t="s">
        <v>121</v>
      </c>
      <c r="DJ229" s="1" t="s">
        <v>121</v>
      </c>
      <c r="DK229" s="1" t="s">
        <v>121</v>
      </c>
      <c r="DL229" s="1" t="s">
        <v>121</v>
      </c>
      <c r="DM229" s="1" t="s">
        <v>121</v>
      </c>
      <c r="DN229" s="1" t="s">
        <v>121</v>
      </c>
      <c r="DO229" s="1" t="s">
        <v>121</v>
      </c>
      <c r="DP229" s="1" t="s">
        <v>121</v>
      </c>
      <c r="DQ229" s="1" t="s">
        <v>121</v>
      </c>
      <c r="DR229" s="1" t="s">
        <v>121</v>
      </c>
      <c r="DS229" s="1" t="s">
        <v>121</v>
      </c>
      <c r="DT229" s="1" t="s">
        <v>121</v>
      </c>
      <c r="DU229" s="1" t="s">
        <v>121</v>
      </c>
      <c r="DV229" s="1" t="s">
        <v>121</v>
      </c>
      <c r="DW229" s="1" t="s">
        <v>121</v>
      </c>
      <c r="DX229" s="1" t="s">
        <v>121</v>
      </c>
      <c r="DY229" s="1" t="s">
        <v>121</v>
      </c>
      <c r="DZ229" s="1" t="s">
        <v>121</v>
      </c>
      <c r="EA229" s="1" t="s">
        <v>121</v>
      </c>
      <c r="EB229" s="1" t="s">
        <v>121</v>
      </c>
      <c r="EC229" s="1" t="s">
        <v>121</v>
      </c>
      <c r="ED229" s="1" t="s">
        <v>121</v>
      </c>
      <c r="EE229" s="1" t="s">
        <v>121</v>
      </c>
      <c r="EF229" s="1" t="s">
        <v>121</v>
      </c>
      <c r="EG229" s="1" t="s">
        <v>121</v>
      </c>
      <c r="EH229" s="1" t="s">
        <v>121</v>
      </c>
      <c r="EI229" s="1" t="s">
        <v>121</v>
      </c>
      <c r="EJ229" s="1" t="s">
        <v>121</v>
      </c>
      <c r="EK229" s="1" t="s">
        <v>121</v>
      </c>
      <c r="EL229" s="1" t="s">
        <v>121</v>
      </c>
      <c r="EM229" s="1" t="s">
        <v>121</v>
      </c>
      <c r="EN229" s="1" t="s">
        <v>121</v>
      </c>
      <c r="EO229" s="1" t="s">
        <v>121</v>
      </c>
      <c r="EP229" s="1" t="s">
        <v>121</v>
      </c>
      <c r="EQ229" s="1" t="s">
        <v>121</v>
      </c>
      <c r="ER229" s="1" t="s">
        <v>121</v>
      </c>
      <c r="ES229" s="1" t="s">
        <v>121</v>
      </c>
      <c r="ET229" s="1" t="s">
        <v>121</v>
      </c>
      <c r="EU229" s="1" t="s">
        <v>121</v>
      </c>
      <c r="EV229" s="1" t="s">
        <v>121</v>
      </c>
      <c r="EW229" s="1" t="s">
        <v>121</v>
      </c>
      <c r="EX229" s="1" t="s">
        <v>121</v>
      </c>
    </row>
    <row r="230" spans="1:154" x14ac:dyDescent="0.25">
      <c r="A230" s="72">
        <v>230</v>
      </c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</row>
    <row r="231" spans="1:154" x14ac:dyDescent="0.25">
      <c r="A231" s="72">
        <v>231</v>
      </c>
    </row>
    <row r="232" spans="1:154" x14ac:dyDescent="0.25">
      <c r="A232" s="72">
        <v>232</v>
      </c>
      <c r="B232" s="426" t="s">
        <v>456</v>
      </c>
      <c r="C232" s="436" t="s">
        <v>121</v>
      </c>
      <c r="D232" s="215" t="s">
        <v>121</v>
      </c>
      <c r="E232" s="434" t="s">
        <v>265</v>
      </c>
      <c r="F232" s="416" t="s">
        <v>129</v>
      </c>
      <c r="G232" s="416" t="s">
        <v>130</v>
      </c>
      <c r="H232" s="416" t="s">
        <v>131</v>
      </c>
      <c r="I232" s="416" t="s">
        <v>132</v>
      </c>
      <c r="J232" s="416" t="s">
        <v>133</v>
      </c>
      <c r="K232" s="416" t="s">
        <v>134</v>
      </c>
      <c r="L232" s="416" t="s">
        <v>135</v>
      </c>
      <c r="M232" s="416" t="s">
        <v>136</v>
      </c>
      <c r="N232" s="416" t="s">
        <v>137</v>
      </c>
      <c r="O232" s="416" t="s">
        <v>138</v>
      </c>
      <c r="P232" s="416" t="s">
        <v>139</v>
      </c>
      <c r="Q232" s="416" t="s">
        <v>140</v>
      </c>
      <c r="R232" s="416" t="s">
        <v>141</v>
      </c>
      <c r="S232" s="416" t="s">
        <v>142</v>
      </c>
      <c r="T232" s="416" t="s">
        <v>143</v>
      </c>
      <c r="U232" s="416" t="s">
        <v>144</v>
      </c>
      <c r="V232" s="416" t="s">
        <v>145</v>
      </c>
      <c r="W232" s="416" t="s">
        <v>146</v>
      </c>
      <c r="X232" s="416" t="s">
        <v>147</v>
      </c>
      <c r="Y232" s="416" t="s">
        <v>148</v>
      </c>
      <c r="Z232" s="416" t="s">
        <v>149</v>
      </c>
      <c r="AA232" s="416" t="s">
        <v>150</v>
      </c>
      <c r="AB232" s="416" t="s">
        <v>151</v>
      </c>
      <c r="AC232" s="416" t="s">
        <v>152</v>
      </c>
      <c r="AD232" s="416" t="s">
        <v>153</v>
      </c>
      <c r="AE232" s="416" t="s">
        <v>154</v>
      </c>
      <c r="AF232" s="416" t="s">
        <v>155</v>
      </c>
      <c r="AG232" s="416" t="s">
        <v>156</v>
      </c>
      <c r="AH232" s="416" t="s">
        <v>157</v>
      </c>
      <c r="AI232" s="416" t="s">
        <v>158</v>
      </c>
      <c r="AJ232" s="416" t="s">
        <v>159</v>
      </c>
      <c r="AK232" s="416" t="s">
        <v>160</v>
      </c>
      <c r="AL232" s="416" t="s">
        <v>161</v>
      </c>
      <c r="AM232" s="416" t="s">
        <v>162</v>
      </c>
      <c r="AN232" s="416" t="s">
        <v>163</v>
      </c>
      <c r="AO232" s="416" t="s">
        <v>164</v>
      </c>
      <c r="AP232" s="416" t="s">
        <v>165</v>
      </c>
      <c r="AQ232" s="416" t="s">
        <v>166</v>
      </c>
      <c r="AR232" s="416" t="s">
        <v>167</v>
      </c>
      <c r="AS232" s="416" t="s">
        <v>168</v>
      </c>
      <c r="AT232" s="416" t="s">
        <v>169</v>
      </c>
      <c r="AU232" s="416" t="s">
        <v>170</v>
      </c>
      <c r="AV232" s="416" t="s">
        <v>171</v>
      </c>
      <c r="AW232" s="416" t="s">
        <v>172</v>
      </c>
      <c r="AX232" s="416" t="s">
        <v>173</v>
      </c>
      <c r="AY232" s="416" t="s">
        <v>174</v>
      </c>
      <c r="AZ232" s="416" t="s">
        <v>175</v>
      </c>
      <c r="BA232" s="416" t="s">
        <v>176</v>
      </c>
      <c r="BB232" s="416" t="s">
        <v>177</v>
      </c>
      <c r="BC232" s="416" t="s">
        <v>178</v>
      </c>
      <c r="BD232" s="416" t="s">
        <v>179</v>
      </c>
      <c r="BE232" s="416" t="s">
        <v>180</v>
      </c>
      <c r="BF232" s="416" t="s">
        <v>181</v>
      </c>
      <c r="BG232" s="416" t="s">
        <v>182</v>
      </c>
      <c r="BH232" s="416" t="s">
        <v>183</v>
      </c>
      <c r="BI232" s="416" t="s">
        <v>184</v>
      </c>
      <c r="BJ232" s="416" t="s">
        <v>185</v>
      </c>
      <c r="BK232" s="416" t="s">
        <v>186</v>
      </c>
      <c r="BL232" s="416" t="s">
        <v>187</v>
      </c>
      <c r="BM232" s="1" t="s">
        <v>188</v>
      </c>
      <c r="BN232" s="1" t="s">
        <v>189</v>
      </c>
      <c r="BO232" s="1" t="s">
        <v>190</v>
      </c>
      <c r="BP232" s="1" t="s">
        <v>191</v>
      </c>
      <c r="BQ232" s="1" t="s">
        <v>121</v>
      </c>
      <c r="BR232" s="1" t="s">
        <v>121</v>
      </c>
      <c r="BS232" s="1" t="s">
        <v>121</v>
      </c>
      <c r="BT232" s="1" t="s">
        <v>121</v>
      </c>
      <c r="BU232" s="1" t="s">
        <v>121</v>
      </c>
      <c r="BV232" s="1" t="s">
        <v>121</v>
      </c>
      <c r="BW232" s="1" t="s">
        <v>121</v>
      </c>
      <c r="BX232" s="1" t="s">
        <v>121</v>
      </c>
      <c r="BY232" s="1" t="s">
        <v>121</v>
      </c>
      <c r="BZ232" s="1" t="s">
        <v>121</v>
      </c>
      <c r="CA232" s="1" t="s">
        <v>121</v>
      </c>
      <c r="CB232" s="1" t="s">
        <v>121</v>
      </c>
      <c r="CC232" s="1" t="s">
        <v>121</v>
      </c>
      <c r="CD232" s="1" t="s">
        <v>121</v>
      </c>
      <c r="CE232" s="1" t="s">
        <v>121</v>
      </c>
      <c r="CF232" s="1" t="s">
        <v>121</v>
      </c>
      <c r="CG232" s="1" t="s">
        <v>121</v>
      </c>
      <c r="CH232" s="1" t="s">
        <v>121</v>
      </c>
      <c r="CI232" s="1" t="s">
        <v>121</v>
      </c>
      <c r="CJ232" s="1" t="s">
        <v>121</v>
      </c>
      <c r="CK232" s="1" t="s">
        <v>121</v>
      </c>
      <c r="CL232" s="1" t="s">
        <v>121</v>
      </c>
      <c r="CM232" s="1" t="s">
        <v>121</v>
      </c>
      <c r="CN232" s="1" t="s">
        <v>121</v>
      </c>
      <c r="CO232" s="1" t="s">
        <v>121</v>
      </c>
      <c r="CP232" s="1" t="s">
        <v>121</v>
      </c>
      <c r="CQ232" s="1" t="s">
        <v>121</v>
      </c>
      <c r="CR232" s="1" t="s">
        <v>121</v>
      </c>
      <c r="CS232" s="1" t="s">
        <v>121</v>
      </c>
      <c r="CT232" s="1" t="s">
        <v>121</v>
      </c>
      <c r="CU232" s="1" t="s">
        <v>121</v>
      </c>
      <c r="CV232" s="1" t="s">
        <v>121</v>
      </c>
      <c r="CW232" s="1" t="s">
        <v>121</v>
      </c>
      <c r="CX232" s="1" t="s">
        <v>121</v>
      </c>
      <c r="CY232" s="1" t="s">
        <v>121</v>
      </c>
      <c r="CZ232" s="1" t="s">
        <v>121</v>
      </c>
      <c r="DA232" s="1" t="s">
        <v>121</v>
      </c>
      <c r="DB232" s="1" t="s">
        <v>121</v>
      </c>
      <c r="DC232" s="1" t="s">
        <v>121</v>
      </c>
      <c r="DD232" s="1" t="s">
        <v>121</v>
      </c>
      <c r="DE232" s="1" t="s">
        <v>121</v>
      </c>
      <c r="DF232" s="1" t="s">
        <v>121</v>
      </c>
      <c r="DG232" s="1" t="s">
        <v>121</v>
      </c>
      <c r="DH232" s="1" t="s">
        <v>121</v>
      </c>
      <c r="DI232" s="1" t="s">
        <v>121</v>
      </c>
      <c r="DJ232" s="1" t="s">
        <v>121</v>
      </c>
      <c r="DK232" s="1" t="s">
        <v>121</v>
      </c>
      <c r="DL232" s="1" t="s">
        <v>121</v>
      </c>
      <c r="DM232" s="1" t="s">
        <v>121</v>
      </c>
      <c r="DN232" s="1" t="s">
        <v>121</v>
      </c>
      <c r="DO232" s="1" t="s">
        <v>121</v>
      </c>
      <c r="DP232" s="1" t="s">
        <v>121</v>
      </c>
      <c r="DQ232" s="1" t="s">
        <v>121</v>
      </c>
      <c r="DR232" s="1" t="s">
        <v>121</v>
      </c>
      <c r="DS232" s="1" t="s">
        <v>121</v>
      </c>
      <c r="DT232" s="1" t="s">
        <v>121</v>
      </c>
      <c r="DU232" s="1" t="s">
        <v>121</v>
      </c>
      <c r="DV232" s="1" t="s">
        <v>121</v>
      </c>
      <c r="DW232" s="1" t="s">
        <v>121</v>
      </c>
      <c r="DX232" s="1" t="s">
        <v>121</v>
      </c>
      <c r="DY232" s="1" t="s">
        <v>121</v>
      </c>
      <c r="DZ232" s="1" t="s">
        <v>121</v>
      </c>
      <c r="EA232" s="1" t="s">
        <v>121</v>
      </c>
      <c r="EB232" s="1" t="s">
        <v>121</v>
      </c>
      <c r="EC232" s="1" t="s">
        <v>121</v>
      </c>
      <c r="ED232" s="1" t="s">
        <v>121</v>
      </c>
      <c r="EE232" s="1" t="s">
        <v>121</v>
      </c>
      <c r="EF232" s="1" t="s">
        <v>121</v>
      </c>
      <c r="EG232" s="1" t="s">
        <v>121</v>
      </c>
      <c r="EH232" s="1" t="s">
        <v>121</v>
      </c>
      <c r="EI232" s="1" t="s">
        <v>121</v>
      </c>
      <c r="EJ232" s="1" t="s">
        <v>121</v>
      </c>
      <c r="EK232" s="1" t="s">
        <v>121</v>
      </c>
      <c r="EL232" s="1" t="s">
        <v>121</v>
      </c>
      <c r="EM232" s="1" t="s">
        <v>121</v>
      </c>
      <c r="EN232" s="1" t="s">
        <v>121</v>
      </c>
      <c r="EO232" s="1" t="s">
        <v>121</v>
      </c>
      <c r="EP232" s="1" t="s">
        <v>121</v>
      </c>
      <c r="EQ232" s="1" t="s">
        <v>121</v>
      </c>
      <c r="ER232" s="1" t="s">
        <v>121</v>
      </c>
      <c r="ES232" s="1" t="s">
        <v>121</v>
      </c>
      <c r="ET232" s="1" t="s">
        <v>121</v>
      </c>
      <c r="EU232" s="1" t="s">
        <v>121</v>
      </c>
      <c r="EV232" s="1" t="s">
        <v>121</v>
      </c>
      <c r="EW232" s="1" t="s">
        <v>121</v>
      </c>
      <c r="EX232" s="1" t="s">
        <v>121</v>
      </c>
    </row>
    <row r="233" spans="1:154" x14ac:dyDescent="0.25">
      <c r="A233" s="72">
        <v>233</v>
      </c>
      <c r="B233" s="427"/>
      <c r="C233" s="437"/>
      <c r="D233" s="258"/>
      <c r="E233" s="444"/>
      <c r="F233" s="417"/>
      <c r="G233" s="417"/>
      <c r="H233" s="418"/>
      <c r="I233" s="417"/>
      <c r="J233" s="417"/>
      <c r="K233" s="417"/>
      <c r="L233" s="418"/>
      <c r="M233" s="417"/>
      <c r="N233" s="417"/>
      <c r="O233" s="417"/>
      <c r="P233" s="418"/>
      <c r="Q233" s="418"/>
      <c r="R233" s="417"/>
      <c r="S233" s="417"/>
      <c r="T233" s="418"/>
      <c r="U233" s="418"/>
      <c r="V233" s="418"/>
      <c r="W233" s="417"/>
      <c r="X233" s="417"/>
      <c r="Y233" s="418"/>
      <c r="Z233" s="418"/>
      <c r="AA233" s="417"/>
      <c r="AB233" s="417"/>
      <c r="AC233" s="417"/>
      <c r="AD233" s="417"/>
      <c r="AE233" s="417"/>
      <c r="AF233" s="418"/>
      <c r="AG233" s="417"/>
      <c r="AH233" s="417"/>
      <c r="AI233" s="417"/>
      <c r="AJ233" s="418"/>
      <c r="AK233" s="417"/>
      <c r="AL233" s="417"/>
      <c r="AM233" s="417"/>
      <c r="AN233" s="418"/>
      <c r="AO233" s="418"/>
      <c r="AP233" s="418"/>
      <c r="AQ233" s="417"/>
      <c r="AR233" s="417"/>
      <c r="AS233" s="417"/>
      <c r="AT233" s="417"/>
      <c r="AU233" s="417"/>
      <c r="AV233" s="417"/>
      <c r="AW233" s="417"/>
      <c r="AX233" s="417"/>
      <c r="AY233" s="417"/>
      <c r="AZ233" s="417"/>
      <c r="BA233" s="417"/>
      <c r="BB233" s="417"/>
      <c r="BC233" s="417"/>
      <c r="BD233" s="417"/>
      <c r="BE233" s="417"/>
      <c r="BF233" s="417"/>
      <c r="BG233" s="417"/>
      <c r="BH233" s="417"/>
      <c r="BI233" s="417"/>
      <c r="BJ233" s="417"/>
      <c r="BK233" s="417"/>
      <c r="BL233" s="417"/>
    </row>
    <row r="234" spans="1:154" ht="8.1" customHeight="1" x14ac:dyDescent="0.25">
      <c r="A234" s="72">
        <v>234</v>
      </c>
      <c r="B234" s="8" t="s">
        <v>4</v>
      </c>
      <c r="C234" s="87" t="s">
        <v>121</v>
      </c>
      <c r="D234" s="56" t="s">
        <v>121</v>
      </c>
      <c r="E234" s="88" t="s">
        <v>121</v>
      </c>
      <c r="F234" s="56" t="s">
        <v>121</v>
      </c>
      <c r="G234" s="56" t="s">
        <v>121</v>
      </c>
      <c r="H234" s="56" t="s">
        <v>121</v>
      </c>
      <c r="I234" s="56" t="s">
        <v>121</v>
      </c>
      <c r="J234" s="56" t="s">
        <v>121</v>
      </c>
      <c r="K234" s="56" t="s">
        <v>121</v>
      </c>
      <c r="L234" s="56" t="s">
        <v>121</v>
      </c>
      <c r="M234" s="56" t="s">
        <v>121</v>
      </c>
      <c r="N234" s="56" t="s">
        <v>121</v>
      </c>
      <c r="O234" s="56" t="s">
        <v>121</v>
      </c>
      <c r="P234" s="56" t="s">
        <v>121</v>
      </c>
      <c r="Q234" s="56" t="s">
        <v>121</v>
      </c>
      <c r="R234" s="56" t="s">
        <v>121</v>
      </c>
      <c r="S234" s="56" t="s">
        <v>121</v>
      </c>
      <c r="T234" s="56" t="s">
        <v>121</v>
      </c>
      <c r="U234" s="56" t="s">
        <v>121</v>
      </c>
      <c r="V234" s="56" t="s">
        <v>121</v>
      </c>
      <c r="W234" s="56" t="s">
        <v>121</v>
      </c>
      <c r="X234" s="56" t="s">
        <v>121</v>
      </c>
      <c r="Y234" s="56" t="s">
        <v>121</v>
      </c>
      <c r="Z234" s="56" t="s">
        <v>121</v>
      </c>
      <c r="AA234" s="56" t="s">
        <v>121</v>
      </c>
      <c r="AB234" s="56" t="s">
        <v>121</v>
      </c>
      <c r="AC234" s="56" t="s">
        <v>121</v>
      </c>
      <c r="AD234" s="56" t="s">
        <v>121</v>
      </c>
      <c r="AE234" s="56" t="s">
        <v>121</v>
      </c>
      <c r="AF234" s="56" t="s">
        <v>121</v>
      </c>
      <c r="AG234" s="56" t="s">
        <v>121</v>
      </c>
      <c r="AH234" s="56" t="s">
        <v>121</v>
      </c>
      <c r="AI234" s="56" t="s">
        <v>121</v>
      </c>
      <c r="AJ234" s="56" t="s">
        <v>121</v>
      </c>
      <c r="AK234" s="56" t="s">
        <v>121</v>
      </c>
      <c r="AL234" s="56" t="s">
        <v>121</v>
      </c>
      <c r="AM234" s="56" t="s">
        <v>121</v>
      </c>
      <c r="AN234" s="56" t="s">
        <v>121</v>
      </c>
      <c r="AO234" s="56" t="s">
        <v>121</v>
      </c>
      <c r="AP234" s="56" t="s">
        <v>121</v>
      </c>
      <c r="AQ234" s="56" t="s">
        <v>121</v>
      </c>
      <c r="AR234" s="56" t="s">
        <v>121</v>
      </c>
      <c r="AS234" s="56" t="s">
        <v>121</v>
      </c>
      <c r="AT234" s="56" t="s">
        <v>121</v>
      </c>
      <c r="AU234" s="56" t="s">
        <v>121</v>
      </c>
      <c r="AV234" s="56" t="s">
        <v>121</v>
      </c>
      <c r="AW234" s="56" t="s">
        <v>121</v>
      </c>
      <c r="AX234" s="56" t="s">
        <v>121</v>
      </c>
      <c r="AY234" s="56" t="s">
        <v>121</v>
      </c>
      <c r="AZ234" s="8" t="s">
        <v>121</v>
      </c>
      <c r="BA234" s="1" t="s">
        <v>121</v>
      </c>
      <c r="BB234" s="1" t="s">
        <v>121</v>
      </c>
      <c r="BC234" s="1" t="s">
        <v>121</v>
      </c>
      <c r="BD234" s="1" t="s">
        <v>121</v>
      </c>
      <c r="BE234" s="1" t="s">
        <v>121</v>
      </c>
      <c r="BF234" s="1" t="s">
        <v>121</v>
      </c>
      <c r="BG234" s="1" t="s">
        <v>121</v>
      </c>
      <c r="BH234" s="1" t="s">
        <v>121</v>
      </c>
      <c r="BI234" s="1" t="s">
        <v>121</v>
      </c>
      <c r="BJ234" s="1" t="s">
        <v>121</v>
      </c>
      <c r="BK234" s="1" t="s">
        <v>121</v>
      </c>
      <c r="BL234" s="1" t="s">
        <v>121</v>
      </c>
      <c r="BM234" s="1" t="s">
        <v>121</v>
      </c>
      <c r="BN234" s="1" t="s">
        <v>121</v>
      </c>
      <c r="BO234" s="1" t="s">
        <v>121</v>
      </c>
      <c r="BP234" s="1" t="s">
        <v>121</v>
      </c>
      <c r="BQ234" s="1" t="s">
        <v>121</v>
      </c>
      <c r="BR234" s="1" t="s">
        <v>121</v>
      </c>
      <c r="BS234" s="1" t="s">
        <v>121</v>
      </c>
      <c r="BT234" s="1" t="s">
        <v>121</v>
      </c>
      <c r="BU234" s="1" t="s">
        <v>121</v>
      </c>
      <c r="BV234" s="1" t="s">
        <v>121</v>
      </c>
      <c r="BW234" s="1" t="s">
        <v>121</v>
      </c>
      <c r="BX234" s="1" t="s">
        <v>121</v>
      </c>
      <c r="BY234" s="1" t="s">
        <v>121</v>
      </c>
      <c r="BZ234" s="1" t="s">
        <v>121</v>
      </c>
      <c r="CA234" s="1" t="s">
        <v>121</v>
      </c>
      <c r="CB234" s="1" t="s">
        <v>121</v>
      </c>
      <c r="CC234" s="1" t="s">
        <v>121</v>
      </c>
      <c r="CD234" s="1" t="s">
        <v>121</v>
      </c>
      <c r="CE234" s="1" t="s">
        <v>121</v>
      </c>
      <c r="CF234" s="1" t="s">
        <v>121</v>
      </c>
      <c r="CG234" s="1" t="s">
        <v>121</v>
      </c>
      <c r="CH234" s="1" t="s">
        <v>121</v>
      </c>
      <c r="CI234" s="1" t="s">
        <v>121</v>
      </c>
      <c r="CJ234" s="1" t="s">
        <v>121</v>
      </c>
      <c r="CK234" s="1" t="s">
        <v>121</v>
      </c>
      <c r="CL234" s="1" t="s">
        <v>121</v>
      </c>
      <c r="CM234" s="1" t="s">
        <v>121</v>
      </c>
      <c r="CN234" s="1" t="s">
        <v>121</v>
      </c>
      <c r="CO234" s="1" t="s">
        <v>121</v>
      </c>
      <c r="CP234" s="1" t="s">
        <v>121</v>
      </c>
      <c r="CQ234" s="1" t="s">
        <v>121</v>
      </c>
      <c r="CR234" s="1" t="s">
        <v>121</v>
      </c>
      <c r="CS234" s="1" t="s">
        <v>121</v>
      </c>
      <c r="CT234" s="1" t="s">
        <v>121</v>
      </c>
      <c r="CU234" s="1" t="s">
        <v>121</v>
      </c>
      <c r="CV234" s="1" t="s">
        <v>121</v>
      </c>
      <c r="CW234" s="1" t="s">
        <v>121</v>
      </c>
      <c r="CX234" s="1" t="s">
        <v>121</v>
      </c>
      <c r="CY234" s="1" t="s">
        <v>121</v>
      </c>
      <c r="CZ234" s="1" t="s">
        <v>121</v>
      </c>
      <c r="DA234" s="1" t="s">
        <v>121</v>
      </c>
      <c r="DB234" s="1" t="s">
        <v>121</v>
      </c>
      <c r="DC234" s="1" t="s">
        <v>121</v>
      </c>
      <c r="DD234" s="1" t="s">
        <v>121</v>
      </c>
      <c r="DE234" s="1" t="s">
        <v>121</v>
      </c>
      <c r="DF234" s="1" t="s">
        <v>121</v>
      </c>
      <c r="DG234" s="1" t="s">
        <v>121</v>
      </c>
      <c r="DH234" s="1" t="s">
        <v>121</v>
      </c>
      <c r="DI234" s="1" t="s">
        <v>121</v>
      </c>
      <c r="DJ234" s="1" t="s">
        <v>121</v>
      </c>
      <c r="DK234" s="1" t="s">
        <v>121</v>
      </c>
      <c r="DL234" s="1" t="s">
        <v>121</v>
      </c>
      <c r="DM234" s="1" t="s">
        <v>121</v>
      </c>
      <c r="DN234" s="1" t="s">
        <v>121</v>
      </c>
      <c r="DO234" s="1" t="s">
        <v>121</v>
      </c>
      <c r="DP234" s="1" t="s">
        <v>121</v>
      </c>
      <c r="DQ234" s="1" t="s">
        <v>121</v>
      </c>
      <c r="DR234" s="1" t="s">
        <v>121</v>
      </c>
      <c r="DS234" s="1" t="s">
        <v>121</v>
      </c>
      <c r="DT234" s="1" t="s">
        <v>121</v>
      </c>
      <c r="DU234" s="1" t="s">
        <v>121</v>
      </c>
      <c r="DV234" s="1" t="s">
        <v>121</v>
      </c>
      <c r="DW234" s="1" t="s">
        <v>121</v>
      </c>
      <c r="DX234" s="1" t="s">
        <v>121</v>
      </c>
      <c r="DY234" s="1" t="s">
        <v>121</v>
      </c>
      <c r="DZ234" s="1" t="s">
        <v>121</v>
      </c>
      <c r="EA234" s="1" t="s">
        <v>121</v>
      </c>
      <c r="EB234" s="1" t="s">
        <v>121</v>
      </c>
      <c r="EC234" s="1" t="s">
        <v>121</v>
      </c>
      <c r="ED234" s="1" t="s">
        <v>121</v>
      </c>
      <c r="EE234" s="1" t="s">
        <v>121</v>
      </c>
      <c r="EF234" s="1" t="s">
        <v>121</v>
      </c>
      <c r="EG234" s="1" t="s">
        <v>121</v>
      </c>
      <c r="EH234" s="1" t="s">
        <v>121</v>
      </c>
      <c r="EI234" s="1" t="s">
        <v>121</v>
      </c>
      <c r="EJ234" s="1" t="s">
        <v>121</v>
      </c>
      <c r="EK234" s="1" t="s">
        <v>121</v>
      </c>
      <c r="EL234" s="1" t="s">
        <v>121</v>
      </c>
      <c r="EM234" s="1" t="s">
        <v>121</v>
      </c>
      <c r="EN234" s="1" t="s">
        <v>121</v>
      </c>
      <c r="EO234" s="1" t="s">
        <v>121</v>
      </c>
      <c r="EP234" s="1" t="s">
        <v>121</v>
      </c>
      <c r="EQ234" s="1" t="s">
        <v>121</v>
      </c>
      <c r="ER234" s="1" t="s">
        <v>121</v>
      </c>
      <c r="ES234" s="1" t="s">
        <v>121</v>
      </c>
      <c r="ET234" s="1" t="s">
        <v>121</v>
      </c>
      <c r="EU234" s="1" t="s">
        <v>121</v>
      </c>
      <c r="EV234" s="1" t="s">
        <v>121</v>
      </c>
      <c r="EW234" s="1" t="s">
        <v>121</v>
      </c>
      <c r="EX234" s="1" t="s">
        <v>121</v>
      </c>
    </row>
    <row r="235" spans="1:154" x14ac:dyDescent="0.25">
      <c r="A235" s="72">
        <v>235</v>
      </c>
      <c r="B235" s="73" t="s">
        <v>416</v>
      </c>
      <c r="C235" s="91" t="s">
        <v>121</v>
      </c>
      <c r="D235" s="86" t="s">
        <v>121</v>
      </c>
      <c r="E235" s="92" t="s">
        <v>121</v>
      </c>
      <c r="F235" s="86" t="s">
        <v>121</v>
      </c>
      <c r="G235" s="86" t="s">
        <v>121</v>
      </c>
      <c r="H235" s="86" t="s">
        <v>121</v>
      </c>
      <c r="I235" s="86" t="s">
        <v>121</v>
      </c>
      <c r="J235" s="86" t="s">
        <v>121</v>
      </c>
      <c r="K235" s="86" t="s">
        <v>121</v>
      </c>
      <c r="L235" s="86" t="s">
        <v>121</v>
      </c>
      <c r="M235" s="86" t="s">
        <v>121</v>
      </c>
      <c r="N235" s="86" t="s">
        <v>121</v>
      </c>
      <c r="O235" s="86" t="s">
        <v>121</v>
      </c>
      <c r="P235" s="86" t="s">
        <v>121</v>
      </c>
      <c r="Q235" s="86" t="s">
        <v>121</v>
      </c>
      <c r="R235" s="86" t="s">
        <v>121</v>
      </c>
      <c r="S235" s="86" t="s">
        <v>121</v>
      </c>
      <c r="T235" s="86" t="s">
        <v>121</v>
      </c>
      <c r="U235" s="86" t="s">
        <v>121</v>
      </c>
      <c r="V235" s="86" t="s">
        <v>121</v>
      </c>
      <c r="W235" s="86" t="s">
        <v>121</v>
      </c>
      <c r="X235" s="86" t="s">
        <v>121</v>
      </c>
      <c r="Y235" s="86" t="s">
        <v>121</v>
      </c>
      <c r="Z235" s="86" t="s">
        <v>121</v>
      </c>
      <c r="AA235" s="86" t="s">
        <v>121</v>
      </c>
      <c r="AB235" s="86" t="s">
        <v>121</v>
      </c>
      <c r="AC235" s="86" t="s">
        <v>121</v>
      </c>
      <c r="AD235" s="86" t="s">
        <v>121</v>
      </c>
      <c r="AE235" s="86" t="s">
        <v>121</v>
      </c>
      <c r="AF235" s="86" t="s">
        <v>121</v>
      </c>
      <c r="AG235" s="86" t="s">
        <v>121</v>
      </c>
      <c r="AH235" s="86" t="s">
        <v>121</v>
      </c>
      <c r="AI235" s="86" t="s">
        <v>121</v>
      </c>
      <c r="AJ235" s="86" t="s">
        <v>121</v>
      </c>
      <c r="AK235" s="86" t="s">
        <v>121</v>
      </c>
      <c r="AL235" s="86" t="s">
        <v>121</v>
      </c>
      <c r="AM235" s="86" t="s">
        <v>121</v>
      </c>
      <c r="AN235" s="86" t="s">
        <v>121</v>
      </c>
      <c r="AO235" s="86" t="s">
        <v>121</v>
      </c>
      <c r="AP235" s="86" t="s">
        <v>121</v>
      </c>
      <c r="AQ235" s="86" t="s">
        <v>121</v>
      </c>
      <c r="AR235" s="86" t="s">
        <v>121</v>
      </c>
      <c r="AS235" s="86" t="s">
        <v>121</v>
      </c>
      <c r="AT235" s="86" t="s">
        <v>121</v>
      </c>
      <c r="AU235" s="86" t="s">
        <v>121</v>
      </c>
      <c r="AV235" s="86" t="s">
        <v>121</v>
      </c>
      <c r="AW235" s="86" t="s">
        <v>121</v>
      </c>
      <c r="AX235" s="86" t="s">
        <v>121</v>
      </c>
      <c r="AY235" s="86" t="s">
        <v>121</v>
      </c>
      <c r="AZ235" s="73" t="s">
        <v>121</v>
      </c>
      <c r="BA235" s="55" t="s">
        <v>121</v>
      </c>
      <c r="BB235" s="55" t="s">
        <v>121</v>
      </c>
      <c r="BC235" s="55" t="s">
        <v>121</v>
      </c>
      <c r="BD235" s="55" t="s">
        <v>121</v>
      </c>
      <c r="BE235" s="55" t="s">
        <v>121</v>
      </c>
      <c r="BF235" s="55" t="s">
        <v>121</v>
      </c>
      <c r="BG235" s="55" t="s">
        <v>121</v>
      </c>
      <c r="BH235" s="55" t="s">
        <v>121</v>
      </c>
      <c r="BI235" s="55" t="s">
        <v>121</v>
      </c>
      <c r="BJ235" s="55" t="s">
        <v>121</v>
      </c>
      <c r="BK235" s="55" t="s">
        <v>121</v>
      </c>
      <c r="BL235" s="55" t="s">
        <v>121</v>
      </c>
      <c r="BM235" s="1" t="s">
        <v>121</v>
      </c>
      <c r="BN235" s="1" t="s">
        <v>121</v>
      </c>
      <c r="BO235" s="1" t="s">
        <v>121</v>
      </c>
      <c r="BP235" s="1" t="s">
        <v>121</v>
      </c>
      <c r="BQ235" s="1" t="s">
        <v>121</v>
      </c>
      <c r="BR235" s="1" t="s">
        <v>121</v>
      </c>
      <c r="BS235" s="1" t="s">
        <v>121</v>
      </c>
      <c r="BT235" s="1" t="s">
        <v>121</v>
      </c>
      <c r="BU235" s="1" t="s">
        <v>121</v>
      </c>
      <c r="BV235" s="1" t="s">
        <v>121</v>
      </c>
      <c r="BW235" s="1" t="s">
        <v>121</v>
      </c>
      <c r="BX235" s="1" t="s">
        <v>121</v>
      </c>
      <c r="BY235" s="1" t="s">
        <v>121</v>
      </c>
      <c r="BZ235" s="1" t="s">
        <v>121</v>
      </c>
      <c r="CA235" s="1" t="s">
        <v>121</v>
      </c>
      <c r="CB235" s="1" t="s">
        <v>121</v>
      </c>
      <c r="CC235" s="1" t="s">
        <v>121</v>
      </c>
      <c r="CD235" s="1" t="s">
        <v>121</v>
      </c>
      <c r="CE235" s="1" t="s">
        <v>121</v>
      </c>
      <c r="CF235" s="1" t="s">
        <v>121</v>
      </c>
      <c r="CG235" s="1" t="s">
        <v>121</v>
      </c>
      <c r="CH235" s="1" t="s">
        <v>121</v>
      </c>
      <c r="CI235" s="1" t="s">
        <v>121</v>
      </c>
      <c r="CJ235" s="1" t="s">
        <v>121</v>
      </c>
      <c r="CK235" s="1" t="s">
        <v>121</v>
      </c>
      <c r="CL235" s="1" t="s">
        <v>121</v>
      </c>
      <c r="CM235" s="1" t="s">
        <v>121</v>
      </c>
      <c r="CN235" s="1" t="s">
        <v>121</v>
      </c>
      <c r="CO235" s="1" t="s">
        <v>121</v>
      </c>
      <c r="CP235" s="1" t="s">
        <v>121</v>
      </c>
      <c r="CQ235" s="1" t="s">
        <v>121</v>
      </c>
      <c r="CR235" s="1" t="s">
        <v>121</v>
      </c>
      <c r="CS235" s="1" t="s">
        <v>121</v>
      </c>
      <c r="CT235" s="1" t="s">
        <v>121</v>
      </c>
      <c r="CU235" s="1" t="s">
        <v>121</v>
      </c>
      <c r="CV235" s="1" t="s">
        <v>121</v>
      </c>
      <c r="CW235" s="1" t="s">
        <v>121</v>
      </c>
      <c r="CX235" s="1" t="s">
        <v>121</v>
      </c>
      <c r="CY235" s="1" t="s">
        <v>121</v>
      </c>
      <c r="CZ235" s="1" t="s">
        <v>121</v>
      </c>
      <c r="DA235" s="1" t="s">
        <v>121</v>
      </c>
      <c r="DB235" s="1" t="s">
        <v>121</v>
      </c>
      <c r="DC235" s="1" t="s">
        <v>121</v>
      </c>
      <c r="DD235" s="1" t="s">
        <v>121</v>
      </c>
      <c r="DE235" s="1" t="s">
        <v>121</v>
      </c>
      <c r="DF235" s="1" t="s">
        <v>121</v>
      </c>
      <c r="DG235" s="1" t="s">
        <v>121</v>
      </c>
      <c r="DH235" s="1" t="s">
        <v>121</v>
      </c>
      <c r="DI235" s="1" t="s">
        <v>121</v>
      </c>
      <c r="DJ235" s="1" t="s">
        <v>121</v>
      </c>
      <c r="DK235" s="1" t="s">
        <v>121</v>
      </c>
      <c r="DL235" s="1" t="s">
        <v>121</v>
      </c>
      <c r="DM235" s="1" t="s">
        <v>121</v>
      </c>
      <c r="DN235" s="1" t="s">
        <v>121</v>
      </c>
      <c r="DO235" s="1" t="s">
        <v>121</v>
      </c>
      <c r="DP235" s="1" t="s">
        <v>121</v>
      </c>
      <c r="DQ235" s="1" t="s">
        <v>121</v>
      </c>
      <c r="DR235" s="1" t="s">
        <v>121</v>
      </c>
      <c r="DS235" s="1" t="s">
        <v>121</v>
      </c>
      <c r="DT235" s="1" t="s">
        <v>121</v>
      </c>
      <c r="DU235" s="1" t="s">
        <v>121</v>
      </c>
      <c r="DV235" s="1" t="s">
        <v>121</v>
      </c>
      <c r="DW235" s="1" t="s">
        <v>121</v>
      </c>
      <c r="DX235" s="1" t="s">
        <v>121</v>
      </c>
      <c r="DY235" s="1" t="s">
        <v>121</v>
      </c>
      <c r="DZ235" s="1" t="s">
        <v>121</v>
      </c>
      <c r="EA235" s="1" t="s">
        <v>121</v>
      </c>
      <c r="EB235" s="1" t="s">
        <v>121</v>
      </c>
      <c r="EC235" s="1" t="s">
        <v>121</v>
      </c>
      <c r="ED235" s="1" t="s">
        <v>121</v>
      </c>
      <c r="EE235" s="1" t="s">
        <v>121</v>
      </c>
      <c r="EF235" s="1" t="s">
        <v>121</v>
      </c>
      <c r="EG235" s="1" t="s">
        <v>121</v>
      </c>
      <c r="EH235" s="1" t="s">
        <v>121</v>
      </c>
      <c r="EI235" s="1" t="s">
        <v>121</v>
      </c>
      <c r="EJ235" s="1" t="s">
        <v>121</v>
      </c>
      <c r="EK235" s="1" t="s">
        <v>121</v>
      </c>
      <c r="EL235" s="1" t="s">
        <v>121</v>
      </c>
      <c r="EM235" s="1" t="s">
        <v>121</v>
      </c>
      <c r="EN235" s="1" t="s">
        <v>121</v>
      </c>
      <c r="EO235" s="1" t="s">
        <v>121</v>
      </c>
      <c r="EP235" s="1" t="s">
        <v>121</v>
      </c>
      <c r="EQ235" s="1" t="s">
        <v>121</v>
      </c>
      <c r="ER235" s="1" t="s">
        <v>121</v>
      </c>
      <c r="ES235" s="1" t="s">
        <v>121</v>
      </c>
      <c r="ET235" s="1" t="s">
        <v>121</v>
      </c>
      <c r="EU235" s="1" t="s">
        <v>121</v>
      </c>
      <c r="EV235" s="1" t="s">
        <v>121</v>
      </c>
      <c r="EW235" s="1" t="s">
        <v>121</v>
      </c>
      <c r="EX235" s="1" t="s">
        <v>121</v>
      </c>
    </row>
    <row r="236" spans="1:154" ht="18.75" customHeight="1" x14ac:dyDescent="0.25">
      <c r="A236" s="72">
        <v>236</v>
      </c>
      <c r="B236" s="74" t="s">
        <v>457</v>
      </c>
      <c r="C236" s="91" t="s">
        <v>121</v>
      </c>
      <c r="D236" s="86" t="s">
        <v>121</v>
      </c>
      <c r="E236" s="92">
        <f t="shared" ref="E236:E243" ca="1" si="19">OFFSET($E$7,$A236-$A$7,1,1,1)/OFFSET($E$7,$A236-$A$7,5,1,1)-1</f>
        <v>-8.3804734967529715E-4</v>
      </c>
      <c r="F236" s="77">
        <v>4769</v>
      </c>
      <c r="G236" s="77">
        <v>3189</v>
      </c>
      <c r="H236" s="77">
        <v>1520</v>
      </c>
      <c r="I236" s="77">
        <v>6647</v>
      </c>
      <c r="J236" s="77">
        <v>4773</v>
      </c>
      <c r="K236" s="77">
        <v>2886</v>
      </c>
      <c r="L236" s="77">
        <v>1383</v>
      </c>
      <c r="M236" s="77">
        <v>7487</v>
      </c>
      <c r="N236" s="77">
        <v>5689</v>
      </c>
      <c r="O236" s="77">
        <v>3999</v>
      </c>
      <c r="P236" s="77">
        <v>2345</v>
      </c>
      <c r="Q236" s="405"/>
      <c r="R236" s="405"/>
      <c r="S236" s="405"/>
      <c r="T236" s="405"/>
      <c r="U236" s="77">
        <v>4638</v>
      </c>
      <c r="V236" s="77">
        <v>3219</v>
      </c>
      <c r="W236" s="77">
        <v>2043</v>
      </c>
      <c r="X236" s="77">
        <v>980</v>
      </c>
      <c r="Y236" s="77">
        <v>3707</v>
      </c>
      <c r="Z236" s="77">
        <v>2549.654</v>
      </c>
      <c r="AA236" s="77">
        <v>1623.3989999999999</v>
      </c>
      <c r="AB236" s="77">
        <v>844.87699999999995</v>
      </c>
      <c r="AC236" s="77">
        <v>3216.904</v>
      </c>
      <c r="AD236" s="77">
        <v>2254.7730000000001</v>
      </c>
      <c r="AE236" s="77">
        <v>1442.5050000000001</v>
      </c>
      <c r="AF236" s="77">
        <v>677.52800000000002</v>
      </c>
      <c r="AG236" s="77">
        <v>2809.1019999999999</v>
      </c>
      <c r="AH236" s="77">
        <v>1974.94</v>
      </c>
      <c r="AI236" s="77">
        <v>1258.6130000000001</v>
      </c>
      <c r="AJ236" s="77">
        <v>628.34</v>
      </c>
      <c r="AK236" s="77">
        <v>2414.9050000000002</v>
      </c>
      <c r="AL236" s="77">
        <v>1742.21</v>
      </c>
      <c r="AM236" s="77">
        <v>1126.462</v>
      </c>
      <c r="AN236" s="77">
        <v>534.83500000000004</v>
      </c>
      <c r="AO236" s="77">
        <v>2188.5880000000002</v>
      </c>
      <c r="AP236" s="77">
        <v>1578.79</v>
      </c>
      <c r="AQ236" s="77">
        <v>1045.873</v>
      </c>
      <c r="AR236" s="77">
        <v>494.51299999999998</v>
      </c>
      <c r="AS236" s="77">
        <v>2043.3389999999999</v>
      </c>
      <c r="AT236" s="77">
        <v>1472.857</v>
      </c>
      <c r="AU236" s="77">
        <v>896.81799999999998</v>
      </c>
      <c r="AV236" s="77">
        <v>458.85</v>
      </c>
      <c r="AW236" s="77">
        <v>1640.9380000000001</v>
      </c>
      <c r="AX236" s="77">
        <v>1115.5519999999999</v>
      </c>
      <c r="AY236" s="77">
        <v>712.29399999999998</v>
      </c>
      <c r="AZ236" s="55">
        <v>318.11799999999999</v>
      </c>
      <c r="BA236" s="55">
        <v>1071.6959999999999</v>
      </c>
      <c r="BB236" s="55">
        <v>757.88300000000004</v>
      </c>
      <c r="BC236" s="55">
        <v>487.43099999999998</v>
      </c>
      <c r="BD236" s="55">
        <v>242.96</v>
      </c>
      <c r="BE236" s="55">
        <v>953.05399999999997</v>
      </c>
      <c r="BF236" s="55">
        <v>692.21299999999997</v>
      </c>
      <c r="BG236" s="55">
        <v>444.79300000000001</v>
      </c>
      <c r="BH236" s="55">
        <v>206.84899999999999</v>
      </c>
      <c r="BI236" s="55">
        <v>822.28200000000004</v>
      </c>
      <c r="BJ236" s="55">
        <v>588.01499999999999</v>
      </c>
      <c r="BK236" s="55">
        <v>379.03100000000001</v>
      </c>
      <c r="BL236" s="55">
        <v>178.09200000000001</v>
      </c>
      <c r="BM236" s="1">
        <v>793.87400000000002</v>
      </c>
      <c r="BN236" s="1">
        <v>574.05899999999997</v>
      </c>
      <c r="BO236" s="1">
        <v>377.81400000000002</v>
      </c>
      <c r="BP236" s="1">
        <v>176.66399999999999</v>
      </c>
      <c r="BQ236" s="1" t="s">
        <v>121</v>
      </c>
      <c r="BR236" s="1" t="s">
        <v>121</v>
      </c>
      <c r="BS236" s="1" t="s">
        <v>121</v>
      </c>
      <c r="BT236" s="1" t="s">
        <v>121</v>
      </c>
      <c r="BU236" s="1" t="s">
        <v>121</v>
      </c>
      <c r="BV236" s="1" t="s">
        <v>121</v>
      </c>
      <c r="BW236" s="1" t="s">
        <v>121</v>
      </c>
      <c r="BX236" s="1" t="s">
        <v>121</v>
      </c>
      <c r="BY236" s="1" t="s">
        <v>121</v>
      </c>
      <c r="BZ236" s="1" t="s">
        <v>121</v>
      </c>
      <c r="CA236" s="1" t="s">
        <v>121</v>
      </c>
      <c r="CB236" s="1" t="s">
        <v>121</v>
      </c>
      <c r="CC236" s="1" t="s">
        <v>121</v>
      </c>
      <c r="CD236" s="1" t="s">
        <v>121</v>
      </c>
      <c r="CE236" s="1" t="s">
        <v>121</v>
      </c>
      <c r="CF236" s="1" t="s">
        <v>121</v>
      </c>
      <c r="CG236" s="1" t="s">
        <v>121</v>
      </c>
      <c r="CH236" s="1" t="s">
        <v>121</v>
      </c>
      <c r="CI236" s="1" t="s">
        <v>121</v>
      </c>
      <c r="CJ236" s="1" t="s">
        <v>121</v>
      </c>
      <c r="CK236" s="1" t="s">
        <v>121</v>
      </c>
      <c r="CL236" s="1" t="s">
        <v>121</v>
      </c>
      <c r="CM236" s="1" t="s">
        <v>121</v>
      </c>
      <c r="CN236" s="1" t="s">
        <v>121</v>
      </c>
      <c r="CO236" s="1" t="s">
        <v>121</v>
      </c>
      <c r="CP236" s="1" t="s">
        <v>121</v>
      </c>
      <c r="CQ236" s="1" t="s">
        <v>121</v>
      </c>
      <c r="CR236" s="1" t="s">
        <v>121</v>
      </c>
      <c r="CS236" s="1" t="s">
        <v>121</v>
      </c>
      <c r="CT236" s="1" t="s">
        <v>121</v>
      </c>
      <c r="CU236" s="1" t="s">
        <v>121</v>
      </c>
      <c r="CV236" s="1" t="s">
        <v>121</v>
      </c>
      <c r="CW236" s="1" t="s">
        <v>121</v>
      </c>
      <c r="CX236" s="1" t="s">
        <v>121</v>
      </c>
      <c r="CY236" s="1" t="s">
        <v>121</v>
      </c>
      <c r="CZ236" s="1" t="s">
        <v>121</v>
      </c>
      <c r="DA236" s="1" t="s">
        <v>121</v>
      </c>
      <c r="DB236" s="1" t="s">
        <v>121</v>
      </c>
      <c r="DC236" s="1" t="s">
        <v>121</v>
      </c>
      <c r="DD236" s="1" t="s">
        <v>121</v>
      </c>
      <c r="DE236" s="1" t="s">
        <v>121</v>
      </c>
      <c r="DF236" s="1" t="s">
        <v>121</v>
      </c>
      <c r="DG236" s="1" t="s">
        <v>121</v>
      </c>
      <c r="DH236" s="1" t="s">
        <v>121</v>
      </c>
      <c r="DI236" s="1" t="s">
        <v>121</v>
      </c>
      <c r="DJ236" s="1" t="s">
        <v>121</v>
      </c>
      <c r="DK236" s="1" t="s">
        <v>121</v>
      </c>
      <c r="DL236" s="1" t="s">
        <v>121</v>
      </c>
      <c r="DM236" s="1" t="s">
        <v>121</v>
      </c>
      <c r="DN236" s="1" t="s">
        <v>121</v>
      </c>
      <c r="DO236" s="1" t="s">
        <v>121</v>
      </c>
      <c r="DP236" s="1" t="s">
        <v>121</v>
      </c>
      <c r="DQ236" s="1" t="s">
        <v>121</v>
      </c>
      <c r="DR236" s="1" t="s">
        <v>121</v>
      </c>
      <c r="DS236" s="1" t="s">
        <v>121</v>
      </c>
      <c r="DT236" s="1" t="s">
        <v>121</v>
      </c>
      <c r="DU236" s="1" t="s">
        <v>121</v>
      </c>
      <c r="DV236" s="1" t="s">
        <v>121</v>
      </c>
      <c r="DW236" s="1" t="s">
        <v>121</v>
      </c>
      <c r="DX236" s="1" t="s">
        <v>121</v>
      </c>
      <c r="DY236" s="1" t="s">
        <v>121</v>
      </c>
      <c r="DZ236" s="1" t="s">
        <v>121</v>
      </c>
      <c r="EA236" s="1" t="s">
        <v>121</v>
      </c>
      <c r="EB236" s="1" t="s">
        <v>121</v>
      </c>
      <c r="EC236" s="1" t="s">
        <v>121</v>
      </c>
      <c r="ED236" s="1" t="s">
        <v>121</v>
      </c>
      <c r="EE236" s="1" t="s">
        <v>121</v>
      </c>
      <c r="EF236" s="1" t="s">
        <v>121</v>
      </c>
      <c r="EG236" s="1" t="s">
        <v>121</v>
      </c>
      <c r="EH236" s="1" t="s">
        <v>121</v>
      </c>
      <c r="EI236" s="1" t="s">
        <v>121</v>
      </c>
      <c r="EJ236" s="1" t="s">
        <v>121</v>
      </c>
      <c r="EK236" s="1" t="s">
        <v>121</v>
      </c>
      <c r="EL236" s="1" t="s">
        <v>121</v>
      </c>
      <c r="EM236" s="1" t="s">
        <v>121</v>
      </c>
      <c r="EN236" s="1" t="s">
        <v>121</v>
      </c>
      <c r="EO236" s="1" t="s">
        <v>121</v>
      </c>
      <c r="EP236" s="1" t="s">
        <v>121</v>
      </c>
      <c r="EQ236" s="1" t="s">
        <v>121</v>
      </c>
      <c r="ER236" s="1" t="s">
        <v>121</v>
      </c>
      <c r="ES236" s="1" t="s">
        <v>121</v>
      </c>
      <c r="ET236" s="1" t="s">
        <v>121</v>
      </c>
      <c r="EU236" s="1" t="s">
        <v>121</v>
      </c>
      <c r="EV236" s="1" t="s">
        <v>121</v>
      </c>
      <c r="EW236" s="1" t="s">
        <v>121</v>
      </c>
      <c r="EX236" s="1" t="s">
        <v>121</v>
      </c>
    </row>
    <row r="237" spans="1:154" x14ac:dyDescent="0.25">
      <c r="A237" s="72">
        <v>237</v>
      </c>
      <c r="B237" s="74" t="s">
        <v>458</v>
      </c>
      <c r="C237" s="91" t="s">
        <v>121</v>
      </c>
      <c r="D237" s="86" t="s">
        <v>121</v>
      </c>
      <c r="E237" s="92">
        <f t="shared" ca="1" si="19"/>
        <v>-0.10330857528696824</v>
      </c>
      <c r="F237" s="77">
        <v>2656</v>
      </c>
      <c r="G237" s="77">
        <v>1739</v>
      </c>
      <c r="H237" s="77">
        <v>852</v>
      </c>
      <c r="I237" s="77">
        <v>3855</v>
      </c>
      <c r="J237" s="77">
        <v>2962</v>
      </c>
      <c r="K237" s="77">
        <v>2040</v>
      </c>
      <c r="L237" s="77">
        <v>1021</v>
      </c>
      <c r="M237" s="77">
        <v>4274</v>
      </c>
      <c r="N237" s="77">
        <v>3204</v>
      </c>
      <c r="O237" s="77">
        <v>2110</v>
      </c>
      <c r="P237" s="77">
        <v>1053</v>
      </c>
      <c r="Q237" s="405"/>
      <c r="R237" s="405"/>
      <c r="S237" s="405"/>
      <c r="T237" s="405"/>
      <c r="U237" s="77">
        <v>3125</v>
      </c>
      <c r="V237" s="77">
        <v>2358</v>
      </c>
      <c r="W237" s="77">
        <v>1620</v>
      </c>
      <c r="X237" s="77">
        <v>765</v>
      </c>
      <c r="Y237" s="77">
        <v>3146</v>
      </c>
      <c r="Z237" s="77">
        <v>2207.5439999999999</v>
      </c>
      <c r="AA237" s="77">
        <v>1398.4059999999999</v>
      </c>
      <c r="AB237" s="77">
        <v>733.54199999999992</v>
      </c>
      <c r="AC237" s="77">
        <v>3456.0619999999999</v>
      </c>
      <c r="AD237" s="77">
        <v>2535.2550000000001</v>
      </c>
      <c r="AE237" s="77">
        <v>1667.596</v>
      </c>
      <c r="AF237" s="77">
        <v>755.33900000000006</v>
      </c>
      <c r="AG237" s="77">
        <v>3041.68</v>
      </c>
      <c r="AH237" s="77">
        <v>2254.2289999999998</v>
      </c>
      <c r="AI237" s="77">
        <v>1480.45</v>
      </c>
      <c r="AJ237" s="77">
        <v>723.85199999999998</v>
      </c>
      <c r="AK237" s="77">
        <v>2680.7689999999998</v>
      </c>
      <c r="AL237" s="77">
        <v>1906.3679999999999</v>
      </c>
      <c r="AM237" s="77">
        <v>1224.7249999999999</v>
      </c>
      <c r="AN237" s="77">
        <v>576.16499999999996</v>
      </c>
      <c r="AO237" s="77">
        <v>2022.11</v>
      </c>
      <c r="AP237" s="77">
        <v>1438.9179999999999</v>
      </c>
      <c r="AQ237" s="77">
        <v>900.11</v>
      </c>
      <c r="AR237" s="77">
        <v>424.72</v>
      </c>
      <c r="AS237" s="77">
        <v>1320.886</v>
      </c>
      <c r="AT237" s="77">
        <v>934.13099999999997</v>
      </c>
      <c r="AU237" s="77">
        <v>616.649</v>
      </c>
      <c r="AV237" s="77">
        <v>290.20100000000002</v>
      </c>
      <c r="AW237" s="77">
        <v>1182.8869999999999</v>
      </c>
      <c r="AX237" s="77">
        <v>833.29200000000003</v>
      </c>
      <c r="AY237" s="77">
        <v>542.06399999999996</v>
      </c>
      <c r="AZ237" s="55">
        <v>252.71100000000001</v>
      </c>
      <c r="BA237" s="55">
        <v>839.23099999999999</v>
      </c>
      <c r="BB237" s="55">
        <v>599.678</v>
      </c>
      <c r="BC237" s="55">
        <v>391.245</v>
      </c>
      <c r="BD237" s="55">
        <v>181.042</v>
      </c>
      <c r="BE237" s="55">
        <v>700.29399999999998</v>
      </c>
      <c r="BF237" s="55">
        <v>487.41</v>
      </c>
      <c r="BG237" s="55">
        <v>304.22199999999998</v>
      </c>
      <c r="BH237" s="55">
        <v>146.93299999999999</v>
      </c>
      <c r="BI237" s="55">
        <v>597.09400000000005</v>
      </c>
      <c r="BJ237" s="55">
        <v>428.64699999999999</v>
      </c>
      <c r="BK237" s="55">
        <v>274.07799999999997</v>
      </c>
      <c r="BL237" s="55">
        <v>126.678</v>
      </c>
      <c r="BM237" s="1">
        <v>489.89699999999999</v>
      </c>
      <c r="BN237" s="1">
        <v>349.40600000000001</v>
      </c>
      <c r="BO237" s="1">
        <v>224.55</v>
      </c>
      <c r="BP237" s="1">
        <v>104.197</v>
      </c>
      <c r="BQ237" s="1" t="s">
        <v>121</v>
      </c>
      <c r="BR237" s="1" t="s">
        <v>121</v>
      </c>
      <c r="BS237" s="1" t="s">
        <v>121</v>
      </c>
      <c r="BT237" s="1" t="s">
        <v>121</v>
      </c>
      <c r="BU237" s="1" t="s">
        <v>121</v>
      </c>
      <c r="BV237" s="1" t="s">
        <v>121</v>
      </c>
      <c r="BW237" s="1" t="s">
        <v>121</v>
      </c>
      <c r="BX237" s="1" t="s">
        <v>121</v>
      </c>
      <c r="BY237" s="1" t="s">
        <v>121</v>
      </c>
      <c r="BZ237" s="1" t="s">
        <v>121</v>
      </c>
      <c r="CA237" s="1" t="s">
        <v>121</v>
      </c>
      <c r="CB237" s="1" t="s">
        <v>121</v>
      </c>
      <c r="CC237" s="1" t="s">
        <v>121</v>
      </c>
      <c r="CD237" s="1" t="s">
        <v>121</v>
      </c>
      <c r="CE237" s="1" t="s">
        <v>121</v>
      </c>
      <c r="CF237" s="1" t="s">
        <v>121</v>
      </c>
      <c r="CG237" s="1" t="s">
        <v>121</v>
      </c>
      <c r="CH237" s="1" t="s">
        <v>121</v>
      </c>
      <c r="CI237" s="1" t="s">
        <v>121</v>
      </c>
      <c r="CJ237" s="1" t="s">
        <v>121</v>
      </c>
      <c r="CK237" s="1" t="s">
        <v>121</v>
      </c>
      <c r="CL237" s="1" t="s">
        <v>121</v>
      </c>
      <c r="CM237" s="1" t="s">
        <v>121</v>
      </c>
      <c r="CN237" s="1" t="s">
        <v>121</v>
      </c>
      <c r="CO237" s="1" t="s">
        <v>121</v>
      </c>
      <c r="CP237" s="1" t="s">
        <v>121</v>
      </c>
      <c r="CQ237" s="1" t="s">
        <v>121</v>
      </c>
      <c r="CR237" s="1" t="s">
        <v>121</v>
      </c>
      <c r="CS237" s="1" t="s">
        <v>121</v>
      </c>
      <c r="CT237" s="1" t="s">
        <v>121</v>
      </c>
      <c r="CU237" s="1" t="s">
        <v>121</v>
      </c>
      <c r="CV237" s="1" t="s">
        <v>121</v>
      </c>
      <c r="CW237" s="1" t="s">
        <v>121</v>
      </c>
      <c r="CX237" s="1" t="s">
        <v>121</v>
      </c>
      <c r="CY237" s="1" t="s">
        <v>121</v>
      </c>
      <c r="CZ237" s="1" t="s">
        <v>121</v>
      </c>
      <c r="DA237" s="1" t="s">
        <v>121</v>
      </c>
      <c r="DB237" s="1" t="s">
        <v>121</v>
      </c>
      <c r="DC237" s="1" t="s">
        <v>121</v>
      </c>
      <c r="DD237" s="1" t="s">
        <v>121</v>
      </c>
      <c r="DE237" s="1" t="s">
        <v>121</v>
      </c>
      <c r="DF237" s="1" t="s">
        <v>121</v>
      </c>
      <c r="DG237" s="1" t="s">
        <v>121</v>
      </c>
      <c r="DH237" s="1" t="s">
        <v>121</v>
      </c>
      <c r="DI237" s="1" t="s">
        <v>121</v>
      </c>
      <c r="DJ237" s="1" t="s">
        <v>121</v>
      </c>
      <c r="DK237" s="1" t="s">
        <v>121</v>
      </c>
      <c r="DL237" s="1" t="s">
        <v>121</v>
      </c>
      <c r="DM237" s="1" t="s">
        <v>121</v>
      </c>
      <c r="DN237" s="1" t="s">
        <v>121</v>
      </c>
      <c r="DO237" s="1" t="s">
        <v>121</v>
      </c>
      <c r="DP237" s="1" t="s">
        <v>121</v>
      </c>
      <c r="DQ237" s="1" t="s">
        <v>121</v>
      </c>
      <c r="DR237" s="1" t="s">
        <v>121</v>
      </c>
      <c r="DS237" s="1" t="s">
        <v>121</v>
      </c>
      <c r="DT237" s="1" t="s">
        <v>121</v>
      </c>
      <c r="DU237" s="1" t="s">
        <v>121</v>
      </c>
      <c r="DV237" s="1" t="s">
        <v>121</v>
      </c>
      <c r="DW237" s="1" t="s">
        <v>121</v>
      </c>
      <c r="DX237" s="1" t="s">
        <v>121</v>
      </c>
      <c r="DY237" s="1" t="s">
        <v>121</v>
      </c>
      <c r="DZ237" s="1" t="s">
        <v>121</v>
      </c>
      <c r="EA237" s="1" t="s">
        <v>121</v>
      </c>
      <c r="EB237" s="1" t="s">
        <v>121</v>
      </c>
      <c r="EC237" s="1" t="s">
        <v>121</v>
      </c>
      <c r="ED237" s="1" t="s">
        <v>121</v>
      </c>
      <c r="EE237" s="1" t="s">
        <v>121</v>
      </c>
      <c r="EF237" s="1" t="s">
        <v>121</v>
      </c>
      <c r="EG237" s="1" t="s">
        <v>121</v>
      </c>
      <c r="EH237" s="1" t="s">
        <v>121</v>
      </c>
      <c r="EI237" s="1" t="s">
        <v>121</v>
      </c>
      <c r="EJ237" s="1" t="s">
        <v>121</v>
      </c>
      <c r="EK237" s="1" t="s">
        <v>121</v>
      </c>
      <c r="EL237" s="1" t="s">
        <v>121</v>
      </c>
      <c r="EM237" s="1" t="s">
        <v>121</v>
      </c>
      <c r="EN237" s="1" t="s">
        <v>121</v>
      </c>
      <c r="EO237" s="1" t="s">
        <v>121</v>
      </c>
      <c r="EP237" s="1" t="s">
        <v>121</v>
      </c>
      <c r="EQ237" s="1" t="s">
        <v>121</v>
      </c>
      <c r="ER237" s="1" t="s">
        <v>121</v>
      </c>
      <c r="ES237" s="1" t="s">
        <v>121</v>
      </c>
      <c r="ET237" s="1" t="s">
        <v>121</v>
      </c>
      <c r="EU237" s="1" t="s">
        <v>121</v>
      </c>
      <c r="EV237" s="1" t="s">
        <v>121</v>
      </c>
      <c r="EW237" s="1" t="s">
        <v>121</v>
      </c>
      <c r="EX237" s="1" t="s">
        <v>121</v>
      </c>
    </row>
    <row r="238" spans="1:154" x14ac:dyDescent="0.25">
      <c r="A238" s="72">
        <v>238</v>
      </c>
      <c r="B238" s="74" t="s">
        <v>459</v>
      </c>
      <c r="C238" s="91" t="s">
        <v>121</v>
      </c>
      <c r="D238" s="86" t="s">
        <v>121</v>
      </c>
      <c r="E238" s="92">
        <f t="shared" ca="1" si="19"/>
        <v>0.47346368715083798</v>
      </c>
      <c r="F238" s="77">
        <v>2110</v>
      </c>
      <c r="G238" s="77">
        <v>1387</v>
      </c>
      <c r="H238" s="77">
        <v>717</v>
      </c>
      <c r="I238" s="77">
        <v>1967</v>
      </c>
      <c r="J238" s="77">
        <v>1432</v>
      </c>
      <c r="K238" s="77">
        <v>939</v>
      </c>
      <c r="L238" s="77">
        <v>483</v>
      </c>
      <c r="M238" s="77">
        <v>1648</v>
      </c>
      <c r="N238" s="77">
        <v>1211</v>
      </c>
      <c r="O238" s="77">
        <v>772</v>
      </c>
      <c r="P238" s="77">
        <v>396</v>
      </c>
      <c r="Q238" s="405"/>
      <c r="R238" s="405"/>
      <c r="S238" s="405"/>
      <c r="T238" s="405"/>
      <c r="U238" s="77">
        <v>1793</v>
      </c>
      <c r="V238" s="77">
        <v>1285</v>
      </c>
      <c r="W238" s="77">
        <v>816</v>
      </c>
      <c r="X238" s="77">
        <v>397</v>
      </c>
      <c r="Y238" s="77">
        <v>1526</v>
      </c>
      <c r="Z238" s="77">
        <v>1082.306</v>
      </c>
      <c r="AA238" s="77">
        <v>677.32899999999995</v>
      </c>
      <c r="AB238" s="77">
        <v>312.66199999999998</v>
      </c>
      <c r="AC238" s="77">
        <v>1024.51</v>
      </c>
      <c r="AD238" s="77">
        <v>671.69299999999998</v>
      </c>
      <c r="AE238" s="77">
        <v>421.81200000000001</v>
      </c>
      <c r="AF238" s="77">
        <v>108.464</v>
      </c>
      <c r="AG238" s="77">
        <v>801.43600000000004</v>
      </c>
      <c r="AH238" s="77">
        <v>573.36</v>
      </c>
      <c r="AI238" s="77">
        <v>363.75200000000001</v>
      </c>
      <c r="AJ238" s="77">
        <v>192.82300000000001</v>
      </c>
      <c r="AK238" s="77">
        <v>870.65099999999995</v>
      </c>
      <c r="AL238" s="77">
        <v>663.26199999999994</v>
      </c>
      <c r="AM238" s="77">
        <v>451.43099999999998</v>
      </c>
      <c r="AN238" s="77">
        <v>238.83799999999999</v>
      </c>
      <c r="AO238" s="77">
        <v>976.95600000000002</v>
      </c>
      <c r="AP238" s="77">
        <v>757.58900000000006</v>
      </c>
      <c r="AQ238" s="77">
        <v>503.30399999999997</v>
      </c>
      <c r="AR238" s="77">
        <v>273.375</v>
      </c>
      <c r="AS238" s="77">
        <v>863.81500000000005</v>
      </c>
      <c r="AT238" s="77">
        <v>628.92999999999995</v>
      </c>
      <c r="AU238" s="77">
        <v>406.68599999999998</v>
      </c>
      <c r="AV238" s="77">
        <v>125.601</v>
      </c>
      <c r="AW238" s="77">
        <v>912.17399999999998</v>
      </c>
      <c r="AX238" s="77">
        <v>641.28099999999995</v>
      </c>
      <c r="AY238" s="77">
        <v>399.72</v>
      </c>
      <c r="AZ238" s="55">
        <v>192.428</v>
      </c>
      <c r="BA238" s="55">
        <v>844.23199999999997</v>
      </c>
      <c r="BB238" s="55">
        <v>592.08199999999999</v>
      </c>
      <c r="BC238" s="55">
        <v>364.30399999999997</v>
      </c>
      <c r="BD238" s="55">
        <v>169.196</v>
      </c>
      <c r="BE238" s="55">
        <v>726.298</v>
      </c>
      <c r="BF238" s="55">
        <v>483.89800000000002</v>
      </c>
      <c r="BG238" s="55">
        <v>305.43599999999998</v>
      </c>
      <c r="BH238" s="55">
        <v>126.102</v>
      </c>
      <c r="BI238" s="55">
        <v>645.35</v>
      </c>
      <c r="BJ238" s="55">
        <v>423.10300000000001</v>
      </c>
      <c r="BK238" s="55">
        <v>274.584</v>
      </c>
      <c r="BL238" s="55">
        <v>117.17400000000001</v>
      </c>
      <c r="BM238" s="1">
        <v>371.40499999999997</v>
      </c>
      <c r="BN238" s="1">
        <v>198.24600000000001</v>
      </c>
      <c r="BO238" s="1">
        <v>139.28</v>
      </c>
      <c r="BP238" s="1">
        <v>42.325000000000003</v>
      </c>
      <c r="BQ238" s="1" t="s">
        <v>121</v>
      </c>
      <c r="BR238" s="1" t="s">
        <v>121</v>
      </c>
      <c r="BS238" s="1" t="s">
        <v>121</v>
      </c>
      <c r="BT238" s="1" t="s">
        <v>121</v>
      </c>
      <c r="BU238" s="1" t="s">
        <v>121</v>
      </c>
      <c r="BV238" s="1" t="s">
        <v>121</v>
      </c>
      <c r="BW238" s="1" t="s">
        <v>121</v>
      </c>
      <c r="BX238" s="1" t="s">
        <v>121</v>
      </c>
      <c r="BY238" s="1" t="s">
        <v>121</v>
      </c>
      <c r="BZ238" s="1" t="s">
        <v>121</v>
      </c>
      <c r="CA238" s="1" t="s">
        <v>121</v>
      </c>
      <c r="CB238" s="1" t="s">
        <v>121</v>
      </c>
      <c r="CC238" s="1" t="s">
        <v>121</v>
      </c>
      <c r="CD238" s="1" t="s">
        <v>121</v>
      </c>
      <c r="CE238" s="1" t="s">
        <v>121</v>
      </c>
      <c r="CF238" s="1" t="s">
        <v>121</v>
      </c>
      <c r="CG238" s="1" t="s">
        <v>121</v>
      </c>
      <c r="CH238" s="1" t="s">
        <v>121</v>
      </c>
      <c r="CI238" s="1" t="s">
        <v>121</v>
      </c>
      <c r="CJ238" s="1" t="s">
        <v>121</v>
      </c>
      <c r="CK238" s="1" t="s">
        <v>121</v>
      </c>
      <c r="CL238" s="1" t="s">
        <v>121</v>
      </c>
      <c r="CM238" s="1" t="s">
        <v>121</v>
      </c>
      <c r="CN238" s="1" t="s">
        <v>121</v>
      </c>
      <c r="CO238" s="1" t="s">
        <v>121</v>
      </c>
      <c r="CP238" s="1" t="s">
        <v>121</v>
      </c>
      <c r="CQ238" s="1" t="s">
        <v>121</v>
      </c>
      <c r="CR238" s="1" t="s">
        <v>121</v>
      </c>
      <c r="CS238" s="1" t="s">
        <v>121</v>
      </c>
      <c r="CT238" s="1" t="s">
        <v>121</v>
      </c>
      <c r="CU238" s="1" t="s">
        <v>121</v>
      </c>
      <c r="CV238" s="1" t="s">
        <v>121</v>
      </c>
      <c r="CW238" s="1" t="s">
        <v>121</v>
      </c>
      <c r="CX238" s="1" t="s">
        <v>121</v>
      </c>
      <c r="CY238" s="1" t="s">
        <v>121</v>
      </c>
      <c r="CZ238" s="1" t="s">
        <v>121</v>
      </c>
      <c r="DA238" s="1" t="s">
        <v>121</v>
      </c>
      <c r="DB238" s="1" t="s">
        <v>121</v>
      </c>
      <c r="DC238" s="1" t="s">
        <v>121</v>
      </c>
      <c r="DD238" s="1" t="s">
        <v>121</v>
      </c>
      <c r="DE238" s="1" t="s">
        <v>121</v>
      </c>
      <c r="DF238" s="1" t="s">
        <v>121</v>
      </c>
      <c r="DG238" s="1" t="s">
        <v>121</v>
      </c>
      <c r="DH238" s="1" t="s">
        <v>121</v>
      </c>
      <c r="DI238" s="1" t="s">
        <v>121</v>
      </c>
      <c r="DJ238" s="1" t="s">
        <v>121</v>
      </c>
      <c r="DK238" s="1" t="s">
        <v>121</v>
      </c>
      <c r="DL238" s="1" t="s">
        <v>121</v>
      </c>
      <c r="DM238" s="1" t="s">
        <v>121</v>
      </c>
      <c r="DN238" s="1" t="s">
        <v>121</v>
      </c>
      <c r="DO238" s="1" t="s">
        <v>121</v>
      </c>
      <c r="DP238" s="1" t="s">
        <v>121</v>
      </c>
      <c r="DQ238" s="1" t="s">
        <v>121</v>
      </c>
      <c r="DR238" s="1" t="s">
        <v>121</v>
      </c>
      <c r="DS238" s="1" t="s">
        <v>121</v>
      </c>
      <c r="DT238" s="1" t="s">
        <v>121</v>
      </c>
      <c r="DU238" s="1" t="s">
        <v>121</v>
      </c>
      <c r="DV238" s="1" t="s">
        <v>121</v>
      </c>
      <c r="DW238" s="1" t="s">
        <v>121</v>
      </c>
      <c r="DX238" s="1" t="s">
        <v>121</v>
      </c>
      <c r="DY238" s="1" t="s">
        <v>121</v>
      </c>
      <c r="DZ238" s="1" t="s">
        <v>121</v>
      </c>
      <c r="EA238" s="1" t="s">
        <v>121</v>
      </c>
      <c r="EB238" s="1" t="s">
        <v>121</v>
      </c>
      <c r="EC238" s="1" t="s">
        <v>121</v>
      </c>
      <c r="ED238" s="1" t="s">
        <v>121</v>
      </c>
      <c r="EE238" s="1" t="s">
        <v>121</v>
      </c>
      <c r="EF238" s="1" t="s">
        <v>121</v>
      </c>
      <c r="EG238" s="1" t="s">
        <v>121</v>
      </c>
      <c r="EH238" s="1" t="s">
        <v>121</v>
      </c>
      <c r="EI238" s="1" t="s">
        <v>121</v>
      </c>
      <c r="EJ238" s="1" t="s">
        <v>121</v>
      </c>
      <c r="EK238" s="1" t="s">
        <v>121</v>
      </c>
      <c r="EL238" s="1" t="s">
        <v>121</v>
      </c>
      <c r="EM238" s="1" t="s">
        <v>121</v>
      </c>
      <c r="EN238" s="1" t="s">
        <v>121</v>
      </c>
      <c r="EO238" s="1" t="s">
        <v>121</v>
      </c>
      <c r="EP238" s="1" t="s">
        <v>121</v>
      </c>
      <c r="EQ238" s="1" t="s">
        <v>121</v>
      </c>
      <c r="ER238" s="1" t="s">
        <v>121</v>
      </c>
      <c r="ES238" s="1" t="s">
        <v>121</v>
      </c>
      <c r="ET238" s="1" t="s">
        <v>121</v>
      </c>
      <c r="EU238" s="1" t="s">
        <v>121</v>
      </c>
      <c r="EV238" s="1" t="s">
        <v>121</v>
      </c>
      <c r="EW238" s="1" t="s">
        <v>121</v>
      </c>
      <c r="EX238" s="1" t="s">
        <v>121</v>
      </c>
    </row>
    <row r="239" spans="1:154" x14ac:dyDescent="0.25">
      <c r="A239" s="72">
        <v>239</v>
      </c>
      <c r="B239" s="74" t="s">
        <v>460</v>
      </c>
      <c r="C239" s="91" t="s">
        <v>121</v>
      </c>
      <c r="D239" s="86" t="s">
        <v>121</v>
      </c>
      <c r="E239" s="92">
        <f t="shared" ca="1" si="19"/>
        <v>-0.21238938053097345</v>
      </c>
      <c r="F239" s="77">
        <v>712</v>
      </c>
      <c r="G239" s="77">
        <v>415</v>
      </c>
      <c r="H239" s="77">
        <v>163</v>
      </c>
      <c r="I239" s="77">
        <v>1163</v>
      </c>
      <c r="J239" s="77">
        <v>904</v>
      </c>
      <c r="K239" s="77">
        <v>523</v>
      </c>
      <c r="L239" s="77">
        <v>243</v>
      </c>
      <c r="M239" s="77">
        <v>1239</v>
      </c>
      <c r="N239" s="77">
        <v>858</v>
      </c>
      <c r="O239" s="77">
        <v>547</v>
      </c>
      <c r="P239" s="77">
        <v>223</v>
      </c>
      <c r="Q239" s="405"/>
      <c r="R239" s="405"/>
      <c r="S239" s="405"/>
      <c r="T239" s="405"/>
      <c r="U239" s="77">
        <v>1124</v>
      </c>
      <c r="V239" s="77">
        <v>817</v>
      </c>
      <c r="W239" s="77">
        <v>530</v>
      </c>
      <c r="X239" s="77">
        <v>154</v>
      </c>
      <c r="Y239" s="77">
        <v>419</v>
      </c>
      <c r="Z239" s="77">
        <v>323.85899999999998</v>
      </c>
      <c r="AA239" s="77">
        <v>212.38800000000001</v>
      </c>
      <c r="AB239" s="77">
        <v>107.95</v>
      </c>
      <c r="AC239" s="77">
        <v>584.45100000000002</v>
      </c>
      <c r="AD239" s="77">
        <v>438.33088401999998</v>
      </c>
      <c r="AE239" s="77">
        <v>238.79043106999998</v>
      </c>
      <c r="AF239" s="77">
        <v>130.02376204999999</v>
      </c>
      <c r="AG239" s="77">
        <v>62.895000000000003</v>
      </c>
      <c r="AH239" s="77">
        <v>16.246500490000003</v>
      </c>
      <c r="AI239" s="77">
        <v>9.507763370000001</v>
      </c>
      <c r="AJ239" s="77">
        <v>3.9716092400000003</v>
      </c>
      <c r="AK239" s="77" t="s">
        <v>121</v>
      </c>
      <c r="AL239" s="77" t="s">
        <v>121</v>
      </c>
      <c r="AM239" s="77" t="s">
        <v>121</v>
      </c>
      <c r="AN239" s="77" t="s">
        <v>121</v>
      </c>
      <c r="AO239" s="77" t="s">
        <v>121</v>
      </c>
      <c r="AP239" s="77" t="s">
        <v>121</v>
      </c>
      <c r="AQ239" s="77" t="s">
        <v>121</v>
      </c>
      <c r="AR239" s="77" t="s">
        <v>121</v>
      </c>
      <c r="AS239" s="77" t="s">
        <v>121</v>
      </c>
      <c r="AT239" s="77" t="s">
        <v>121</v>
      </c>
      <c r="AU239" s="77" t="s">
        <v>121</v>
      </c>
      <c r="AV239" s="77" t="s">
        <v>121</v>
      </c>
      <c r="AW239" s="77" t="s">
        <v>121</v>
      </c>
      <c r="AX239" s="77" t="s">
        <v>121</v>
      </c>
      <c r="AY239" s="77" t="s">
        <v>121</v>
      </c>
      <c r="AZ239" s="55" t="s">
        <v>121</v>
      </c>
      <c r="BA239" s="55" t="s">
        <v>121</v>
      </c>
      <c r="BB239" s="55" t="s">
        <v>121</v>
      </c>
      <c r="BC239" s="55" t="s">
        <v>121</v>
      </c>
      <c r="BD239" s="55" t="s">
        <v>121</v>
      </c>
      <c r="BE239" s="55" t="s">
        <v>121</v>
      </c>
      <c r="BF239" s="55" t="s">
        <v>121</v>
      </c>
      <c r="BG239" s="55" t="s">
        <v>121</v>
      </c>
      <c r="BH239" s="55" t="s">
        <v>121</v>
      </c>
      <c r="BI239" s="55" t="s">
        <v>121</v>
      </c>
      <c r="BJ239" s="55" t="s">
        <v>121</v>
      </c>
      <c r="BK239" s="55" t="s">
        <v>121</v>
      </c>
      <c r="BL239" s="55" t="s">
        <v>121</v>
      </c>
      <c r="BM239" s="1" t="s">
        <v>121</v>
      </c>
      <c r="BN239" s="1" t="s">
        <v>121</v>
      </c>
      <c r="BO239" s="1" t="s">
        <v>121</v>
      </c>
      <c r="BP239" s="1" t="s">
        <v>121</v>
      </c>
      <c r="BQ239" s="1" t="s">
        <v>121</v>
      </c>
      <c r="BR239" s="1" t="s">
        <v>121</v>
      </c>
      <c r="BS239" s="1" t="s">
        <v>121</v>
      </c>
      <c r="BT239" s="1" t="s">
        <v>121</v>
      </c>
      <c r="BU239" s="1" t="s">
        <v>121</v>
      </c>
      <c r="BV239" s="1" t="s">
        <v>121</v>
      </c>
      <c r="BW239" s="1" t="s">
        <v>121</v>
      </c>
      <c r="BX239" s="1" t="s">
        <v>121</v>
      </c>
      <c r="BY239" s="1" t="s">
        <v>121</v>
      </c>
      <c r="BZ239" s="1" t="s">
        <v>121</v>
      </c>
      <c r="CA239" s="1" t="s">
        <v>121</v>
      </c>
      <c r="CB239" s="1" t="s">
        <v>121</v>
      </c>
      <c r="CC239" s="1" t="s">
        <v>121</v>
      </c>
      <c r="CD239" s="1" t="s">
        <v>121</v>
      </c>
      <c r="CE239" s="1" t="s">
        <v>121</v>
      </c>
      <c r="CF239" s="1" t="s">
        <v>121</v>
      </c>
      <c r="CG239" s="1" t="s">
        <v>121</v>
      </c>
      <c r="CH239" s="1" t="s">
        <v>121</v>
      </c>
      <c r="CI239" s="1" t="s">
        <v>121</v>
      </c>
      <c r="CJ239" s="1" t="s">
        <v>121</v>
      </c>
      <c r="CK239" s="1" t="s">
        <v>121</v>
      </c>
      <c r="CL239" s="1" t="s">
        <v>121</v>
      </c>
      <c r="CM239" s="1" t="s">
        <v>121</v>
      </c>
      <c r="CN239" s="1" t="s">
        <v>121</v>
      </c>
      <c r="CO239" s="1" t="s">
        <v>121</v>
      </c>
      <c r="CP239" s="1" t="s">
        <v>121</v>
      </c>
      <c r="CQ239" s="1" t="s">
        <v>121</v>
      </c>
      <c r="CR239" s="1" t="s">
        <v>121</v>
      </c>
      <c r="CS239" s="1" t="s">
        <v>121</v>
      </c>
      <c r="CT239" s="1" t="s">
        <v>121</v>
      </c>
      <c r="CU239" s="1" t="s">
        <v>121</v>
      </c>
      <c r="CV239" s="1" t="s">
        <v>121</v>
      </c>
      <c r="CW239" s="1" t="s">
        <v>121</v>
      </c>
      <c r="CX239" s="1" t="s">
        <v>121</v>
      </c>
      <c r="CY239" s="1" t="s">
        <v>121</v>
      </c>
      <c r="CZ239" s="1" t="s">
        <v>121</v>
      </c>
      <c r="DA239" s="1" t="s">
        <v>121</v>
      </c>
      <c r="DB239" s="1" t="s">
        <v>121</v>
      </c>
      <c r="DC239" s="1" t="s">
        <v>121</v>
      </c>
      <c r="DD239" s="1" t="s">
        <v>121</v>
      </c>
      <c r="DE239" s="1" t="s">
        <v>121</v>
      </c>
      <c r="DF239" s="1" t="s">
        <v>121</v>
      </c>
      <c r="DG239" s="1" t="s">
        <v>121</v>
      </c>
      <c r="DH239" s="1" t="s">
        <v>121</v>
      </c>
      <c r="DI239" s="1" t="s">
        <v>121</v>
      </c>
      <c r="DJ239" s="1" t="s">
        <v>121</v>
      </c>
      <c r="DK239" s="1" t="s">
        <v>121</v>
      </c>
      <c r="DL239" s="1" t="s">
        <v>121</v>
      </c>
      <c r="DM239" s="1" t="s">
        <v>121</v>
      </c>
      <c r="DN239" s="1" t="s">
        <v>121</v>
      </c>
      <c r="DO239" s="1" t="s">
        <v>121</v>
      </c>
      <c r="DP239" s="1" t="s">
        <v>121</v>
      </c>
      <c r="DQ239" s="1" t="s">
        <v>121</v>
      </c>
      <c r="DR239" s="1" t="s">
        <v>121</v>
      </c>
      <c r="DS239" s="1" t="s">
        <v>121</v>
      </c>
      <c r="DT239" s="1" t="s">
        <v>121</v>
      </c>
      <c r="DU239" s="1" t="s">
        <v>121</v>
      </c>
      <c r="DV239" s="1" t="s">
        <v>121</v>
      </c>
      <c r="DW239" s="1" t="s">
        <v>121</v>
      </c>
      <c r="DX239" s="1" t="s">
        <v>121</v>
      </c>
      <c r="DY239" s="1" t="s">
        <v>121</v>
      </c>
      <c r="DZ239" s="1" t="s">
        <v>121</v>
      </c>
      <c r="EA239" s="1" t="s">
        <v>121</v>
      </c>
      <c r="EB239" s="1" t="s">
        <v>121</v>
      </c>
      <c r="EC239" s="1" t="s">
        <v>121</v>
      </c>
      <c r="ED239" s="1" t="s">
        <v>121</v>
      </c>
      <c r="EE239" s="1" t="s">
        <v>121</v>
      </c>
      <c r="EF239" s="1" t="s">
        <v>121</v>
      </c>
      <c r="EG239" s="1" t="s">
        <v>121</v>
      </c>
      <c r="EH239" s="1" t="s">
        <v>121</v>
      </c>
      <c r="EI239" s="1" t="s">
        <v>121</v>
      </c>
      <c r="EJ239" s="1" t="s">
        <v>121</v>
      </c>
      <c r="EK239" s="1" t="s">
        <v>121</v>
      </c>
      <c r="EL239" s="1" t="s">
        <v>121</v>
      </c>
      <c r="EM239" s="1" t="s">
        <v>121</v>
      </c>
      <c r="EN239" s="1" t="s">
        <v>121</v>
      </c>
      <c r="EO239" s="1" t="s">
        <v>121</v>
      </c>
      <c r="EP239" s="1" t="s">
        <v>121</v>
      </c>
      <c r="EQ239" s="1" t="s">
        <v>121</v>
      </c>
      <c r="ER239" s="1" t="s">
        <v>121</v>
      </c>
      <c r="ES239" s="1" t="s">
        <v>121</v>
      </c>
      <c r="ET239" s="1" t="s">
        <v>121</v>
      </c>
      <c r="EU239" s="1" t="s">
        <v>121</v>
      </c>
      <c r="EV239" s="1" t="s">
        <v>121</v>
      </c>
      <c r="EW239" s="1" t="s">
        <v>121</v>
      </c>
      <c r="EX239" s="1" t="s">
        <v>121</v>
      </c>
    </row>
    <row r="240" spans="1:154" x14ac:dyDescent="0.25">
      <c r="A240" s="72">
        <v>240</v>
      </c>
      <c r="B240" s="74" t="s">
        <v>461</v>
      </c>
      <c r="C240" s="91" t="s">
        <v>121</v>
      </c>
      <c r="D240" s="86" t="s">
        <v>121</v>
      </c>
      <c r="E240" s="92">
        <f t="shared" ca="1" si="19"/>
        <v>-0.25</v>
      </c>
      <c r="F240" s="77">
        <v>156</v>
      </c>
      <c r="G240" s="77">
        <v>95</v>
      </c>
      <c r="H240" s="77">
        <v>47</v>
      </c>
      <c r="I240" s="77">
        <v>268</v>
      </c>
      <c r="J240" s="77">
        <v>208</v>
      </c>
      <c r="K240" s="77">
        <v>155</v>
      </c>
      <c r="L240" s="77">
        <v>78</v>
      </c>
      <c r="M240" s="77">
        <v>236</v>
      </c>
      <c r="N240" s="77">
        <v>173</v>
      </c>
      <c r="O240" s="77">
        <v>107</v>
      </c>
      <c r="P240" s="77">
        <v>55</v>
      </c>
      <c r="Q240" s="405"/>
      <c r="R240" s="405"/>
      <c r="S240" s="405"/>
      <c r="T240" s="405"/>
      <c r="U240" s="77">
        <v>197</v>
      </c>
      <c r="V240" s="77">
        <v>142</v>
      </c>
      <c r="W240" s="77">
        <v>97</v>
      </c>
      <c r="X240" s="77">
        <v>44</v>
      </c>
      <c r="Y240" s="77">
        <v>218</v>
      </c>
      <c r="Z240" s="77">
        <v>145.51</v>
      </c>
      <c r="AA240" s="77">
        <v>94.486999999999995</v>
      </c>
      <c r="AB240" s="77">
        <v>53.37</v>
      </c>
      <c r="AC240" s="77">
        <v>244.76499999999999</v>
      </c>
      <c r="AD240" s="77">
        <v>171.15700000000001</v>
      </c>
      <c r="AE240" s="77">
        <v>92.79</v>
      </c>
      <c r="AF240" s="77">
        <v>46.741</v>
      </c>
      <c r="AG240" s="77">
        <v>259.24</v>
      </c>
      <c r="AH240" s="77">
        <v>187.435</v>
      </c>
      <c r="AI240" s="77">
        <v>124.938</v>
      </c>
      <c r="AJ240" s="77">
        <v>59.231000000000002</v>
      </c>
      <c r="AK240" s="77">
        <v>269.33600000000001</v>
      </c>
      <c r="AL240" s="77">
        <v>192.31100000000001</v>
      </c>
      <c r="AM240" s="77">
        <v>126.69799999999999</v>
      </c>
      <c r="AN240" s="77">
        <v>60.965000000000003</v>
      </c>
      <c r="AO240" s="77">
        <v>314.29700000000003</v>
      </c>
      <c r="AP240" s="77">
        <v>231.078</v>
      </c>
      <c r="AQ240" s="77">
        <v>155.20099999999999</v>
      </c>
      <c r="AR240" s="77">
        <v>73.001999999999995</v>
      </c>
      <c r="AS240" s="77">
        <v>243.01300000000001</v>
      </c>
      <c r="AT240" s="77">
        <v>170.959</v>
      </c>
      <c r="AU240" s="77">
        <v>111.214</v>
      </c>
      <c r="AV240" s="77">
        <v>52.213000000000001</v>
      </c>
      <c r="AW240" s="77">
        <v>302.76499999999999</v>
      </c>
      <c r="AX240" s="77">
        <v>248.35400000000001</v>
      </c>
      <c r="AY240" s="77">
        <v>159.18199999999999</v>
      </c>
      <c r="AZ240" s="55">
        <v>56.3</v>
      </c>
      <c r="BA240" s="55">
        <v>198.71100000000001</v>
      </c>
      <c r="BB240" s="55">
        <v>130.45099999999999</v>
      </c>
      <c r="BC240" s="55">
        <v>82.588999999999999</v>
      </c>
      <c r="BD240" s="55">
        <v>37.252000000000002</v>
      </c>
      <c r="BE240" s="55">
        <v>189.09200000000001</v>
      </c>
      <c r="BF240" s="55">
        <v>136.44399999999999</v>
      </c>
      <c r="BG240" s="55">
        <v>90.296000000000006</v>
      </c>
      <c r="BH240" s="55">
        <v>41.741</v>
      </c>
      <c r="BI240" s="55">
        <v>195.71299999999999</v>
      </c>
      <c r="BJ240" s="55">
        <v>140.32599999999999</v>
      </c>
      <c r="BK240" s="55">
        <v>91.33</v>
      </c>
      <c r="BL240" s="55">
        <v>42.253</v>
      </c>
      <c r="BM240" s="1">
        <v>204.61099999999999</v>
      </c>
      <c r="BN240" s="1">
        <v>142.904</v>
      </c>
      <c r="BO240" s="1">
        <v>92.084999999999994</v>
      </c>
      <c r="BP240" s="1">
        <v>43.338999999999999</v>
      </c>
      <c r="BQ240" s="1" t="s">
        <v>121</v>
      </c>
      <c r="BR240" s="1" t="s">
        <v>121</v>
      </c>
      <c r="BS240" s="1" t="s">
        <v>121</v>
      </c>
      <c r="BT240" s="1" t="s">
        <v>121</v>
      </c>
      <c r="BU240" s="1" t="s">
        <v>121</v>
      </c>
      <c r="BV240" s="1" t="s">
        <v>121</v>
      </c>
      <c r="BW240" s="1" t="s">
        <v>121</v>
      </c>
      <c r="BX240" s="1" t="s">
        <v>121</v>
      </c>
      <c r="BY240" s="1" t="s">
        <v>121</v>
      </c>
      <c r="BZ240" s="1" t="s">
        <v>121</v>
      </c>
      <c r="CA240" s="1" t="s">
        <v>121</v>
      </c>
      <c r="CB240" s="1" t="s">
        <v>121</v>
      </c>
      <c r="CC240" s="1" t="s">
        <v>121</v>
      </c>
      <c r="CD240" s="1" t="s">
        <v>121</v>
      </c>
      <c r="CE240" s="1" t="s">
        <v>121</v>
      </c>
      <c r="CF240" s="1" t="s">
        <v>121</v>
      </c>
      <c r="CG240" s="1" t="s">
        <v>121</v>
      </c>
      <c r="CH240" s="1" t="s">
        <v>121</v>
      </c>
      <c r="CI240" s="1" t="s">
        <v>121</v>
      </c>
      <c r="CJ240" s="1" t="s">
        <v>121</v>
      </c>
      <c r="CK240" s="1" t="s">
        <v>121</v>
      </c>
      <c r="CL240" s="1" t="s">
        <v>121</v>
      </c>
      <c r="CM240" s="1" t="s">
        <v>121</v>
      </c>
      <c r="CN240" s="1" t="s">
        <v>121</v>
      </c>
      <c r="CO240" s="1" t="s">
        <v>121</v>
      </c>
      <c r="CP240" s="1" t="s">
        <v>121</v>
      </c>
      <c r="CQ240" s="1" t="s">
        <v>121</v>
      </c>
      <c r="CR240" s="1" t="s">
        <v>121</v>
      </c>
      <c r="CS240" s="1" t="s">
        <v>121</v>
      </c>
      <c r="CT240" s="1" t="s">
        <v>121</v>
      </c>
      <c r="CU240" s="1" t="s">
        <v>121</v>
      </c>
      <c r="CV240" s="1" t="s">
        <v>121</v>
      </c>
      <c r="CW240" s="1" t="s">
        <v>121</v>
      </c>
      <c r="CX240" s="1" t="s">
        <v>121</v>
      </c>
      <c r="CY240" s="1" t="s">
        <v>121</v>
      </c>
      <c r="CZ240" s="1" t="s">
        <v>121</v>
      </c>
      <c r="DA240" s="1" t="s">
        <v>121</v>
      </c>
      <c r="DB240" s="1" t="s">
        <v>121</v>
      </c>
      <c r="DC240" s="1" t="s">
        <v>121</v>
      </c>
      <c r="DD240" s="1" t="s">
        <v>121</v>
      </c>
      <c r="DE240" s="1" t="s">
        <v>121</v>
      </c>
      <c r="DF240" s="1" t="s">
        <v>121</v>
      </c>
      <c r="DG240" s="1" t="s">
        <v>121</v>
      </c>
      <c r="DH240" s="1" t="s">
        <v>121</v>
      </c>
      <c r="DI240" s="1" t="s">
        <v>121</v>
      </c>
      <c r="DJ240" s="1" t="s">
        <v>121</v>
      </c>
      <c r="DK240" s="1" t="s">
        <v>121</v>
      </c>
      <c r="DL240" s="1" t="s">
        <v>121</v>
      </c>
      <c r="DM240" s="1" t="s">
        <v>121</v>
      </c>
      <c r="DN240" s="1" t="s">
        <v>121</v>
      </c>
      <c r="DO240" s="1" t="s">
        <v>121</v>
      </c>
      <c r="DP240" s="1" t="s">
        <v>121</v>
      </c>
      <c r="DQ240" s="1" t="s">
        <v>121</v>
      </c>
      <c r="DR240" s="1" t="s">
        <v>121</v>
      </c>
      <c r="DS240" s="1" t="s">
        <v>121</v>
      </c>
      <c r="DT240" s="1" t="s">
        <v>121</v>
      </c>
      <c r="DU240" s="1" t="s">
        <v>121</v>
      </c>
      <c r="DV240" s="1" t="s">
        <v>121</v>
      </c>
      <c r="DW240" s="1" t="s">
        <v>121</v>
      </c>
      <c r="DX240" s="1" t="s">
        <v>121</v>
      </c>
      <c r="DY240" s="1" t="s">
        <v>121</v>
      </c>
      <c r="DZ240" s="1" t="s">
        <v>121</v>
      </c>
      <c r="EA240" s="1" t="s">
        <v>121</v>
      </c>
      <c r="EB240" s="1" t="s">
        <v>121</v>
      </c>
      <c r="EC240" s="1" t="s">
        <v>121</v>
      </c>
      <c r="ED240" s="1" t="s">
        <v>121</v>
      </c>
      <c r="EE240" s="1" t="s">
        <v>121</v>
      </c>
      <c r="EF240" s="1" t="s">
        <v>121</v>
      </c>
      <c r="EG240" s="1" t="s">
        <v>121</v>
      </c>
      <c r="EH240" s="1" t="s">
        <v>121</v>
      </c>
      <c r="EI240" s="1" t="s">
        <v>121</v>
      </c>
      <c r="EJ240" s="1" t="s">
        <v>121</v>
      </c>
      <c r="EK240" s="1" t="s">
        <v>121</v>
      </c>
      <c r="EL240" s="1" t="s">
        <v>121</v>
      </c>
      <c r="EM240" s="1" t="s">
        <v>121</v>
      </c>
      <c r="EN240" s="1" t="s">
        <v>121</v>
      </c>
      <c r="EO240" s="1" t="s">
        <v>121</v>
      </c>
      <c r="EP240" s="1" t="s">
        <v>121</v>
      </c>
      <c r="EQ240" s="1" t="s">
        <v>121</v>
      </c>
      <c r="ER240" s="1" t="s">
        <v>121</v>
      </c>
      <c r="ES240" s="1" t="s">
        <v>121</v>
      </c>
      <c r="ET240" s="1" t="s">
        <v>121</v>
      </c>
      <c r="EU240" s="1" t="s">
        <v>121</v>
      </c>
      <c r="EV240" s="1" t="s">
        <v>121</v>
      </c>
      <c r="EW240" s="1" t="s">
        <v>121</v>
      </c>
      <c r="EX240" s="1" t="s">
        <v>121</v>
      </c>
    </row>
    <row r="241" spans="1:154" x14ac:dyDescent="0.25">
      <c r="A241" s="72">
        <v>241</v>
      </c>
      <c r="B241" s="74" t="s">
        <v>462</v>
      </c>
      <c r="C241" s="91" t="s">
        <v>121</v>
      </c>
      <c r="D241" s="86" t="s">
        <v>121</v>
      </c>
      <c r="E241" s="92"/>
      <c r="F241" s="313" t="s">
        <v>121</v>
      </c>
      <c r="G241" s="313" t="s">
        <v>121</v>
      </c>
      <c r="H241" s="313" t="s">
        <v>121</v>
      </c>
      <c r="I241" s="313" t="s">
        <v>121</v>
      </c>
      <c r="J241" s="313" t="s">
        <v>121</v>
      </c>
      <c r="K241" s="313" t="s">
        <v>121</v>
      </c>
      <c r="L241" s="313" t="s">
        <v>121</v>
      </c>
      <c r="M241" s="313">
        <v>35</v>
      </c>
      <c r="N241" s="313">
        <v>35</v>
      </c>
      <c r="O241" s="313">
        <v>35</v>
      </c>
      <c r="P241" s="313">
        <v>30</v>
      </c>
      <c r="Q241" s="405"/>
      <c r="R241" s="405"/>
      <c r="S241" s="405"/>
      <c r="T241" s="405"/>
      <c r="U241" s="77">
        <v>194</v>
      </c>
      <c r="V241" s="77">
        <v>147</v>
      </c>
      <c r="W241" s="77">
        <v>97</v>
      </c>
      <c r="X241" s="77">
        <v>27</v>
      </c>
      <c r="Y241" s="77">
        <v>106</v>
      </c>
      <c r="Z241" s="77">
        <v>89.135000000000005</v>
      </c>
      <c r="AA241" s="77">
        <v>52.093000000000004</v>
      </c>
      <c r="AB241" s="77">
        <v>14.304</v>
      </c>
      <c r="AC241" s="77">
        <v>62.238</v>
      </c>
      <c r="AD241" s="77">
        <v>32.881999999999998</v>
      </c>
      <c r="AE241" s="77">
        <v>19.074999999999999</v>
      </c>
      <c r="AF241" s="77">
        <v>8.4380000000000006</v>
      </c>
      <c r="AG241" s="77" t="s">
        <v>121</v>
      </c>
      <c r="AH241" s="77" t="s">
        <v>121</v>
      </c>
      <c r="AI241" s="77" t="s">
        <v>121</v>
      </c>
      <c r="AJ241" s="77" t="s">
        <v>121</v>
      </c>
      <c r="AK241" s="77" t="s">
        <v>121</v>
      </c>
      <c r="AL241" s="77" t="s">
        <v>121</v>
      </c>
      <c r="AM241" s="77" t="s">
        <v>121</v>
      </c>
      <c r="AN241" s="77" t="s">
        <v>121</v>
      </c>
      <c r="AO241" s="77" t="s">
        <v>121</v>
      </c>
      <c r="AP241" s="77" t="s">
        <v>121</v>
      </c>
      <c r="AQ241" s="77" t="s">
        <v>121</v>
      </c>
      <c r="AR241" s="77" t="s">
        <v>121</v>
      </c>
      <c r="AS241" s="77" t="s">
        <v>121</v>
      </c>
      <c r="AT241" s="77" t="s">
        <v>121</v>
      </c>
      <c r="AU241" s="77" t="s">
        <v>121</v>
      </c>
      <c r="AV241" s="77" t="s">
        <v>121</v>
      </c>
      <c r="AW241" s="77" t="s">
        <v>121</v>
      </c>
      <c r="AX241" s="77" t="s">
        <v>121</v>
      </c>
      <c r="AY241" s="77" t="s">
        <v>121</v>
      </c>
      <c r="AZ241" s="55" t="s">
        <v>121</v>
      </c>
      <c r="BA241" s="55" t="s">
        <v>121</v>
      </c>
      <c r="BB241" s="55" t="s">
        <v>121</v>
      </c>
      <c r="BC241" s="55" t="s">
        <v>121</v>
      </c>
      <c r="BD241" s="55" t="s">
        <v>121</v>
      </c>
      <c r="BE241" s="55" t="s">
        <v>121</v>
      </c>
      <c r="BF241" s="55" t="s">
        <v>121</v>
      </c>
      <c r="BG241" s="55" t="s">
        <v>121</v>
      </c>
      <c r="BH241" s="55" t="s">
        <v>121</v>
      </c>
      <c r="BI241" s="55" t="s">
        <v>121</v>
      </c>
      <c r="BJ241" s="55" t="s">
        <v>121</v>
      </c>
      <c r="BK241" s="55" t="s">
        <v>121</v>
      </c>
      <c r="BL241" s="55" t="s">
        <v>121</v>
      </c>
      <c r="BM241" s="1" t="s">
        <v>121</v>
      </c>
      <c r="BN241" s="1" t="s">
        <v>121</v>
      </c>
      <c r="BO241" s="1" t="s">
        <v>121</v>
      </c>
      <c r="BP241" s="1" t="s">
        <v>121</v>
      </c>
      <c r="BQ241" s="1" t="s">
        <v>121</v>
      </c>
      <c r="BR241" s="1" t="s">
        <v>121</v>
      </c>
      <c r="BS241" s="1" t="s">
        <v>121</v>
      </c>
      <c r="BT241" s="1" t="s">
        <v>121</v>
      </c>
      <c r="BU241" s="1" t="s">
        <v>121</v>
      </c>
      <c r="BV241" s="1" t="s">
        <v>121</v>
      </c>
      <c r="BW241" s="1" t="s">
        <v>121</v>
      </c>
      <c r="BX241" s="1" t="s">
        <v>121</v>
      </c>
      <c r="BY241" s="1" t="s">
        <v>121</v>
      </c>
      <c r="BZ241" s="1" t="s">
        <v>121</v>
      </c>
      <c r="CA241" s="1" t="s">
        <v>121</v>
      </c>
      <c r="CB241" s="1" t="s">
        <v>121</v>
      </c>
      <c r="CC241" s="1" t="s">
        <v>121</v>
      </c>
      <c r="CD241" s="1" t="s">
        <v>121</v>
      </c>
      <c r="CE241" s="1" t="s">
        <v>121</v>
      </c>
      <c r="CF241" s="1" t="s">
        <v>121</v>
      </c>
      <c r="CG241" s="1" t="s">
        <v>121</v>
      </c>
      <c r="CH241" s="1" t="s">
        <v>121</v>
      </c>
      <c r="CI241" s="1" t="s">
        <v>121</v>
      </c>
      <c r="CJ241" s="1" t="s">
        <v>121</v>
      </c>
      <c r="CK241" s="1" t="s">
        <v>121</v>
      </c>
      <c r="CL241" s="1" t="s">
        <v>121</v>
      </c>
      <c r="CM241" s="1" t="s">
        <v>121</v>
      </c>
      <c r="CN241" s="1" t="s">
        <v>121</v>
      </c>
      <c r="CO241" s="1" t="s">
        <v>121</v>
      </c>
      <c r="CP241" s="1" t="s">
        <v>121</v>
      </c>
      <c r="CQ241" s="1" t="s">
        <v>121</v>
      </c>
      <c r="CR241" s="1" t="s">
        <v>121</v>
      </c>
      <c r="CS241" s="1" t="s">
        <v>121</v>
      </c>
      <c r="CT241" s="1" t="s">
        <v>121</v>
      </c>
      <c r="CU241" s="1" t="s">
        <v>121</v>
      </c>
      <c r="CV241" s="1" t="s">
        <v>121</v>
      </c>
      <c r="CW241" s="1" t="s">
        <v>121</v>
      </c>
      <c r="CX241" s="1" t="s">
        <v>121</v>
      </c>
      <c r="CY241" s="1" t="s">
        <v>121</v>
      </c>
      <c r="CZ241" s="1" t="s">
        <v>121</v>
      </c>
      <c r="DA241" s="1" t="s">
        <v>121</v>
      </c>
      <c r="DB241" s="1" t="s">
        <v>121</v>
      </c>
      <c r="DC241" s="1" t="s">
        <v>121</v>
      </c>
      <c r="DD241" s="1" t="s">
        <v>121</v>
      </c>
      <c r="DE241" s="1" t="s">
        <v>121</v>
      </c>
      <c r="DF241" s="1" t="s">
        <v>121</v>
      </c>
      <c r="DG241" s="1" t="s">
        <v>121</v>
      </c>
      <c r="DH241" s="1" t="s">
        <v>121</v>
      </c>
      <c r="DI241" s="1" t="s">
        <v>121</v>
      </c>
      <c r="DJ241" s="1" t="s">
        <v>121</v>
      </c>
      <c r="DK241" s="1" t="s">
        <v>121</v>
      </c>
      <c r="DL241" s="1" t="s">
        <v>121</v>
      </c>
      <c r="DM241" s="1" t="s">
        <v>121</v>
      </c>
      <c r="DN241" s="1" t="s">
        <v>121</v>
      </c>
      <c r="DO241" s="1" t="s">
        <v>121</v>
      </c>
      <c r="DP241" s="1" t="s">
        <v>121</v>
      </c>
      <c r="DQ241" s="1" t="s">
        <v>121</v>
      </c>
      <c r="DR241" s="1" t="s">
        <v>121</v>
      </c>
      <c r="DS241" s="1" t="s">
        <v>121</v>
      </c>
      <c r="DT241" s="1" t="s">
        <v>121</v>
      </c>
      <c r="DU241" s="1" t="s">
        <v>121</v>
      </c>
      <c r="DV241" s="1" t="s">
        <v>121</v>
      </c>
      <c r="DW241" s="1" t="s">
        <v>121</v>
      </c>
      <c r="DX241" s="1" t="s">
        <v>121</v>
      </c>
      <c r="DY241" s="1" t="s">
        <v>121</v>
      </c>
      <c r="DZ241" s="1" t="s">
        <v>121</v>
      </c>
      <c r="EA241" s="1" t="s">
        <v>121</v>
      </c>
      <c r="EB241" s="1" t="s">
        <v>121</v>
      </c>
      <c r="EC241" s="1" t="s">
        <v>121</v>
      </c>
      <c r="ED241" s="1" t="s">
        <v>121</v>
      </c>
      <c r="EE241" s="1" t="s">
        <v>121</v>
      </c>
      <c r="EF241" s="1" t="s">
        <v>121</v>
      </c>
      <c r="EG241" s="1" t="s">
        <v>121</v>
      </c>
      <c r="EH241" s="1" t="s">
        <v>121</v>
      </c>
      <c r="EI241" s="1" t="s">
        <v>121</v>
      </c>
      <c r="EJ241" s="1" t="s">
        <v>121</v>
      </c>
      <c r="EK241" s="1" t="s">
        <v>121</v>
      </c>
      <c r="EL241" s="1" t="s">
        <v>121</v>
      </c>
      <c r="EM241" s="1" t="s">
        <v>121</v>
      </c>
      <c r="EN241" s="1" t="s">
        <v>121</v>
      </c>
      <c r="EO241" s="1" t="s">
        <v>121</v>
      </c>
      <c r="EP241" s="1" t="s">
        <v>121</v>
      </c>
      <c r="EQ241" s="1" t="s">
        <v>121</v>
      </c>
      <c r="ER241" s="1" t="s">
        <v>121</v>
      </c>
      <c r="ES241" s="1" t="s">
        <v>121</v>
      </c>
      <c r="ET241" s="1" t="s">
        <v>121</v>
      </c>
      <c r="EU241" s="1" t="s">
        <v>121</v>
      </c>
      <c r="EV241" s="1" t="s">
        <v>121</v>
      </c>
      <c r="EW241" s="1" t="s">
        <v>121</v>
      </c>
      <c r="EX241" s="1" t="s">
        <v>121</v>
      </c>
    </row>
    <row r="242" spans="1:154" x14ac:dyDescent="0.25">
      <c r="A242" s="72">
        <v>242</v>
      </c>
      <c r="B242" s="74" t="s">
        <v>463</v>
      </c>
      <c r="C242" s="91" t="s">
        <v>121</v>
      </c>
      <c r="D242" s="86" t="s">
        <v>121</v>
      </c>
      <c r="E242" s="92">
        <f t="shared" ca="1" si="19"/>
        <v>-1.538461538461533E-2</v>
      </c>
      <c r="F242" s="77">
        <v>64</v>
      </c>
      <c r="G242" s="77">
        <v>42</v>
      </c>
      <c r="H242" s="77">
        <v>21</v>
      </c>
      <c r="I242" s="77">
        <v>87</v>
      </c>
      <c r="J242" s="77">
        <v>65</v>
      </c>
      <c r="K242" s="77">
        <v>42</v>
      </c>
      <c r="L242" s="77">
        <v>20</v>
      </c>
      <c r="M242" s="77">
        <v>77</v>
      </c>
      <c r="N242" s="77">
        <v>58</v>
      </c>
      <c r="O242" s="77">
        <v>38</v>
      </c>
      <c r="P242" s="77">
        <v>18</v>
      </c>
      <c r="Q242" s="405"/>
      <c r="R242" s="405"/>
      <c r="S242" s="405"/>
      <c r="T242" s="405"/>
      <c r="U242" s="77">
        <v>111</v>
      </c>
      <c r="V242" s="77">
        <v>85</v>
      </c>
      <c r="W242" s="77">
        <v>58</v>
      </c>
      <c r="X242" s="77">
        <v>28</v>
      </c>
      <c r="Y242" s="77">
        <v>114</v>
      </c>
      <c r="Z242" s="77">
        <v>82.396000000000001</v>
      </c>
      <c r="AA242" s="77">
        <v>55.872</v>
      </c>
      <c r="AB242" s="77">
        <v>35.924999999999997</v>
      </c>
      <c r="AC242" s="77">
        <v>176.21199999999999</v>
      </c>
      <c r="AD242" s="77">
        <v>135.01</v>
      </c>
      <c r="AE242" s="77">
        <v>103.11199999999999</v>
      </c>
      <c r="AF242" s="77">
        <v>46.747</v>
      </c>
      <c r="AG242" s="77">
        <v>196.512</v>
      </c>
      <c r="AH242" s="77">
        <v>145.892</v>
      </c>
      <c r="AI242" s="77">
        <v>93.524000000000001</v>
      </c>
      <c r="AJ242" s="77">
        <v>46.015999999999998</v>
      </c>
      <c r="AK242" s="77">
        <v>202.88300000000001</v>
      </c>
      <c r="AL242" s="77">
        <v>153.273</v>
      </c>
      <c r="AM242" s="77">
        <v>105.46</v>
      </c>
      <c r="AN242" s="77">
        <v>50.957999999999998</v>
      </c>
      <c r="AO242" s="77">
        <v>190.30799999999999</v>
      </c>
      <c r="AP242" s="77">
        <v>139.22</v>
      </c>
      <c r="AQ242" s="77">
        <v>88.828000000000003</v>
      </c>
      <c r="AR242" s="77">
        <v>44.048999999999999</v>
      </c>
      <c r="AS242" s="77">
        <v>167.792</v>
      </c>
      <c r="AT242" s="77">
        <v>124.38</v>
      </c>
      <c r="AU242" s="77">
        <v>83.212999999999994</v>
      </c>
      <c r="AV242" s="77">
        <v>40.412999999999997</v>
      </c>
      <c r="AW242" s="77">
        <v>160.17599999999999</v>
      </c>
      <c r="AX242" s="77">
        <v>118.804</v>
      </c>
      <c r="AY242" s="77">
        <v>80.185000000000002</v>
      </c>
      <c r="AZ242" s="55">
        <v>39.247999999999998</v>
      </c>
      <c r="BA242" s="55">
        <v>154.05199999999999</v>
      </c>
      <c r="BB242" s="55">
        <v>115.89100000000001</v>
      </c>
      <c r="BC242" s="55">
        <v>80.209999999999994</v>
      </c>
      <c r="BD242" s="55">
        <v>38.878999999999998</v>
      </c>
      <c r="BE242" s="55">
        <v>134.04599999999999</v>
      </c>
      <c r="BF242" s="55">
        <v>95.962999999999994</v>
      </c>
      <c r="BG242" s="55">
        <v>61.42</v>
      </c>
      <c r="BH242" s="55">
        <v>28.855</v>
      </c>
      <c r="BI242" s="55">
        <v>112.16200000000001</v>
      </c>
      <c r="BJ242" s="55">
        <v>80.701999999999998</v>
      </c>
      <c r="BK242" s="55">
        <v>52.371000000000002</v>
      </c>
      <c r="BL242" s="55">
        <v>24.015000000000001</v>
      </c>
      <c r="BM242" s="1">
        <v>97.816000000000003</v>
      </c>
      <c r="BN242" s="1">
        <v>71.100999999999999</v>
      </c>
      <c r="BO242" s="1">
        <v>45.651000000000003</v>
      </c>
      <c r="BP242" s="1">
        <v>20.905999999999999</v>
      </c>
      <c r="BQ242" s="1" t="s">
        <v>121</v>
      </c>
      <c r="BR242" s="1" t="s">
        <v>121</v>
      </c>
      <c r="BS242" s="1" t="s">
        <v>121</v>
      </c>
      <c r="BT242" s="1" t="s">
        <v>121</v>
      </c>
      <c r="BU242" s="1" t="s">
        <v>121</v>
      </c>
      <c r="BV242" s="1" t="s">
        <v>121</v>
      </c>
      <c r="BW242" s="1" t="s">
        <v>121</v>
      </c>
      <c r="BX242" s="1" t="s">
        <v>121</v>
      </c>
      <c r="BY242" s="1" t="s">
        <v>121</v>
      </c>
      <c r="BZ242" s="1" t="s">
        <v>121</v>
      </c>
      <c r="CA242" s="1" t="s">
        <v>121</v>
      </c>
      <c r="CB242" s="1" t="s">
        <v>121</v>
      </c>
      <c r="CC242" s="1" t="s">
        <v>121</v>
      </c>
      <c r="CD242" s="1" t="s">
        <v>121</v>
      </c>
      <c r="CE242" s="1" t="s">
        <v>121</v>
      </c>
      <c r="CF242" s="1" t="s">
        <v>121</v>
      </c>
      <c r="CG242" s="1" t="s">
        <v>121</v>
      </c>
      <c r="CH242" s="1" t="s">
        <v>121</v>
      </c>
      <c r="CI242" s="1" t="s">
        <v>121</v>
      </c>
      <c r="CJ242" s="1" t="s">
        <v>121</v>
      </c>
      <c r="CK242" s="1" t="s">
        <v>121</v>
      </c>
      <c r="CL242" s="1" t="s">
        <v>121</v>
      </c>
      <c r="CM242" s="1" t="s">
        <v>121</v>
      </c>
      <c r="CN242" s="1" t="s">
        <v>121</v>
      </c>
      <c r="CO242" s="1" t="s">
        <v>121</v>
      </c>
      <c r="CP242" s="1" t="s">
        <v>121</v>
      </c>
      <c r="CQ242" s="1" t="s">
        <v>121</v>
      </c>
      <c r="CR242" s="1" t="s">
        <v>121</v>
      </c>
      <c r="CS242" s="1" t="s">
        <v>121</v>
      </c>
      <c r="CT242" s="1" t="s">
        <v>121</v>
      </c>
      <c r="CU242" s="1" t="s">
        <v>121</v>
      </c>
      <c r="CV242" s="1" t="s">
        <v>121</v>
      </c>
      <c r="CW242" s="1" t="s">
        <v>121</v>
      </c>
      <c r="CX242" s="1" t="s">
        <v>121</v>
      </c>
      <c r="CY242" s="1" t="s">
        <v>121</v>
      </c>
      <c r="CZ242" s="1" t="s">
        <v>121</v>
      </c>
      <c r="DA242" s="1" t="s">
        <v>121</v>
      </c>
      <c r="DB242" s="1" t="s">
        <v>121</v>
      </c>
      <c r="DC242" s="1" t="s">
        <v>121</v>
      </c>
      <c r="DD242" s="1" t="s">
        <v>121</v>
      </c>
      <c r="DE242" s="1" t="s">
        <v>121</v>
      </c>
      <c r="DF242" s="1" t="s">
        <v>121</v>
      </c>
      <c r="DG242" s="1" t="s">
        <v>121</v>
      </c>
      <c r="DH242" s="1" t="s">
        <v>121</v>
      </c>
      <c r="DI242" s="1" t="s">
        <v>121</v>
      </c>
      <c r="DJ242" s="1" t="s">
        <v>121</v>
      </c>
      <c r="DK242" s="1" t="s">
        <v>121</v>
      </c>
      <c r="DL242" s="1" t="s">
        <v>121</v>
      </c>
      <c r="DM242" s="1" t="s">
        <v>121</v>
      </c>
      <c r="DN242" s="1" t="s">
        <v>121</v>
      </c>
      <c r="DO242" s="1" t="s">
        <v>121</v>
      </c>
      <c r="DP242" s="1" t="s">
        <v>121</v>
      </c>
      <c r="DQ242" s="1" t="s">
        <v>121</v>
      </c>
      <c r="DR242" s="1" t="s">
        <v>121</v>
      </c>
      <c r="DS242" s="1" t="s">
        <v>121</v>
      </c>
      <c r="DT242" s="1" t="s">
        <v>121</v>
      </c>
      <c r="DU242" s="1" t="s">
        <v>121</v>
      </c>
      <c r="DV242" s="1" t="s">
        <v>121</v>
      </c>
      <c r="DW242" s="1" t="s">
        <v>121</v>
      </c>
      <c r="DX242" s="1" t="s">
        <v>121</v>
      </c>
      <c r="DY242" s="1" t="s">
        <v>121</v>
      </c>
      <c r="DZ242" s="1" t="s">
        <v>121</v>
      </c>
      <c r="EA242" s="1" t="s">
        <v>121</v>
      </c>
      <c r="EB242" s="1" t="s">
        <v>121</v>
      </c>
      <c r="EC242" s="1" t="s">
        <v>121</v>
      </c>
      <c r="ED242" s="1" t="s">
        <v>121</v>
      </c>
      <c r="EE242" s="1" t="s">
        <v>121</v>
      </c>
      <c r="EF242" s="1" t="s">
        <v>121</v>
      </c>
      <c r="EG242" s="1" t="s">
        <v>121</v>
      </c>
      <c r="EH242" s="1" t="s">
        <v>121</v>
      </c>
      <c r="EI242" s="1" t="s">
        <v>121</v>
      </c>
      <c r="EJ242" s="1" t="s">
        <v>121</v>
      </c>
      <c r="EK242" s="1" t="s">
        <v>121</v>
      </c>
      <c r="EL242" s="1" t="s">
        <v>121</v>
      </c>
      <c r="EM242" s="1" t="s">
        <v>121</v>
      </c>
      <c r="EN242" s="1" t="s">
        <v>121</v>
      </c>
      <c r="EO242" s="1" t="s">
        <v>121</v>
      </c>
      <c r="EP242" s="1" t="s">
        <v>121</v>
      </c>
      <c r="EQ242" s="1" t="s">
        <v>121</v>
      </c>
      <c r="ER242" s="1" t="s">
        <v>121</v>
      </c>
      <c r="ES242" s="1" t="s">
        <v>121</v>
      </c>
      <c r="ET242" s="1" t="s">
        <v>121</v>
      </c>
      <c r="EU242" s="1" t="s">
        <v>121</v>
      </c>
      <c r="EV242" s="1" t="s">
        <v>121</v>
      </c>
      <c r="EW242" s="1" t="s">
        <v>121</v>
      </c>
      <c r="EX242" s="1" t="s">
        <v>121</v>
      </c>
    </row>
    <row r="243" spans="1:154" x14ac:dyDescent="0.25">
      <c r="A243" s="72">
        <v>243</v>
      </c>
      <c r="B243" s="74" t="s">
        <v>464</v>
      </c>
      <c r="C243" s="91" t="s">
        <v>121</v>
      </c>
      <c r="D243" s="86" t="s">
        <v>121</v>
      </c>
      <c r="E243" s="92">
        <f t="shared" ca="1" si="19"/>
        <v>-9.4339622641509413E-2</v>
      </c>
      <c r="F243" s="77">
        <v>48</v>
      </c>
      <c r="G243" s="77">
        <v>32</v>
      </c>
      <c r="H243" s="77">
        <v>16</v>
      </c>
      <c r="I243" s="77">
        <v>69</v>
      </c>
      <c r="J243" s="77">
        <v>53</v>
      </c>
      <c r="K243" s="77">
        <v>35</v>
      </c>
      <c r="L243" s="77">
        <v>17</v>
      </c>
      <c r="M243" s="77">
        <v>69</v>
      </c>
      <c r="N243" s="77">
        <v>52</v>
      </c>
      <c r="O243" s="77">
        <v>34</v>
      </c>
      <c r="P243" s="77">
        <v>17</v>
      </c>
      <c r="Q243" s="405"/>
      <c r="R243" s="405"/>
      <c r="S243" s="405"/>
      <c r="T243" s="405"/>
      <c r="U243" s="77">
        <v>58</v>
      </c>
      <c r="V243" s="77">
        <v>44</v>
      </c>
      <c r="W243" s="77">
        <v>29</v>
      </c>
      <c r="X243" s="77">
        <v>14</v>
      </c>
      <c r="Y243" s="77">
        <v>58</v>
      </c>
      <c r="Z243" s="77">
        <v>43.301000000000002</v>
      </c>
      <c r="AA243" s="77">
        <v>28.646000000000001</v>
      </c>
      <c r="AB243" s="77">
        <v>14.512</v>
      </c>
      <c r="AC243" s="77">
        <v>57.588000000000001</v>
      </c>
      <c r="AD243" s="77">
        <v>42.932000000000002</v>
      </c>
      <c r="AE243" s="77">
        <v>28.187000000000001</v>
      </c>
      <c r="AF243" s="77">
        <v>13.922000000000001</v>
      </c>
      <c r="AG243" s="77">
        <v>58.825000000000003</v>
      </c>
      <c r="AH243" s="77">
        <v>44.499000000000002</v>
      </c>
      <c r="AI243" s="77">
        <v>29.673999999999999</v>
      </c>
      <c r="AJ243" s="77">
        <v>14.789</v>
      </c>
      <c r="AK243" s="77">
        <v>58.767000000000003</v>
      </c>
      <c r="AL243" s="77">
        <v>42.457999999999998</v>
      </c>
      <c r="AM243" s="77">
        <v>27.411000000000001</v>
      </c>
      <c r="AN243" s="77">
        <v>12.769</v>
      </c>
      <c r="AO243" s="77">
        <v>42.453000000000003</v>
      </c>
      <c r="AP243" s="77">
        <v>30.859000000000002</v>
      </c>
      <c r="AQ243" s="77">
        <v>20.091000000000001</v>
      </c>
      <c r="AR243" s="77">
        <v>9.77</v>
      </c>
      <c r="AS243" s="77">
        <v>33.405000000000001</v>
      </c>
      <c r="AT243" s="77">
        <v>24.167000000000002</v>
      </c>
      <c r="AU243" s="77">
        <v>16.716000000000001</v>
      </c>
      <c r="AV243" s="77">
        <v>7.85</v>
      </c>
      <c r="AW243" s="77">
        <v>27.097999999999999</v>
      </c>
      <c r="AX243" s="77">
        <v>19.899999999999999</v>
      </c>
      <c r="AY243" s="77">
        <v>13.000999999999999</v>
      </c>
      <c r="AZ243" s="55">
        <v>6.2690000000000001</v>
      </c>
      <c r="BA243" s="55">
        <v>24.58</v>
      </c>
      <c r="BB243" s="55">
        <v>18.234000000000002</v>
      </c>
      <c r="BC243" s="55">
        <v>11.991</v>
      </c>
      <c r="BD243" s="55">
        <v>5.851</v>
      </c>
      <c r="BE243" s="55">
        <v>22.997</v>
      </c>
      <c r="BF243" s="55">
        <v>17.097000000000001</v>
      </c>
      <c r="BG243" s="55">
        <v>11.193</v>
      </c>
      <c r="BH243" s="55">
        <v>5.5780000000000003</v>
      </c>
      <c r="BI243" s="55">
        <v>20.452999999999999</v>
      </c>
      <c r="BJ243" s="55">
        <v>14.978999999999999</v>
      </c>
      <c r="BK243" s="55">
        <v>9.6620000000000008</v>
      </c>
      <c r="BL243" s="55">
        <v>4.6959999999999997</v>
      </c>
      <c r="BM243" s="1">
        <v>19.033000000000001</v>
      </c>
      <c r="BN243" s="1">
        <v>14.196</v>
      </c>
      <c r="BO243" s="1">
        <v>9.3770000000000007</v>
      </c>
      <c r="BP243" s="1">
        <v>4.6470000000000002</v>
      </c>
      <c r="BQ243" s="1" t="s">
        <v>121</v>
      </c>
      <c r="BR243" s="1" t="s">
        <v>121</v>
      </c>
      <c r="BS243" s="1" t="s">
        <v>121</v>
      </c>
      <c r="BT243" s="1" t="s">
        <v>121</v>
      </c>
      <c r="BU243" s="1" t="s">
        <v>121</v>
      </c>
      <c r="BV243" s="1" t="s">
        <v>121</v>
      </c>
      <c r="BW243" s="1" t="s">
        <v>121</v>
      </c>
      <c r="BX243" s="1" t="s">
        <v>121</v>
      </c>
      <c r="BY243" s="1" t="s">
        <v>121</v>
      </c>
      <c r="BZ243" s="1" t="s">
        <v>121</v>
      </c>
      <c r="CA243" s="1" t="s">
        <v>121</v>
      </c>
      <c r="CB243" s="1" t="s">
        <v>121</v>
      </c>
      <c r="CC243" s="1" t="s">
        <v>121</v>
      </c>
      <c r="CD243" s="1" t="s">
        <v>121</v>
      </c>
      <c r="CE243" s="1" t="s">
        <v>121</v>
      </c>
      <c r="CF243" s="1" t="s">
        <v>121</v>
      </c>
      <c r="CG243" s="1" t="s">
        <v>121</v>
      </c>
      <c r="CH243" s="1" t="s">
        <v>121</v>
      </c>
      <c r="CI243" s="1" t="s">
        <v>121</v>
      </c>
      <c r="CJ243" s="1" t="s">
        <v>121</v>
      </c>
      <c r="CK243" s="1" t="s">
        <v>121</v>
      </c>
      <c r="CL243" s="1" t="s">
        <v>121</v>
      </c>
      <c r="CM243" s="1" t="s">
        <v>121</v>
      </c>
      <c r="CN243" s="1" t="s">
        <v>121</v>
      </c>
      <c r="CO243" s="1" t="s">
        <v>121</v>
      </c>
      <c r="CP243" s="1" t="s">
        <v>121</v>
      </c>
      <c r="CQ243" s="1" t="s">
        <v>121</v>
      </c>
      <c r="CR243" s="1" t="s">
        <v>121</v>
      </c>
      <c r="CS243" s="1" t="s">
        <v>121</v>
      </c>
      <c r="CT243" s="1" t="s">
        <v>121</v>
      </c>
      <c r="CU243" s="1" t="s">
        <v>121</v>
      </c>
      <c r="CV243" s="1" t="s">
        <v>121</v>
      </c>
      <c r="CW243" s="1" t="s">
        <v>121</v>
      </c>
      <c r="CX243" s="1" t="s">
        <v>121</v>
      </c>
      <c r="CY243" s="1" t="s">
        <v>121</v>
      </c>
      <c r="CZ243" s="1" t="s">
        <v>121</v>
      </c>
      <c r="DA243" s="1" t="s">
        <v>121</v>
      </c>
      <c r="DB243" s="1" t="s">
        <v>121</v>
      </c>
      <c r="DC243" s="1" t="s">
        <v>121</v>
      </c>
      <c r="DD243" s="1" t="s">
        <v>121</v>
      </c>
      <c r="DE243" s="1" t="s">
        <v>121</v>
      </c>
      <c r="DF243" s="1" t="s">
        <v>121</v>
      </c>
      <c r="DG243" s="1" t="s">
        <v>121</v>
      </c>
      <c r="DH243" s="1" t="s">
        <v>121</v>
      </c>
      <c r="DI243" s="1" t="s">
        <v>121</v>
      </c>
      <c r="DJ243" s="1" t="s">
        <v>121</v>
      </c>
      <c r="DK243" s="1" t="s">
        <v>121</v>
      </c>
      <c r="DL243" s="1" t="s">
        <v>121</v>
      </c>
      <c r="DM243" s="1" t="s">
        <v>121</v>
      </c>
      <c r="DN243" s="1" t="s">
        <v>121</v>
      </c>
      <c r="DO243" s="1" t="s">
        <v>121</v>
      </c>
      <c r="DP243" s="1" t="s">
        <v>121</v>
      </c>
      <c r="DQ243" s="1" t="s">
        <v>121</v>
      </c>
      <c r="DR243" s="1" t="s">
        <v>121</v>
      </c>
      <c r="DS243" s="1" t="s">
        <v>121</v>
      </c>
      <c r="DT243" s="1" t="s">
        <v>121</v>
      </c>
      <c r="DU243" s="1" t="s">
        <v>121</v>
      </c>
      <c r="DV243" s="1" t="s">
        <v>121</v>
      </c>
      <c r="DW243" s="1" t="s">
        <v>121</v>
      </c>
      <c r="DX243" s="1" t="s">
        <v>121</v>
      </c>
      <c r="DY243" s="1" t="s">
        <v>121</v>
      </c>
      <c r="DZ243" s="1" t="s">
        <v>121</v>
      </c>
      <c r="EA243" s="1" t="s">
        <v>121</v>
      </c>
      <c r="EB243" s="1" t="s">
        <v>121</v>
      </c>
      <c r="EC243" s="1" t="s">
        <v>121</v>
      </c>
      <c r="ED243" s="1" t="s">
        <v>121</v>
      </c>
      <c r="EE243" s="1" t="s">
        <v>121</v>
      </c>
      <c r="EF243" s="1" t="s">
        <v>121</v>
      </c>
      <c r="EG243" s="1" t="s">
        <v>121</v>
      </c>
      <c r="EH243" s="1" t="s">
        <v>121</v>
      </c>
      <c r="EI243" s="1" t="s">
        <v>121</v>
      </c>
      <c r="EJ243" s="1" t="s">
        <v>121</v>
      </c>
      <c r="EK243" s="1" t="s">
        <v>121</v>
      </c>
      <c r="EL243" s="1" t="s">
        <v>121</v>
      </c>
      <c r="EM243" s="1" t="s">
        <v>121</v>
      </c>
      <c r="EN243" s="1" t="s">
        <v>121</v>
      </c>
      <c r="EO243" s="1" t="s">
        <v>121</v>
      </c>
      <c r="EP243" s="1" t="s">
        <v>121</v>
      </c>
      <c r="EQ243" s="1" t="s">
        <v>121</v>
      </c>
      <c r="ER243" s="1" t="s">
        <v>121</v>
      </c>
      <c r="ES243" s="1" t="s">
        <v>121</v>
      </c>
      <c r="ET243" s="1" t="s">
        <v>121</v>
      </c>
      <c r="EU243" s="1" t="s">
        <v>121</v>
      </c>
      <c r="EV243" s="1" t="s">
        <v>121</v>
      </c>
      <c r="EW243" s="1" t="s">
        <v>121</v>
      </c>
      <c r="EX243" s="1" t="s">
        <v>121</v>
      </c>
    </row>
    <row r="244" spans="1:154" x14ac:dyDescent="0.25">
      <c r="A244" s="72">
        <v>244</v>
      </c>
      <c r="B244" s="74" t="s">
        <v>465</v>
      </c>
      <c r="C244" s="91" t="s">
        <v>121</v>
      </c>
      <c r="D244" s="86" t="s">
        <v>121</v>
      </c>
      <c r="E244" s="92"/>
      <c r="F244" s="77" t="s">
        <v>121</v>
      </c>
      <c r="G244" s="77" t="s">
        <v>121</v>
      </c>
      <c r="H244" s="77" t="s">
        <v>121</v>
      </c>
      <c r="I244" s="77" t="s">
        <v>121</v>
      </c>
      <c r="J244" s="77" t="s">
        <v>121</v>
      </c>
      <c r="K244" s="77" t="s">
        <v>121</v>
      </c>
      <c r="L244" s="77" t="s">
        <v>121</v>
      </c>
      <c r="M244" s="77" t="s">
        <v>121</v>
      </c>
      <c r="N244" s="77" t="s">
        <v>121</v>
      </c>
      <c r="O244" s="77" t="s">
        <v>121</v>
      </c>
      <c r="P244" s="77" t="s">
        <v>121</v>
      </c>
      <c r="Q244" s="405"/>
      <c r="R244" s="405"/>
      <c r="S244" s="405"/>
      <c r="T244" s="405"/>
      <c r="U244" s="77" t="s">
        <v>121</v>
      </c>
      <c r="V244" s="77" t="s">
        <v>121</v>
      </c>
      <c r="W244" s="77" t="s">
        <v>121</v>
      </c>
      <c r="X244" s="77" t="s">
        <v>121</v>
      </c>
      <c r="Y244" s="77" t="s">
        <v>121</v>
      </c>
      <c r="Z244" s="77">
        <v>0.20699999999999999</v>
      </c>
      <c r="AA244" s="77">
        <v>0.13800000000000001</v>
      </c>
      <c r="AB244" s="77">
        <v>2.5999999999999999E-2</v>
      </c>
      <c r="AC244" s="77">
        <v>2.4710000000000001</v>
      </c>
      <c r="AD244" s="77">
        <v>1.917</v>
      </c>
      <c r="AE244" s="77">
        <v>1.159</v>
      </c>
      <c r="AF244" s="77">
        <v>0.50600000000000001</v>
      </c>
      <c r="AG244" s="77">
        <v>2.911</v>
      </c>
      <c r="AH244" s="77">
        <v>2.2440000000000002</v>
      </c>
      <c r="AI244" s="77">
        <v>1.4279999999999999</v>
      </c>
      <c r="AJ244" s="77">
        <v>0.747</v>
      </c>
      <c r="AK244" s="77">
        <v>4.0810000000000004</v>
      </c>
      <c r="AL244" s="77">
        <v>3.09</v>
      </c>
      <c r="AM244" s="77">
        <v>1.8080000000000001</v>
      </c>
      <c r="AN244" s="77">
        <v>0.77400000000000002</v>
      </c>
      <c r="AO244" s="77">
        <v>4.226</v>
      </c>
      <c r="AP244" s="77">
        <v>3.2130000000000001</v>
      </c>
      <c r="AQ244" s="77">
        <v>2.056</v>
      </c>
      <c r="AR244" s="77">
        <v>0.98099999999999998</v>
      </c>
      <c r="AS244" s="77">
        <v>36.945999999999998</v>
      </c>
      <c r="AT244" s="77">
        <v>35.692999999999998</v>
      </c>
      <c r="AU244" s="77">
        <v>34.436</v>
      </c>
      <c r="AV244" s="77">
        <v>24.347000000000001</v>
      </c>
      <c r="AW244" s="77">
        <v>121.15900000000001</v>
      </c>
      <c r="AX244" s="77">
        <v>84.438999999999993</v>
      </c>
      <c r="AY244" s="77">
        <v>53.482999999999997</v>
      </c>
      <c r="AZ244" s="55">
        <v>50.631</v>
      </c>
      <c r="BA244" s="55">
        <v>10.326000000000001</v>
      </c>
      <c r="BB244" s="55">
        <v>8.5329999999999995</v>
      </c>
      <c r="BC244" s="55">
        <v>5.976</v>
      </c>
      <c r="BD244" s="55">
        <v>3.5960000000000001</v>
      </c>
      <c r="BE244" s="55">
        <v>13.225</v>
      </c>
      <c r="BF244" s="55">
        <v>9.8059999999999992</v>
      </c>
      <c r="BG244" s="55">
        <v>5.8070000000000004</v>
      </c>
      <c r="BH244" s="55">
        <v>2.456</v>
      </c>
      <c r="BI244" s="55">
        <v>30.140999999999998</v>
      </c>
      <c r="BJ244" s="55">
        <v>23.137</v>
      </c>
      <c r="BK244" s="55">
        <v>13.965</v>
      </c>
      <c r="BL244" s="55">
        <v>4.8570000000000002</v>
      </c>
      <c r="BM244" s="1">
        <v>22.704000000000001</v>
      </c>
      <c r="BN244" s="1">
        <v>16.044</v>
      </c>
      <c r="BO244" s="1">
        <v>9.6790000000000003</v>
      </c>
      <c r="BP244" s="1">
        <v>4.1710000000000003</v>
      </c>
      <c r="BQ244" s="1" t="s">
        <v>121</v>
      </c>
      <c r="BR244" s="1" t="s">
        <v>121</v>
      </c>
      <c r="BS244" s="1" t="s">
        <v>121</v>
      </c>
      <c r="BT244" s="1" t="s">
        <v>121</v>
      </c>
      <c r="BU244" s="1" t="s">
        <v>121</v>
      </c>
      <c r="BV244" s="1" t="s">
        <v>121</v>
      </c>
      <c r="BW244" s="1" t="s">
        <v>121</v>
      </c>
      <c r="BX244" s="1" t="s">
        <v>121</v>
      </c>
      <c r="BY244" s="1" t="s">
        <v>121</v>
      </c>
      <c r="BZ244" s="1" t="s">
        <v>121</v>
      </c>
      <c r="CA244" s="1" t="s">
        <v>121</v>
      </c>
      <c r="CB244" s="1" t="s">
        <v>121</v>
      </c>
      <c r="CC244" s="1" t="s">
        <v>121</v>
      </c>
      <c r="CD244" s="1" t="s">
        <v>121</v>
      </c>
      <c r="CE244" s="1" t="s">
        <v>121</v>
      </c>
      <c r="CF244" s="1" t="s">
        <v>121</v>
      </c>
      <c r="CG244" s="1" t="s">
        <v>121</v>
      </c>
      <c r="CH244" s="1" t="s">
        <v>121</v>
      </c>
      <c r="CI244" s="1" t="s">
        <v>121</v>
      </c>
      <c r="CJ244" s="1" t="s">
        <v>121</v>
      </c>
      <c r="CK244" s="1" t="s">
        <v>121</v>
      </c>
      <c r="CL244" s="1" t="s">
        <v>121</v>
      </c>
      <c r="CM244" s="1" t="s">
        <v>121</v>
      </c>
      <c r="CN244" s="1" t="s">
        <v>121</v>
      </c>
      <c r="CO244" s="1" t="s">
        <v>121</v>
      </c>
      <c r="CP244" s="1" t="s">
        <v>121</v>
      </c>
      <c r="CQ244" s="1" t="s">
        <v>121</v>
      </c>
      <c r="CR244" s="1" t="s">
        <v>121</v>
      </c>
      <c r="CS244" s="1" t="s">
        <v>121</v>
      </c>
      <c r="CT244" s="1" t="s">
        <v>121</v>
      </c>
      <c r="CU244" s="1" t="s">
        <v>121</v>
      </c>
      <c r="CV244" s="1" t="s">
        <v>121</v>
      </c>
      <c r="CW244" s="1" t="s">
        <v>121</v>
      </c>
      <c r="CX244" s="1" t="s">
        <v>121</v>
      </c>
      <c r="CY244" s="1" t="s">
        <v>121</v>
      </c>
      <c r="CZ244" s="1" t="s">
        <v>121</v>
      </c>
      <c r="DA244" s="1" t="s">
        <v>121</v>
      </c>
      <c r="DB244" s="1" t="s">
        <v>121</v>
      </c>
      <c r="DC244" s="1" t="s">
        <v>121</v>
      </c>
      <c r="DD244" s="1" t="s">
        <v>121</v>
      </c>
      <c r="DE244" s="1" t="s">
        <v>121</v>
      </c>
      <c r="DF244" s="1" t="s">
        <v>121</v>
      </c>
      <c r="DG244" s="1" t="s">
        <v>121</v>
      </c>
      <c r="DH244" s="1" t="s">
        <v>121</v>
      </c>
      <c r="DI244" s="1" t="s">
        <v>121</v>
      </c>
      <c r="DJ244" s="1" t="s">
        <v>121</v>
      </c>
      <c r="DK244" s="1" t="s">
        <v>121</v>
      </c>
      <c r="DL244" s="1" t="s">
        <v>121</v>
      </c>
      <c r="DM244" s="1" t="s">
        <v>121</v>
      </c>
      <c r="DN244" s="1" t="s">
        <v>121</v>
      </c>
      <c r="DO244" s="1" t="s">
        <v>121</v>
      </c>
      <c r="DP244" s="1" t="s">
        <v>121</v>
      </c>
      <c r="DQ244" s="1" t="s">
        <v>121</v>
      </c>
      <c r="DR244" s="1" t="s">
        <v>121</v>
      </c>
      <c r="DS244" s="1" t="s">
        <v>121</v>
      </c>
      <c r="DT244" s="1" t="s">
        <v>121</v>
      </c>
      <c r="DU244" s="1" t="s">
        <v>121</v>
      </c>
      <c r="DV244" s="1" t="s">
        <v>121</v>
      </c>
      <c r="DW244" s="1" t="s">
        <v>121</v>
      </c>
      <c r="DX244" s="1" t="s">
        <v>121</v>
      </c>
      <c r="DY244" s="1" t="s">
        <v>121</v>
      </c>
      <c r="DZ244" s="1" t="s">
        <v>121</v>
      </c>
      <c r="EA244" s="1" t="s">
        <v>121</v>
      </c>
      <c r="EB244" s="1" t="s">
        <v>121</v>
      </c>
      <c r="EC244" s="1" t="s">
        <v>121</v>
      </c>
      <c r="ED244" s="1" t="s">
        <v>121</v>
      </c>
      <c r="EE244" s="1" t="s">
        <v>121</v>
      </c>
      <c r="EF244" s="1" t="s">
        <v>121</v>
      </c>
      <c r="EG244" s="1" t="s">
        <v>121</v>
      </c>
      <c r="EH244" s="1" t="s">
        <v>121</v>
      </c>
      <c r="EI244" s="1" t="s">
        <v>121</v>
      </c>
      <c r="EJ244" s="1" t="s">
        <v>121</v>
      </c>
      <c r="EK244" s="1" t="s">
        <v>121</v>
      </c>
      <c r="EL244" s="1" t="s">
        <v>121</v>
      </c>
      <c r="EM244" s="1" t="s">
        <v>121</v>
      </c>
      <c r="EN244" s="1" t="s">
        <v>121</v>
      </c>
      <c r="EO244" s="1" t="s">
        <v>121</v>
      </c>
      <c r="EP244" s="1" t="s">
        <v>121</v>
      </c>
      <c r="EQ244" s="1" t="s">
        <v>121</v>
      </c>
      <c r="ER244" s="1" t="s">
        <v>121</v>
      </c>
      <c r="ES244" s="1" t="s">
        <v>121</v>
      </c>
      <c r="ET244" s="1" t="s">
        <v>121</v>
      </c>
      <c r="EU244" s="1" t="s">
        <v>121</v>
      </c>
      <c r="EV244" s="1" t="s">
        <v>121</v>
      </c>
      <c r="EW244" s="1" t="s">
        <v>121</v>
      </c>
      <c r="EX244" s="1" t="s">
        <v>121</v>
      </c>
    </row>
    <row r="245" spans="1:154" x14ac:dyDescent="0.25">
      <c r="A245" s="72">
        <v>245</v>
      </c>
      <c r="B245" s="74" t="s">
        <v>7</v>
      </c>
      <c r="C245" s="91" t="s">
        <v>121</v>
      </c>
      <c r="D245" s="86" t="s">
        <v>121</v>
      </c>
      <c r="E245" s="92">
        <f ca="1">OFFSET($E$7,$A245-$A$7,1,1,1)/OFFSET($E$7,$A245-$A$7,5,1,1)-1</f>
        <v>-0.13840830449826991</v>
      </c>
      <c r="F245" s="313">
        <v>249</v>
      </c>
      <c r="G245" s="313">
        <v>150</v>
      </c>
      <c r="H245" s="77">
        <v>98</v>
      </c>
      <c r="I245" s="313">
        <v>349</v>
      </c>
      <c r="J245" s="313">
        <v>289</v>
      </c>
      <c r="K245" s="313">
        <v>209</v>
      </c>
      <c r="L245" s="77">
        <v>102</v>
      </c>
      <c r="M245" s="313">
        <v>220</v>
      </c>
      <c r="N245" s="313">
        <v>160</v>
      </c>
      <c r="O245" s="313">
        <v>108</v>
      </c>
      <c r="P245" s="77">
        <v>56</v>
      </c>
      <c r="Q245" s="405"/>
      <c r="R245" s="405"/>
      <c r="S245" s="405"/>
      <c r="T245" s="405"/>
      <c r="U245" s="77">
        <v>192</v>
      </c>
      <c r="V245" s="77">
        <v>140</v>
      </c>
      <c r="W245" s="77">
        <v>107</v>
      </c>
      <c r="X245" s="77">
        <v>57</v>
      </c>
      <c r="Y245" s="77">
        <v>233</v>
      </c>
      <c r="Z245" s="77">
        <v>123.976</v>
      </c>
      <c r="AA245" s="77">
        <v>80.384</v>
      </c>
      <c r="AB245" s="77">
        <v>42.344000000000001</v>
      </c>
      <c r="AC245" s="77">
        <v>152.68600000000001</v>
      </c>
      <c r="AD245" s="77">
        <v>105.56911597999999</v>
      </c>
      <c r="AE245" s="77">
        <v>66.822568930000017</v>
      </c>
      <c r="AF245" s="77">
        <v>22.830237950000026</v>
      </c>
      <c r="AG245" s="77">
        <v>93.036000000000001</v>
      </c>
      <c r="AH245" s="77">
        <v>71.903499510000003</v>
      </c>
      <c r="AI245" s="77">
        <v>45.677236630000003</v>
      </c>
      <c r="AJ245" s="77">
        <v>22.46139076</v>
      </c>
      <c r="AK245" s="77">
        <v>105.687</v>
      </c>
      <c r="AL245" s="77">
        <v>72.643000000000001</v>
      </c>
      <c r="AM245" s="77">
        <v>41.238</v>
      </c>
      <c r="AN245" s="77">
        <v>18.021999999999998</v>
      </c>
      <c r="AO245" s="77">
        <v>91.519000000000005</v>
      </c>
      <c r="AP245" s="77">
        <v>72.117999999999995</v>
      </c>
      <c r="AQ245" s="77">
        <v>53.162999999999997</v>
      </c>
      <c r="AR245" s="77">
        <v>25.398</v>
      </c>
      <c r="AS245" s="77">
        <v>63.142000000000003</v>
      </c>
      <c r="AT245" s="77">
        <v>42.936999999999998</v>
      </c>
      <c r="AU245" s="77">
        <v>25.460999999999999</v>
      </c>
      <c r="AV245" s="77">
        <v>12.76</v>
      </c>
      <c r="AW245" s="77">
        <v>73.39</v>
      </c>
      <c r="AX245" s="77">
        <v>46.402999999999999</v>
      </c>
      <c r="AY245" s="77">
        <v>21.562000000000001</v>
      </c>
      <c r="AZ245" s="55">
        <v>13.010999999999999</v>
      </c>
      <c r="BA245" s="55">
        <v>29.628</v>
      </c>
      <c r="BB245" s="55">
        <v>16.100000000000001</v>
      </c>
      <c r="BC245" s="55">
        <v>9.4770000000000003</v>
      </c>
      <c r="BD245" s="55">
        <v>4.68</v>
      </c>
      <c r="BE245" s="55">
        <v>14.198</v>
      </c>
      <c r="BF245" s="55">
        <v>8.3000000000000007</v>
      </c>
      <c r="BG245" s="55">
        <v>2.5129999999999999</v>
      </c>
      <c r="BH245" s="55">
        <v>0.77200000000000002</v>
      </c>
      <c r="BI245" s="55">
        <v>8.827</v>
      </c>
      <c r="BJ245" s="55">
        <v>6.1619999999999999</v>
      </c>
      <c r="BK245" s="55">
        <v>3.472</v>
      </c>
      <c r="BL245" s="55">
        <v>0.91</v>
      </c>
      <c r="BM245" s="1">
        <v>7.8449999999999998</v>
      </c>
      <c r="BN245" s="1">
        <v>7.0490000000000004</v>
      </c>
      <c r="BO245" s="1">
        <v>4.7939999999999996</v>
      </c>
      <c r="BP245" s="1">
        <v>20.113</v>
      </c>
      <c r="BQ245" s="1" t="s">
        <v>121</v>
      </c>
      <c r="BR245" s="1" t="s">
        <v>121</v>
      </c>
      <c r="BS245" s="1" t="s">
        <v>121</v>
      </c>
      <c r="BT245" s="1" t="s">
        <v>121</v>
      </c>
      <c r="BU245" s="1" t="s">
        <v>121</v>
      </c>
      <c r="BV245" s="1" t="s">
        <v>121</v>
      </c>
      <c r="BW245" s="1" t="s">
        <v>121</v>
      </c>
      <c r="BX245" s="1" t="s">
        <v>121</v>
      </c>
      <c r="BY245" s="1" t="s">
        <v>121</v>
      </c>
      <c r="BZ245" s="1" t="s">
        <v>121</v>
      </c>
      <c r="CA245" s="1" t="s">
        <v>121</v>
      </c>
      <c r="CB245" s="1" t="s">
        <v>121</v>
      </c>
      <c r="CC245" s="1" t="s">
        <v>121</v>
      </c>
      <c r="CD245" s="1" t="s">
        <v>121</v>
      </c>
      <c r="CE245" s="1" t="s">
        <v>121</v>
      </c>
      <c r="CF245" s="1" t="s">
        <v>121</v>
      </c>
      <c r="CG245" s="1" t="s">
        <v>121</v>
      </c>
      <c r="CH245" s="1" t="s">
        <v>121</v>
      </c>
      <c r="CI245" s="1" t="s">
        <v>121</v>
      </c>
      <c r="CJ245" s="1" t="s">
        <v>121</v>
      </c>
      <c r="CK245" s="1" t="s">
        <v>121</v>
      </c>
      <c r="CL245" s="1" t="s">
        <v>121</v>
      </c>
      <c r="CM245" s="1" t="s">
        <v>121</v>
      </c>
      <c r="CN245" s="1" t="s">
        <v>121</v>
      </c>
      <c r="CO245" s="1" t="s">
        <v>121</v>
      </c>
      <c r="CP245" s="1" t="s">
        <v>121</v>
      </c>
      <c r="CQ245" s="1" t="s">
        <v>121</v>
      </c>
      <c r="CR245" s="1" t="s">
        <v>121</v>
      </c>
      <c r="CS245" s="1" t="s">
        <v>121</v>
      </c>
      <c r="CT245" s="1" t="s">
        <v>121</v>
      </c>
      <c r="CU245" s="1" t="s">
        <v>121</v>
      </c>
      <c r="CV245" s="1" t="s">
        <v>121</v>
      </c>
      <c r="CW245" s="1" t="s">
        <v>121</v>
      </c>
      <c r="CX245" s="1" t="s">
        <v>121</v>
      </c>
      <c r="CY245" s="1" t="s">
        <v>121</v>
      </c>
      <c r="CZ245" s="1" t="s">
        <v>121</v>
      </c>
      <c r="DA245" s="1" t="s">
        <v>121</v>
      </c>
      <c r="DB245" s="1" t="s">
        <v>121</v>
      </c>
      <c r="DC245" s="1" t="s">
        <v>121</v>
      </c>
      <c r="DD245" s="1" t="s">
        <v>121</v>
      </c>
      <c r="DE245" s="1" t="s">
        <v>121</v>
      </c>
      <c r="DF245" s="1" t="s">
        <v>121</v>
      </c>
      <c r="DG245" s="1" t="s">
        <v>121</v>
      </c>
      <c r="DH245" s="1" t="s">
        <v>121</v>
      </c>
      <c r="DI245" s="1" t="s">
        <v>121</v>
      </c>
      <c r="DJ245" s="1" t="s">
        <v>121</v>
      </c>
      <c r="DK245" s="1" t="s">
        <v>121</v>
      </c>
      <c r="DL245" s="1" t="s">
        <v>121</v>
      </c>
      <c r="DM245" s="1" t="s">
        <v>121</v>
      </c>
      <c r="DN245" s="1" t="s">
        <v>121</v>
      </c>
      <c r="DO245" s="1" t="s">
        <v>121</v>
      </c>
      <c r="DP245" s="1" t="s">
        <v>121</v>
      </c>
      <c r="DQ245" s="1" t="s">
        <v>121</v>
      </c>
      <c r="DR245" s="1" t="s">
        <v>121</v>
      </c>
      <c r="DS245" s="1" t="s">
        <v>121</v>
      </c>
      <c r="DT245" s="1" t="s">
        <v>121</v>
      </c>
      <c r="DU245" s="1" t="s">
        <v>121</v>
      </c>
      <c r="DV245" s="1" t="s">
        <v>121</v>
      </c>
      <c r="DW245" s="1" t="s">
        <v>121</v>
      </c>
      <c r="DX245" s="1" t="s">
        <v>121</v>
      </c>
      <c r="DY245" s="1" t="s">
        <v>121</v>
      </c>
      <c r="DZ245" s="1" t="s">
        <v>121</v>
      </c>
      <c r="EA245" s="1" t="s">
        <v>121</v>
      </c>
      <c r="EB245" s="1" t="s">
        <v>121</v>
      </c>
      <c r="EC245" s="1" t="s">
        <v>121</v>
      </c>
      <c r="ED245" s="1" t="s">
        <v>121</v>
      </c>
      <c r="EE245" s="1" t="s">
        <v>121</v>
      </c>
      <c r="EF245" s="1" t="s">
        <v>121</v>
      </c>
      <c r="EG245" s="1" t="s">
        <v>121</v>
      </c>
      <c r="EH245" s="1" t="s">
        <v>121</v>
      </c>
      <c r="EI245" s="1" t="s">
        <v>121</v>
      </c>
      <c r="EJ245" s="1" t="s">
        <v>121</v>
      </c>
      <c r="EK245" s="1" t="s">
        <v>121</v>
      </c>
      <c r="EL245" s="1" t="s">
        <v>121</v>
      </c>
      <c r="EM245" s="1" t="s">
        <v>121</v>
      </c>
      <c r="EN245" s="1" t="s">
        <v>121</v>
      </c>
      <c r="EO245" s="1" t="s">
        <v>121</v>
      </c>
      <c r="EP245" s="1" t="s">
        <v>121</v>
      </c>
      <c r="EQ245" s="1" t="s">
        <v>121</v>
      </c>
      <c r="ER245" s="1" t="s">
        <v>121</v>
      </c>
      <c r="ES245" s="1" t="s">
        <v>121</v>
      </c>
      <c r="ET245" s="1" t="s">
        <v>121</v>
      </c>
      <c r="EU245" s="1" t="s">
        <v>121</v>
      </c>
      <c r="EV245" s="1" t="s">
        <v>121</v>
      </c>
      <c r="EW245" s="1" t="s">
        <v>121</v>
      </c>
      <c r="EX245" s="1" t="s">
        <v>121</v>
      </c>
    </row>
    <row r="246" spans="1:154" s="75" customFormat="1" ht="18.75" customHeight="1" x14ac:dyDescent="0.25">
      <c r="A246" s="72">
        <v>246</v>
      </c>
      <c r="B246" s="73" t="s">
        <v>466</v>
      </c>
      <c r="C246" s="91" t="s">
        <v>121</v>
      </c>
      <c r="D246" s="86" t="s">
        <v>121</v>
      </c>
      <c r="E246" s="94">
        <f ca="1">OFFSET($E$7,$A246-$A$7,1,1,1)/OFFSET($E$7,$A246-$A$7,5,1,1)-1</f>
        <v>7.2992700729928028E-3</v>
      </c>
      <c r="F246" s="124">
        <v>10764</v>
      </c>
      <c r="G246" s="124">
        <v>7049</v>
      </c>
      <c r="H246" s="124">
        <v>3434</v>
      </c>
      <c r="I246" s="124">
        <v>14405</v>
      </c>
      <c r="J246" s="124">
        <v>10686</v>
      </c>
      <c r="K246" s="124">
        <v>6829</v>
      </c>
      <c r="L246" s="124">
        <v>3347</v>
      </c>
      <c r="M246" s="124">
        <v>15285</v>
      </c>
      <c r="N246" s="124">
        <v>11440</v>
      </c>
      <c r="O246" s="124">
        <v>7750</v>
      </c>
      <c r="P246" s="124">
        <v>4193</v>
      </c>
      <c r="Q246" s="405"/>
      <c r="R246" s="405"/>
      <c r="S246" s="405"/>
      <c r="T246" s="405"/>
      <c r="U246" s="124">
        <v>11432</v>
      </c>
      <c r="V246" s="124">
        <v>8237</v>
      </c>
      <c r="W246" s="124">
        <v>5397</v>
      </c>
      <c r="X246" s="124">
        <v>2466</v>
      </c>
      <c r="Y246" s="124">
        <v>9527</v>
      </c>
      <c r="Z246" s="124">
        <v>6647.8880000000017</v>
      </c>
      <c r="AA246" s="124">
        <v>4223.1419999999998</v>
      </c>
      <c r="AB246" s="124">
        <v>2159.5120000000002</v>
      </c>
      <c r="AC246" s="124">
        <v>8977.886999999997</v>
      </c>
      <c r="AD246" s="124">
        <v>6389.5190000000002</v>
      </c>
      <c r="AE246" s="124">
        <v>4081.8490000000002</v>
      </c>
      <c r="AF246" s="124">
        <v>1810.5390000000004</v>
      </c>
      <c r="AG246" s="124">
        <v>7325.6369999999988</v>
      </c>
      <c r="AH246" s="124">
        <v>5270.7489999999989</v>
      </c>
      <c r="AI246" s="124">
        <v>3407.5639999999999</v>
      </c>
      <c r="AJ246" s="124">
        <v>1692.2310000000002</v>
      </c>
      <c r="AK246" s="124">
        <v>6607.0789999999997</v>
      </c>
      <c r="AL246" s="124">
        <v>4775.6149999999998</v>
      </c>
      <c r="AM246" s="124">
        <v>3105.2329999999997</v>
      </c>
      <c r="AN246" s="124">
        <v>1493.3259999999998</v>
      </c>
      <c r="AO246" s="124">
        <v>5830.4570000000012</v>
      </c>
      <c r="AP246" s="124">
        <v>4251.7849999999999</v>
      </c>
      <c r="AQ246" s="124">
        <v>2768.6260000000002</v>
      </c>
      <c r="AR246" s="124">
        <v>1345.8079999999998</v>
      </c>
      <c r="AS246" s="124">
        <v>4772.3379999999997</v>
      </c>
      <c r="AT246" s="124">
        <v>3434.0539999999996</v>
      </c>
      <c r="AU246" s="124">
        <v>2191.1929999999998</v>
      </c>
      <c r="AV246" s="124">
        <v>1012.235</v>
      </c>
      <c r="AW246" s="124">
        <v>4420.5869999999995</v>
      </c>
      <c r="AX246" s="124">
        <v>3108.0249999999996</v>
      </c>
      <c r="AY246" s="124">
        <v>1981.4909999999998</v>
      </c>
      <c r="AZ246" s="124">
        <v>928.71599999999989</v>
      </c>
      <c r="BA246" s="124">
        <v>3172.4560000000001</v>
      </c>
      <c r="BB246" s="124">
        <v>2238.8519999999999</v>
      </c>
      <c r="BC246" s="124">
        <v>1433.2230000000002</v>
      </c>
      <c r="BD246" s="124">
        <v>683.4559999999999</v>
      </c>
      <c r="BE246" s="124">
        <v>2753.2039999999993</v>
      </c>
      <c r="BF246" s="124">
        <v>1931.1310000000001</v>
      </c>
      <c r="BG246" s="124">
        <v>1225.68</v>
      </c>
      <c r="BH246" s="124">
        <v>559.28600000000006</v>
      </c>
      <c r="BI246" s="124">
        <v>2432.0220000000004</v>
      </c>
      <c r="BJ246" s="124">
        <v>1705.0710000000001</v>
      </c>
      <c r="BK246" s="124">
        <v>1098.4929999999999</v>
      </c>
      <c r="BL246" s="124">
        <v>498.67500000000001</v>
      </c>
      <c r="BM246" s="75">
        <v>2007.1849999999997</v>
      </c>
      <c r="BN246" s="75">
        <v>1373.0049999999999</v>
      </c>
      <c r="BO246" s="75">
        <v>903.2299999999999</v>
      </c>
      <c r="BP246" s="75">
        <v>416.36199999999997</v>
      </c>
      <c r="BQ246" s="75" t="s">
        <v>121</v>
      </c>
      <c r="BR246" s="75" t="s">
        <v>121</v>
      </c>
      <c r="BS246" s="75" t="s">
        <v>121</v>
      </c>
      <c r="BT246" s="75" t="s">
        <v>121</v>
      </c>
      <c r="BU246" s="75" t="s">
        <v>121</v>
      </c>
      <c r="BV246" s="75" t="s">
        <v>121</v>
      </c>
      <c r="BW246" s="75" t="s">
        <v>121</v>
      </c>
      <c r="BX246" s="75" t="s">
        <v>121</v>
      </c>
      <c r="BY246" s="75" t="s">
        <v>121</v>
      </c>
      <c r="BZ246" s="75" t="s">
        <v>121</v>
      </c>
      <c r="CA246" s="75" t="s">
        <v>121</v>
      </c>
      <c r="CB246" s="75" t="s">
        <v>121</v>
      </c>
      <c r="CC246" s="75" t="s">
        <v>121</v>
      </c>
      <c r="CD246" s="75" t="s">
        <v>121</v>
      </c>
      <c r="CE246" s="75" t="s">
        <v>121</v>
      </c>
      <c r="CF246" s="75" t="s">
        <v>121</v>
      </c>
      <c r="CG246" s="75" t="s">
        <v>121</v>
      </c>
      <c r="CH246" s="75" t="s">
        <v>121</v>
      </c>
      <c r="CI246" s="75" t="s">
        <v>121</v>
      </c>
      <c r="CJ246" s="75" t="s">
        <v>121</v>
      </c>
      <c r="CK246" s="75" t="s">
        <v>121</v>
      </c>
      <c r="CL246" s="75" t="s">
        <v>121</v>
      </c>
      <c r="CM246" s="75" t="s">
        <v>121</v>
      </c>
      <c r="CN246" s="75" t="s">
        <v>121</v>
      </c>
      <c r="CO246" s="75" t="s">
        <v>121</v>
      </c>
      <c r="CP246" s="75" t="s">
        <v>121</v>
      </c>
      <c r="CQ246" s="75" t="s">
        <v>121</v>
      </c>
      <c r="CR246" s="75" t="s">
        <v>121</v>
      </c>
      <c r="CS246" s="75" t="s">
        <v>121</v>
      </c>
      <c r="CT246" s="75" t="s">
        <v>121</v>
      </c>
      <c r="CU246" s="75" t="s">
        <v>121</v>
      </c>
      <c r="CV246" s="75" t="s">
        <v>121</v>
      </c>
      <c r="CW246" s="75" t="s">
        <v>121</v>
      </c>
      <c r="CX246" s="75" t="s">
        <v>121</v>
      </c>
      <c r="CY246" s="75" t="s">
        <v>121</v>
      </c>
      <c r="CZ246" s="75" t="s">
        <v>121</v>
      </c>
      <c r="DA246" s="75" t="s">
        <v>121</v>
      </c>
      <c r="DB246" s="75" t="s">
        <v>121</v>
      </c>
      <c r="DC246" s="75" t="s">
        <v>121</v>
      </c>
      <c r="DD246" s="75" t="s">
        <v>121</v>
      </c>
      <c r="DE246" s="75" t="s">
        <v>121</v>
      </c>
      <c r="DF246" s="75" t="s">
        <v>121</v>
      </c>
      <c r="DG246" s="75" t="s">
        <v>121</v>
      </c>
      <c r="DH246" s="75" t="s">
        <v>121</v>
      </c>
      <c r="DI246" s="75" t="s">
        <v>121</v>
      </c>
      <c r="DJ246" s="75" t="s">
        <v>121</v>
      </c>
      <c r="DK246" s="75" t="s">
        <v>121</v>
      </c>
      <c r="DL246" s="75" t="s">
        <v>121</v>
      </c>
      <c r="DM246" s="75" t="s">
        <v>121</v>
      </c>
      <c r="DN246" s="75" t="s">
        <v>121</v>
      </c>
      <c r="DO246" s="75" t="s">
        <v>121</v>
      </c>
      <c r="DP246" s="75" t="s">
        <v>121</v>
      </c>
      <c r="DQ246" s="75" t="s">
        <v>121</v>
      </c>
      <c r="DR246" s="75" t="s">
        <v>121</v>
      </c>
      <c r="DS246" s="75" t="s">
        <v>121</v>
      </c>
      <c r="DT246" s="75" t="s">
        <v>121</v>
      </c>
      <c r="DU246" s="75" t="s">
        <v>121</v>
      </c>
      <c r="DV246" s="75" t="s">
        <v>121</v>
      </c>
      <c r="DW246" s="75" t="s">
        <v>121</v>
      </c>
      <c r="DX246" s="75" t="s">
        <v>121</v>
      </c>
      <c r="DY246" s="75" t="s">
        <v>121</v>
      </c>
      <c r="DZ246" s="75" t="s">
        <v>121</v>
      </c>
      <c r="EA246" s="75" t="s">
        <v>121</v>
      </c>
      <c r="EB246" s="75" t="s">
        <v>121</v>
      </c>
      <c r="EC246" s="75" t="s">
        <v>121</v>
      </c>
      <c r="ED246" s="75" t="s">
        <v>121</v>
      </c>
      <c r="EE246" s="75" t="s">
        <v>121</v>
      </c>
      <c r="EF246" s="75" t="s">
        <v>121</v>
      </c>
      <c r="EG246" s="75" t="s">
        <v>121</v>
      </c>
      <c r="EH246" s="75" t="s">
        <v>121</v>
      </c>
      <c r="EI246" s="75" t="s">
        <v>121</v>
      </c>
      <c r="EJ246" s="75" t="s">
        <v>121</v>
      </c>
      <c r="EK246" s="75" t="s">
        <v>121</v>
      </c>
      <c r="EL246" s="75" t="s">
        <v>121</v>
      </c>
      <c r="EM246" s="75" t="s">
        <v>121</v>
      </c>
      <c r="EN246" s="75" t="s">
        <v>121</v>
      </c>
      <c r="EO246" s="75" t="s">
        <v>121</v>
      </c>
      <c r="EP246" s="75" t="s">
        <v>121</v>
      </c>
      <c r="EQ246" s="75" t="s">
        <v>121</v>
      </c>
      <c r="ER246" s="75" t="s">
        <v>121</v>
      </c>
      <c r="ES246" s="75" t="s">
        <v>121</v>
      </c>
      <c r="ET246" s="75" t="s">
        <v>121</v>
      </c>
      <c r="EU246" s="75" t="s">
        <v>121</v>
      </c>
      <c r="EV246" s="75" t="s">
        <v>121</v>
      </c>
      <c r="EW246" s="75" t="s">
        <v>121</v>
      </c>
      <c r="EX246" s="75" t="s">
        <v>121</v>
      </c>
    </row>
    <row r="247" spans="1:154" ht="18.75" customHeight="1" x14ac:dyDescent="0.25">
      <c r="A247" s="72">
        <v>247</v>
      </c>
      <c r="B247" s="73" t="s">
        <v>417</v>
      </c>
      <c r="C247" s="91" t="s">
        <v>121</v>
      </c>
      <c r="D247" s="86" t="s">
        <v>121</v>
      </c>
      <c r="E247" s="92"/>
      <c r="F247" s="145" t="s">
        <v>121</v>
      </c>
      <c r="G247" s="145" t="s">
        <v>121</v>
      </c>
      <c r="H247" s="145" t="s">
        <v>121</v>
      </c>
      <c r="I247" s="145" t="s">
        <v>121</v>
      </c>
      <c r="J247" s="145" t="s">
        <v>121</v>
      </c>
      <c r="K247" s="145" t="s">
        <v>121</v>
      </c>
      <c r="L247" s="145" t="s">
        <v>121</v>
      </c>
      <c r="M247" s="145" t="s">
        <v>121</v>
      </c>
      <c r="N247" s="145" t="s">
        <v>121</v>
      </c>
      <c r="O247" s="145" t="s">
        <v>121</v>
      </c>
      <c r="P247" s="145" t="s">
        <v>121</v>
      </c>
      <c r="Q247" s="405"/>
      <c r="R247" s="405"/>
      <c r="S247" s="405"/>
      <c r="T247" s="405"/>
      <c r="U247" s="86" t="s">
        <v>121</v>
      </c>
      <c r="V247" s="86" t="s">
        <v>121</v>
      </c>
      <c r="W247" s="86" t="s">
        <v>121</v>
      </c>
      <c r="X247" s="254" t="s">
        <v>121</v>
      </c>
      <c r="Y247" s="254" t="s">
        <v>121</v>
      </c>
      <c r="Z247" s="254" t="s">
        <v>121</v>
      </c>
      <c r="AA247" s="254" t="s">
        <v>121</v>
      </c>
      <c r="AB247" s="254" t="s">
        <v>121</v>
      </c>
      <c r="AC247" s="152" t="s">
        <v>121</v>
      </c>
      <c r="AD247" s="152" t="s">
        <v>121</v>
      </c>
      <c r="AE247" s="152" t="s">
        <v>121</v>
      </c>
      <c r="AF247" s="253" t="s">
        <v>121</v>
      </c>
      <c r="AG247" s="152" t="s">
        <v>121</v>
      </c>
      <c r="AH247" s="152" t="s">
        <v>121</v>
      </c>
      <c r="AI247" s="152" t="s">
        <v>121</v>
      </c>
      <c r="AJ247" s="152" t="s">
        <v>121</v>
      </c>
      <c r="AK247" s="152" t="s">
        <v>121</v>
      </c>
      <c r="AL247" s="152" t="s">
        <v>121</v>
      </c>
      <c r="AM247" s="152" t="s">
        <v>121</v>
      </c>
      <c r="AN247" s="152" t="s">
        <v>121</v>
      </c>
      <c r="AO247" s="152" t="s">
        <v>121</v>
      </c>
      <c r="AP247" s="152" t="s">
        <v>121</v>
      </c>
      <c r="AQ247" s="152" t="s">
        <v>121</v>
      </c>
      <c r="AR247" s="152" t="s">
        <v>121</v>
      </c>
      <c r="AS247" s="152" t="s">
        <v>121</v>
      </c>
      <c r="AT247" s="158" t="s">
        <v>121</v>
      </c>
      <c r="AU247" s="144" t="s">
        <v>121</v>
      </c>
      <c r="AV247" s="86" t="s">
        <v>121</v>
      </c>
      <c r="AW247" s="154" t="s">
        <v>121</v>
      </c>
      <c r="AX247" s="86" t="s">
        <v>121</v>
      </c>
      <c r="AY247" s="77" t="s">
        <v>121</v>
      </c>
      <c r="AZ247" s="55" t="s">
        <v>121</v>
      </c>
      <c r="BA247" s="55" t="s">
        <v>121</v>
      </c>
      <c r="BB247" s="55" t="s">
        <v>121</v>
      </c>
      <c r="BC247" s="55" t="s">
        <v>121</v>
      </c>
      <c r="BD247" s="55" t="s">
        <v>121</v>
      </c>
      <c r="BE247" s="55" t="s">
        <v>121</v>
      </c>
      <c r="BF247" s="55" t="s">
        <v>121</v>
      </c>
      <c r="BG247" s="55" t="s">
        <v>121</v>
      </c>
      <c r="BH247" s="55" t="s">
        <v>121</v>
      </c>
      <c r="BI247" s="55" t="s">
        <v>121</v>
      </c>
      <c r="BJ247" s="55" t="s">
        <v>121</v>
      </c>
      <c r="BK247" s="55" t="s">
        <v>121</v>
      </c>
      <c r="BL247" s="55" t="s">
        <v>121</v>
      </c>
      <c r="BM247" s="1" t="s">
        <v>121</v>
      </c>
      <c r="BN247" s="1" t="s">
        <v>121</v>
      </c>
      <c r="BO247" s="1" t="s">
        <v>121</v>
      </c>
      <c r="BP247" s="1" t="s">
        <v>121</v>
      </c>
      <c r="BQ247" s="1" t="s">
        <v>121</v>
      </c>
      <c r="BR247" s="1" t="s">
        <v>121</v>
      </c>
      <c r="BS247" s="1" t="s">
        <v>121</v>
      </c>
      <c r="BT247" s="1" t="s">
        <v>121</v>
      </c>
      <c r="BU247" s="1" t="s">
        <v>121</v>
      </c>
      <c r="BV247" s="1" t="s">
        <v>121</v>
      </c>
      <c r="BW247" s="1" t="s">
        <v>121</v>
      </c>
      <c r="BX247" s="1" t="s">
        <v>121</v>
      </c>
      <c r="BY247" s="1" t="s">
        <v>121</v>
      </c>
      <c r="BZ247" s="1" t="s">
        <v>121</v>
      </c>
      <c r="CA247" s="1" t="s">
        <v>121</v>
      </c>
      <c r="CB247" s="1" t="s">
        <v>121</v>
      </c>
      <c r="CC247" s="1" t="s">
        <v>121</v>
      </c>
      <c r="CD247" s="1" t="s">
        <v>121</v>
      </c>
      <c r="CE247" s="1" t="s">
        <v>121</v>
      </c>
      <c r="CF247" s="1" t="s">
        <v>121</v>
      </c>
      <c r="CG247" s="1" t="s">
        <v>121</v>
      </c>
      <c r="CH247" s="1" t="s">
        <v>121</v>
      </c>
      <c r="CI247" s="1" t="s">
        <v>121</v>
      </c>
      <c r="CJ247" s="1" t="s">
        <v>121</v>
      </c>
      <c r="CK247" s="1" t="s">
        <v>121</v>
      </c>
      <c r="CL247" s="1" t="s">
        <v>121</v>
      </c>
      <c r="CM247" s="1" t="s">
        <v>121</v>
      </c>
      <c r="CN247" s="1" t="s">
        <v>121</v>
      </c>
      <c r="CO247" s="1" t="s">
        <v>121</v>
      </c>
      <c r="CP247" s="1" t="s">
        <v>121</v>
      </c>
      <c r="CQ247" s="1" t="s">
        <v>121</v>
      </c>
      <c r="CR247" s="1" t="s">
        <v>121</v>
      </c>
      <c r="CS247" s="1" t="s">
        <v>121</v>
      </c>
      <c r="CT247" s="1" t="s">
        <v>121</v>
      </c>
      <c r="CU247" s="1" t="s">
        <v>121</v>
      </c>
      <c r="CV247" s="1" t="s">
        <v>121</v>
      </c>
      <c r="CW247" s="1" t="s">
        <v>121</v>
      </c>
      <c r="CX247" s="1" t="s">
        <v>121</v>
      </c>
      <c r="CY247" s="1" t="s">
        <v>121</v>
      </c>
      <c r="CZ247" s="1" t="s">
        <v>121</v>
      </c>
      <c r="DA247" s="1" t="s">
        <v>121</v>
      </c>
      <c r="DB247" s="1" t="s">
        <v>121</v>
      </c>
      <c r="DC247" s="1" t="s">
        <v>121</v>
      </c>
      <c r="DD247" s="1" t="s">
        <v>121</v>
      </c>
      <c r="DE247" s="1" t="s">
        <v>121</v>
      </c>
      <c r="DF247" s="1" t="s">
        <v>121</v>
      </c>
      <c r="DG247" s="1" t="s">
        <v>121</v>
      </c>
      <c r="DH247" s="1" t="s">
        <v>121</v>
      </c>
      <c r="DI247" s="1" t="s">
        <v>121</v>
      </c>
      <c r="DJ247" s="1" t="s">
        <v>121</v>
      </c>
      <c r="DK247" s="1" t="s">
        <v>121</v>
      </c>
      <c r="DL247" s="1" t="s">
        <v>121</v>
      </c>
      <c r="DM247" s="1" t="s">
        <v>121</v>
      </c>
      <c r="DN247" s="1" t="s">
        <v>121</v>
      </c>
      <c r="DO247" s="1" t="s">
        <v>121</v>
      </c>
      <c r="DP247" s="1" t="s">
        <v>121</v>
      </c>
      <c r="DQ247" s="1" t="s">
        <v>121</v>
      </c>
      <c r="DR247" s="1" t="s">
        <v>121</v>
      </c>
      <c r="DS247" s="1" t="s">
        <v>121</v>
      </c>
      <c r="DT247" s="1" t="s">
        <v>121</v>
      </c>
      <c r="DU247" s="1" t="s">
        <v>121</v>
      </c>
      <c r="DV247" s="1" t="s">
        <v>121</v>
      </c>
      <c r="DW247" s="1" t="s">
        <v>121</v>
      </c>
      <c r="DX247" s="1" t="s">
        <v>121</v>
      </c>
      <c r="DY247" s="1" t="s">
        <v>121</v>
      </c>
      <c r="DZ247" s="1" t="s">
        <v>121</v>
      </c>
      <c r="EA247" s="1" t="s">
        <v>121</v>
      </c>
      <c r="EB247" s="1" t="s">
        <v>121</v>
      </c>
      <c r="EC247" s="1" t="s">
        <v>121</v>
      </c>
      <c r="ED247" s="1" t="s">
        <v>121</v>
      </c>
      <c r="EE247" s="1" t="s">
        <v>121</v>
      </c>
      <c r="EF247" s="1" t="s">
        <v>121</v>
      </c>
      <c r="EG247" s="1" t="s">
        <v>121</v>
      </c>
      <c r="EH247" s="1" t="s">
        <v>121</v>
      </c>
      <c r="EI247" s="1" t="s">
        <v>121</v>
      </c>
      <c r="EJ247" s="1" t="s">
        <v>121</v>
      </c>
      <c r="EK247" s="1" t="s">
        <v>121</v>
      </c>
      <c r="EL247" s="1" t="s">
        <v>121</v>
      </c>
      <c r="EM247" s="1" t="s">
        <v>121</v>
      </c>
      <c r="EN247" s="1" t="s">
        <v>121</v>
      </c>
      <c r="EO247" s="1" t="s">
        <v>121</v>
      </c>
      <c r="EP247" s="1" t="s">
        <v>121</v>
      </c>
      <c r="EQ247" s="1" t="s">
        <v>121</v>
      </c>
      <c r="ER247" s="1" t="s">
        <v>121</v>
      </c>
      <c r="ES247" s="1" t="s">
        <v>121</v>
      </c>
      <c r="ET247" s="1" t="s">
        <v>121</v>
      </c>
      <c r="EU247" s="1" t="s">
        <v>121</v>
      </c>
      <c r="EV247" s="1" t="s">
        <v>121</v>
      </c>
      <c r="EW247" s="1" t="s">
        <v>121</v>
      </c>
      <c r="EX247" s="1" t="s">
        <v>121</v>
      </c>
    </row>
    <row r="248" spans="1:154" x14ac:dyDescent="0.25">
      <c r="A248" s="72">
        <v>248</v>
      </c>
      <c r="B248" s="74" t="s">
        <v>458</v>
      </c>
      <c r="C248" s="91" t="s">
        <v>121</v>
      </c>
      <c r="D248" s="86" t="s">
        <v>121</v>
      </c>
      <c r="E248" s="92">
        <f t="shared" ref="E248:E257" ca="1" si="20">OFFSET($E$7,$A248-$A$7,1,1,1)/OFFSET($E$7,$A248-$A$7,5,1,1)-1</f>
        <v>-6.7748764996471422E-2</v>
      </c>
      <c r="F248" s="77">
        <v>1321</v>
      </c>
      <c r="G248" s="77">
        <v>835</v>
      </c>
      <c r="H248" s="77">
        <v>394</v>
      </c>
      <c r="I248" s="77">
        <v>1824</v>
      </c>
      <c r="J248" s="77">
        <v>1417</v>
      </c>
      <c r="K248" s="77">
        <v>936</v>
      </c>
      <c r="L248" s="77">
        <v>454</v>
      </c>
      <c r="M248" s="77">
        <v>1861</v>
      </c>
      <c r="N248" s="77">
        <v>1381</v>
      </c>
      <c r="O248" s="77">
        <v>881</v>
      </c>
      <c r="P248" s="77">
        <v>419</v>
      </c>
      <c r="Q248" s="405"/>
      <c r="R248" s="405"/>
      <c r="S248" s="405"/>
      <c r="T248" s="405"/>
      <c r="U248" s="77">
        <v>1476</v>
      </c>
      <c r="V248" s="77">
        <v>1114</v>
      </c>
      <c r="W248" s="77">
        <v>726</v>
      </c>
      <c r="X248" s="77">
        <v>353</v>
      </c>
      <c r="Y248" s="77">
        <v>1214</v>
      </c>
      <c r="Z248" s="77">
        <v>871.43299999999999</v>
      </c>
      <c r="AA248" s="77">
        <v>548.09799999999996</v>
      </c>
      <c r="AB248" s="77">
        <v>310.59399999999999</v>
      </c>
      <c r="AC248" s="77">
        <v>1046.886</v>
      </c>
      <c r="AD248" s="77">
        <v>756.524</v>
      </c>
      <c r="AE248" s="77">
        <v>485.22</v>
      </c>
      <c r="AF248" s="77">
        <v>235.02</v>
      </c>
      <c r="AG248" s="77">
        <v>966.82299999999998</v>
      </c>
      <c r="AH248" s="77">
        <v>707.57500000000005</v>
      </c>
      <c r="AI248" s="77">
        <v>449.44299999999998</v>
      </c>
      <c r="AJ248" s="77">
        <v>207.37</v>
      </c>
      <c r="AK248" s="77">
        <v>784.61800000000005</v>
      </c>
      <c r="AL248" s="77">
        <v>561.024</v>
      </c>
      <c r="AM248" s="77">
        <v>355.55599999999998</v>
      </c>
      <c r="AN248" s="77">
        <v>166.166</v>
      </c>
      <c r="AO248" s="77">
        <v>600.13400000000001</v>
      </c>
      <c r="AP248" s="77">
        <v>426.72</v>
      </c>
      <c r="AQ248" s="77">
        <v>262.37400000000002</v>
      </c>
      <c r="AR248" s="77">
        <v>123.489</v>
      </c>
      <c r="AS248" s="77">
        <v>449.24700000000001</v>
      </c>
      <c r="AT248" s="77">
        <v>335.22399999999999</v>
      </c>
      <c r="AU248" s="77">
        <v>211.976</v>
      </c>
      <c r="AV248" s="77">
        <v>111.2</v>
      </c>
      <c r="AW248" s="77">
        <v>403.07</v>
      </c>
      <c r="AX248" s="77">
        <v>275.89699999999999</v>
      </c>
      <c r="AY248" s="77">
        <v>179.00899999999999</v>
      </c>
      <c r="AZ248" s="55">
        <v>83.668000000000006</v>
      </c>
      <c r="BA248" s="55">
        <v>267.85500000000002</v>
      </c>
      <c r="BB248" s="55">
        <v>197.90100000000001</v>
      </c>
      <c r="BC248" s="55">
        <v>106.758</v>
      </c>
      <c r="BD248" s="55">
        <v>50.573</v>
      </c>
      <c r="BE248" s="55">
        <v>181.68899999999999</v>
      </c>
      <c r="BF248" s="55">
        <v>129.893</v>
      </c>
      <c r="BG248" s="55">
        <v>86.54</v>
      </c>
      <c r="BH248" s="55">
        <v>41.122999999999998</v>
      </c>
      <c r="BI248" s="55">
        <v>165.31800000000001</v>
      </c>
      <c r="BJ248" s="55">
        <v>113.49299999999999</v>
      </c>
      <c r="BK248" s="55">
        <v>68.850999999999999</v>
      </c>
      <c r="BL248" s="55">
        <v>29.166</v>
      </c>
      <c r="BM248" s="1">
        <v>94.459000000000003</v>
      </c>
      <c r="BN248" s="1">
        <v>64.665999999999997</v>
      </c>
      <c r="BO248" s="1">
        <v>40.445999999999998</v>
      </c>
      <c r="BP248" s="1">
        <v>19.613</v>
      </c>
      <c r="BQ248" s="1" t="s">
        <v>121</v>
      </c>
      <c r="BR248" s="1" t="s">
        <v>121</v>
      </c>
      <c r="BS248" s="1" t="s">
        <v>121</v>
      </c>
      <c r="BT248" s="1" t="s">
        <v>121</v>
      </c>
      <c r="BU248" s="1" t="s">
        <v>121</v>
      </c>
      <c r="BV248" s="1" t="s">
        <v>121</v>
      </c>
      <c r="BW248" s="1" t="s">
        <v>121</v>
      </c>
      <c r="BX248" s="1" t="s">
        <v>121</v>
      </c>
      <c r="BY248" s="1" t="s">
        <v>121</v>
      </c>
      <c r="BZ248" s="1" t="s">
        <v>121</v>
      </c>
      <c r="CA248" s="1" t="s">
        <v>121</v>
      </c>
      <c r="CB248" s="1" t="s">
        <v>121</v>
      </c>
      <c r="CC248" s="1" t="s">
        <v>121</v>
      </c>
      <c r="CD248" s="1" t="s">
        <v>121</v>
      </c>
      <c r="CE248" s="1" t="s">
        <v>121</v>
      </c>
      <c r="CF248" s="1" t="s">
        <v>121</v>
      </c>
      <c r="CG248" s="1" t="s">
        <v>121</v>
      </c>
      <c r="CH248" s="1" t="s">
        <v>121</v>
      </c>
      <c r="CI248" s="1" t="s">
        <v>121</v>
      </c>
      <c r="CJ248" s="1" t="s">
        <v>121</v>
      </c>
      <c r="CK248" s="1" t="s">
        <v>121</v>
      </c>
      <c r="CL248" s="1" t="s">
        <v>121</v>
      </c>
      <c r="CM248" s="1" t="s">
        <v>121</v>
      </c>
      <c r="CN248" s="1" t="s">
        <v>121</v>
      </c>
      <c r="CO248" s="1" t="s">
        <v>121</v>
      </c>
      <c r="CP248" s="1" t="s">
        <v>121</v>
      </c>
      <c r="CQ248" s="1" t="s">
        <v>121</v>
      </c>
      <c r="CR248" s="1" t="s">
        <v>121</v>
      </c>
      <c r="CS248" s="1" t="s">
        <v>121</v>
      </c>
      <c r="CT248" s="1" t="s">
        <v>121</v>
      </c>
      <c r="CU248" s="1" t="s">
        <v>121</v>
      </c>
      <c r="CV248" s="1" t="s">
        <v>121</v>
      </c>
      <c r="CW248" s="1" t="s">
        <v>121</v>
      </c>
      <c r="CX248" s="1" t="s">
        <v>121</v>
      </c>
      <c r="CY248" s="1" t="s">
        <v>121</v>
      </c>
      <c r="CZ248" s="1" t="s">
        <v>121</v>
      </c>
      <c r="DA248" s="1" t="s">
        <v>121</v>
      </c>
      <c r="DB248" s="1" t="s">
        <v>121</v>
      </c>
      <c r="DC248" s="1" t="s">
        <v>121</v>
      </c>
      <c r="DD248" s="1" t="s">
        <v>121</v>
      </c>
      <c r="DE248" s="1" t="s">
        <v>121</v>
      </c>
      <c r="DF248" s="1" t="s">
        <v>121</v>
      </c>
      <c r="DG248" s="1" t="s">
        <v>121</v>
      </c>
      <c r="DH248" s="1" t="s">
        <v>121</v>
      </c>
      <c r="DI248" s="1" t="s">
        <v>121</v>
      </c>
      <c r="DJ248" s="1" t="s">
        <v>121</v>
      </c>
      <c r="DK248" s="1" t="s">
        <v>121</v>
      </c>
      <c r="DL248" s="1" t="s">
        <v>121</v>
      </c>
      <c r="DM248" s="1" t="s">
        <v>121</v>
      </c>
      <c r="DN248" s="1" t="s">
        <v>121</v>
      </c>
      <c r="DO248" s="1" t="s">
        <v>121</v>
      </c>
      <c r="DP248" s="1" t="s">
        <v>121</v>
      </c>
      <c r="DQ248" s="1" t="s">
        <v>121</v>
      </c>
      <c r="DR248" s="1" t="s">
        <v>121</v>
      </c>
      <c r="DS248" s="1" t="s">
        <v>121</v>
      </c>
      <c r="DT248" s="1" t="s">
        <v>121</v>
      </c>
      <c r="DU248" s="1" t="s">
        <v>121</v>
      </c>
      <c r="DV248" s="1" t="s">
        <v>121</v>
      </c>
      <c r="DW248" s="1" t="s">
        <v>121</v>
      </c>
      <c r="DX248" s="1" t="s">
        <v>121</v>
      </c>
      <c r="DY248" s="1" t="s">
        <v>121</v>
      </c>
      <c r="DZ248" s="1" t="s">
        <v>121</v>
      </c>
      <c r="EA248" s="1" t="s">
        <v>121</v>
      </c>
      <c r="EB248" s="1" t="s">
        <v>121</v>
      </c>
      <c r="EC248" s="1" t="s">
        <v>121</v>
      </c>
      <c r="ED248" s="1" t="s">
        <v>121</v>
      </c>
      <c r="EE248" s="1" t="s">
        <v>121</v>
      </c>
      <c r="EF248" s="1" t="s">
        <v>121</v>
      </c>
      <c r="EG248" s="1" t="s">
        <v>121</v>
      </c>
      <c r="EH248" s="1" t="s">
        <v>121</v>
      </c>
      <c r="EI248" s="1" t="s">
        <v>121</v>
      </c>
      <c r="EJ248" s="1" t="s">
        <v>121</v>
      </c>
      <c r="EK248" s="1" t="s">
        <v>121</v>
      </c>
      <c r="EL248" s="1" t="s">
        <v>121</v>
      </c>
      <c r="EM248" s="1" t="s">
        <v>121</v>
      </c>
      <c r="EN248" s="1" t="s">
        <v>121</v>
      </c>
      <c r="EO248" s="1" t="s">
        <v>121</v>
      </c>
      <c r="EP248" s="1" t="s">
        <v>121</v>
      </c>
      <c r="EQ248" s="1" t="s">
        <v>121</v>
      </c>
      <c r="ER248" s="1" t="s">
        <v>121</v>
      </c>
      <c r="ES248" s="1" t="s">
        <v>121</v>
      </c>
      <c r="ET248" s="1" t="s">
        <v>121</v>
      </c>
      <c r="EU248" s="1" t="s">
        <v>121</v>
      </c>
      <c r="EV248" s="1" t="s">
        <v>121</v>
      </c>
      <c r="EW248" s="1" t="s">
        <v>121</v>
      </c>
      <c r="EX248" s="1" t="s">
        <v>121</v>
      </c>
    </row>
    <row r="249" spans="1:154" x14ac:dyDescent="0.25">
      <c r="A249" s="72">
        <v>249</v>
      </c>
      <c r="B249" s="74" t="s">
        <v>467</v>
      </c>
      <c r="C249" s="91" t="s">
        <v>121</v>
      </c>
      <c r="D249" s="86" t="s">
        <v>121</v>
      </c>
      <c r="E249" s="92">
        <f t="shared" ca="1" si="20"/>
        <v>0.95454545454545459</v>
      </c>
      <c r="F249" s="77">
        <v>473</v>
      </c>
      <c r="G249" s="77">
        <v>307</v>
      </c>
      <c r="H249" s="77">
        <v>145</v>
      </c>
      <c r="I249" s="77">
        <v>285</v>
      </c>
      <c r="J249" s="77">
        <v>242</v>
      </c>
      <c r="K249" s="77">
        <v>175</v>
      </c>
      <c r="L249" s="77">
        <v>111</v>
      </c>
      <c r="M249" s="77">
        <v>390</v>
      </c>
      <c r="N249" s="77">
        <v>260</v>
      </c>
      <c r="O249" s="77">
        <v>166</v>
      </c>
      <c r="P249" s="77">
        <v>72</v>
      </c>
      <c r="Q249" s="405"/>
      <c r="R249" s="405"/>
      <c r="S249" s="405"/>
      <c r="T249" s="405"/>
      <c r="U249" s="77">
        <v>301</v>
      </c>
      <c r="V249" s="77">
        <v>267</v>
      </c>
      <c r="W249" s="77">
        <v>159</v>
      </c>
      <c r="X249" s="77">
        <v>69</v>
      </c>
      <c r="Y249" s="77">
        <v>177</v>
      </c>
      <c r="Z249" s="77">
        <v>116.88900000000001</v>
      </c>
      <c r="AA249" s="77">
        <v>73.164999999999992</v>
      </c>
      <c r="AB249" s="77">
        <v>28.153000000000006</v>
      </c>
      <c r="AC249" s="77">
        <v>546.91300000000001</v>
      </c>
      <c r="AD249" s="77">
        <v>391.27699999999999</v>
      </c>
      <c r="AE249" s="77">
        <v>275.11099999999999</v>
      </c>
      <c r="AF249" s="77">
        <v>156.33099999999999</v>
      </c>
      <c r="AG249" s="77">
        <v>610.12199999999996</v>
      </c>
      <c r="AH249" s="77">
        <v>457.5915</v>
      </c>
      <c r="AI249" s="77">
        <v>305.06099999999998</v>
      </c>
      <c r="AJ249" s="77">
        <v>152.53049999999999</v>
      </c>
      <c r="AK249" s="77" t="s">
        <v>121</v>
      </c>
      <c r="AL249" s="77" t="s">
        <v>121</v>
      </c>
      <c r="AM249" s="77" t="s">
        <v>121</v>
      </c>
      <c r="AN249" s="77" t="s">
        <v>121</v>
      </c>
      <c r="AO249" s="77" t="s">
        <v>121</v>
      </c>
      <c r="AP249" s="77" t="s">
        <v>121</v>
      </c>
      <c r="AQ249" s="77" t="s">
        <v>121</v>
      </c>
      <c r="AR249" s="77" t="s">
        <v>121</v>
      </c>
      <c r="AS249" s="77" t="s">
        <v>121</v>
      </c>
      <c r="AT249" s="77" t="s">
        <v>121</v>
      </c>
      <c r="AU249" s="77" t="s">
        <v>121</v>
      </c>
      <c r="AV249" s="77" t="s">
        <v>121</v>
      </c>
      <c r="AW249" s="77" t="s">
        <v>121</v>
      </c>
      <c r="AX249" s="77" t="s">
        <v>121</v>
      </c>
      <c r="AY249" s="77" t="s">
        <v>121</v>
      </c>
      <c r="AZ249" s="55" t="s">
        <v>121</v>
      </c>
      <c r="BA249" s="55" t="s">
        <v>121</v>
      </c>
      <c r="BB249" s="55" t="s">
        <v>121</v>
      </c>
      <c r="BC249" s="55" t="s">
        <v>121</v>
      </c>
      <c r="BD249" s="55" t="s">
        <v>121</v>
      </c>
      <c r="BE249" s="55" t="s">
        <v>121</v>
      </c>
      <c r="BF249" s="55" t="s">
        <v>121</v>
      </c>
      <c r="BG249" s="55" t="s">
        <v>121</v>
      </c>
      <c r="BH249" s="55" t="s">
        <v>121</v>
      </c>
      <c r="BI249" s="55" t="s">
        <v>121</v>
      </c>
      <c r="BJ249" s="55" t="s">
        <v>121</v>
      </c>
      <c r="BK249" s="55" t="s">
        <v>121</v>
      </c>
      <c r="BL249" s="55" t="s">
        <v>121</v>
      </c>
      <c r="BM249" s="1" t="s">
        <v>121</v>
      </c>
      <c r="BN249" s="1" t="s">
        <v>121</v>
      </c>
      <c r="BO249" s="1" t="s">
        <v>121</v>
      </c>
      <c r="BP249" s="1" t="s">
        <v>121</v>
      </c>
      <c r="BQ249" s="1" t="s">
        <v>121</v>
      </c>
      <c r="BR249" s="1" t="s">
        <v>121</v>
      </c>
      <c r="BS249" s="1" t="s">
        <v>121</v>
      </c>
      <c r="BT249" s="1" t="s">
        <v>121</v>
      </c>
      <c r="BU249" s="1" t="s">
        <v>121</v>
      </c>
      <c r="BV249" s="1" t="s">
        <v>121</v>
      </c>
      <c r="BW249" s="1" t="s">
        <v>121</v>
      </c>
      <c r="BX249" s="1" t="s">
        <v>121</v>
      </c>
      <c r="BY249" s="1" t="s">
        <v>121</v>
      </c>
      <c r="BZ249" s="1" t="s">
        <v>121</v>
      </c>
      <c r="CA249" s="1" t="s">
        <v>121</v>
      </c>
      <c r="CB249" s="1" t="s">
        <v>121</v>
      </c>
      <c r="CC249" s="1" t="s">
        <v>121</v>
      </c>
      <c r="CD249" s="1" t="s">
        <v>121</v>
      </c>
      <c r="CE249" s="1" t="s">
        <v>121</v>
      </c>
      <c r="CF249" s="1" t="s">
        <v>121</v>
      </c>
      <c r="CG249" s="1" t="s">
        <v>121</v>
      </c>
      <c r="CH249" s="1" t="s">
        <v>121</v>
      </c>
      <c r="CI249" s="1" t="s">
        <v>121</v>
      </c>
      <c r="CJ249" s="1" t="s">
        <v>121</v>
      </c>
      <c r="CK249" s="1" t="s">
        <v>121</v>
      </c>
      <c r="CL249" s="1" t="s">
        <v>121</v>
      </c>
      <c r="CM249" s="1" t="s">
        <v>121</v>
      </c>
      <c r="CN249" s="1" t="s">
        <v>121</v>
      </c>
      <c r="CO249" s="1" t="s">
        <v>121</v>
      </c>
      <c r="CP249" s="1" t="s">
        <v>121</v>
      </c>
      <c r="CQ249" s="1" t="s">
        <v>121</v>
      </c>
      <c r="CR249" s="1" t="s">
        <v>121</v>
      </c>
      <c r="CS249" s="1" t="s">
        <v>121</v>
      </c>
      <c r="CT249" s="1" t="s">
        <v>121</v>
      </c>
      <c r="CU249" s="1" t="s">
        <v>121</v>
      </c>
      <c r="CV249" s="1" t="s">
        <v>121</v>
      </c>
      <c r="CW249" s="1" t="s">
        <v>121</v>
      </c>
      <c r="CX249" s="1" t="s">
        <v>121</v>
      </c>
      <c r="CY249" s="1" t="s">
        <v>121</v>
      </c>
      <c r="CZ249" s="1" t="s">
        <v>121</v>
      </c>
      <c r="DA249" s="1" t="s">
        <v>121</v>
      </c>
      <c r="DB249" s="1" t="s">
        <v>121</v>
      </c>
      <c r="DC249" s="1" t="s">
        <v>121</v>
      </c>
      <c r="DD249" s="1" t="s">
        <v>121</v>
      </c>
      <c r="DE249" s="1" t="s">
        <v>121</v>
      </c>
      <c r="DF249" s="1" t="s">
        <v>121</v>
      </c>
      <c r="DG249" s="1" t="s">
        <v>121</v>
      </c>
      <c r="DH249" s="1" t="s">
        <v>121</v>
      </c>
      <c r="DI249" s="1" t="s">
        <v>121</v>
      </c>
      <c r="DJ249" s="1" t="s">
        <v>121</v>
      </c>
      <c r="DK249" s="1" t="s">
        <v>121</v>
      </c>
      <c r="DL249" s="1" t="s">
        <v>121</v>
      </c>
      <c r="DM249" s="1" t="s">
        <v>121</v>
      </c>
      <c r="DN249" s="1" t="s">
        <v>121</v>
      </c>
      <c r="DO249" s="1" t="s">
        <v>121</v>
      </c>
      <c r="DP249" s="1" t="s">
        <v>121</v>
      </c>
      <c r="DQ249" s="1" t="s">
        <v>121</v>
      </c>
      <c r="DR249" s="1" t="s">
        <v>121</v>
      </c>
      <c r="DS249" s="1" t="s">
        <v>121</v>
      </c>
      <c r="DT249" s="1" t="s">
        <v>121</v>
      </c>
      <c r="DU249" s="1" t="s">
        <v>121</v>
      </c>
      <c r="DV249" s="1" t="s">
        <v>121</v>
      </c>
      <c r="DW249" s="1" t="s">
        <v>121</v>
      </c>
      <c r="DX249" s="1" t="s">
        <v>121</v>
      </c>
      <c r="DY249" s="1" t="s">
        <v>121</v>
      </c>
      <c r="DZ249" s="1" t="s">
        <v>121</v>
      </c>
      <c r="EA249" s="1" t="s">
        <v>121</v>
      </c>
      <c r="EB249" s="1" t="s">
        <v>121</v>
      </c>
      <c r="EC249" s="1" t="s">
        <v>121</v>
      </c>
      <c r="ED249" s="1" t="s">
        <v>121</v>
      </c>
      <c r="EE249" s="1" t="s">
        <v>121</v>
      </c>
      <c r="EF249" s="1" t="s">
        <v>121</v>
      </c>
      <c r="EG249" s="1" t="s">
        <v>121</v>
      </c>
      <c r="EH249" s="1" t="s">
        <v>121</v>
      </c>
      <c r="EI249" s="1" t="s">
        <v>121</v>
      </c>
      <c r="EJ249" s="1" t="s">
        <v>121</v>
      </c>
      <c r="EK249" s="1" t="s">
        <v>121</v>
      </c>
      <c r="EL249" s="1" t="s">
        <v>121</v>
      </c>
      <c r="EM249" s="1" t="s">
        <v>121</v>
      </c>
      <c r="EN249" s="1" t="s">
        <v>121</v>
      </c>
      <c r="EO249" s="1" t="s">
        <v>121</v>
      </c>
      <c r="EP249" s="1" t="s">
        <v>121</v>
      </c>
      <c r="EQ249" s="1" t="s">
        <v>121</v>
      </c>
      <c r="ER249" s="1" t="s">
        <v>121</v>
      </c>
      <c r="ES249" s="1" t="s">
        <v>121</v>
      </c>
      <c r="ET249" s="1" t="s">
        <v>121</v>
      </c>
      <c r="EU249" s="1" t="s">
        <v>121</v>
      </c>
      <c r="EV249" s="1" t="s">
        <v>121</v>
      </c>
      <c r="EW249" s="1" t="s">
        <v>121</v>
      </c>
      <c r="EX249" s="1" t="s">
        <v>121</v>
      </c>
    </row>
    <row r="250" spans="1:154" x14ac:dyDescent="0.25">
      <c r="A250" s="72">
        <v>250</v>
      </c>
      <c r="B250" s="74" t="s">
        <v>457</v>
      </c>
      <c r="C250" s="91" t="s">
        <v>121</v>
      </c>
      <c r="D250" s="86" t="s">
        <v>121</v>
      </c>
      <c r="E250" s="92">
        <f t="shared" ca="1" si="20"/>
        <v>-0.12195121951219512</v>
      </c>
      <c r="F250" s="77">
        <v>108</v>
      </c>
      <c r="G250" s="77">
        <v>70</v>
      </c>
      <c r="H250" s="77">
        <v>31</v>
      </c>
      <c r="I250" s="77">
        <v>163</v>
      </c>
      <c r="J250" s="77">
        <v>123</v>
      </c>
      <c r="K250" s="77">
        <v>85</v>
      </c>
      <c r="L250" s="77">
        <v>35</v>
      </c>
      <c r="M250" s="77">
        <v>181</v>
      </c>
      <c r="N250" s="77">
        <v>145</v>
      </c>
      <c r="O250" s="77">
        <v>113</v>
      </c>
      <c r="P250" s="77">
        <v>71</v>
      </c>
      <c r="Q250" s="405"/>
      <c r="R250" s="405"/>
      <c r="S250" s="405"/>
      <c r="T250" s="405"/>
      <c r="U250" s="77">
        <v>198</v>
      </c>
      <c r="V250" s="77">
        <v>140</v>
      </c>
      <c r="W250" s="77">
        <v>87</v>
      </c>
      <c r="X250" s="77">
        <v>36</v>
      </c>
      <c r="Y250" s="77">
        <v>181</v>
      </c>
      <c r="Z250" s="77">
        <v>126.495</v>
      </c>
      <c r="AA250" s="77">
        <v>77.873000000000005</v>
      </c>
      <c r="AB250" s="77">
        <v>35.921999999999997</v>
      </c>
      <c r="AC250" s="77">
        <v>179.417</v>
      </c>
      <c r="AD250" s="77">
        <v>128.05099999999999</v>
      </c>
      <c r="AE250" s="77">
        <v>85.54</v>
      </c>
      <c r="AF250" s="77">
        <v>41.243000000000002</v>
      </c>
      <c r="AG250" s="77">
        <v>164.65199999999999</v>
      </c>
      <c r="AH250" s="77">
        <v>114.444</v>
      </c>
      <c r="AI250" s="77">
        <v>68.884</v>
      </c>
      <c r="AJ250" s="77">
        <v>27.341000000000001</v>
      </c>
      <c r="AK250" s="77">
        <v>157.142</v>
      </c>
      <c r="AL250" s="77">
        <v>113.83</v>
      </c>
      <c r="AM250" s="77">
        <v>71.191000000000003</v>
      </c>
      <c r="AN250" s="77">
        <v>30.768999999999998</v>
      </c>
      <c r="AO250" s="77">
        <v>164.858</v>
      </c>
      <c r="AP250" s="77">
        <v>109.233</v>
      </c>
      <c r="AQ250" s="77">
        <v>67.415000000000006</v>
      </c>
      <c r="AR250" s="77">
        <v>28.64</v>
      </c>
      <c r="AS250" s="77">
        <v>136.47</v>
      </c>
      <c r="AT250" s="77">
        <v>92.828999999999994</v>
      </c>
      <c r="AU250" s="77">
        <v>51.15</v>
      </c>
      <c r="AV250" s="77">
        <v>25.332999999999998</v>
      </c>
      <c r="AW250" s="77">
        <v>112.29300000000001</v>
      </c>
      <c r="AX250" s="77">
        <v>78.183000000000007</v>
      </c>
      <c r="AY250" s="77">
        <v>49.841999999999999</v>
      </c>
      <c r="AZ250" s="55">
        <v>20.593</v>
      </c>
      <c r="BA250" s="55">
        <v>74.77</v>
      </c>
      <c r="BB250" s="55">
        <v>49.04</v>
      </c>
      <c r="BC250" s="55">
        <v>29.623000000000001</v>
      </c>
      <c r="BD250" s="55">
        <v>11.67</v>
      </c>
      <c r="BE250" s="55">
        <v>76.177999999999997</v>
      </c>
      <c r="BF250" s="55">
        <v>54.402999999999999</v>
      </c>
      <c r="BG250" s="55">
        <v>33.408999999999999</v>
      </c>
      <c r="BH250" s="55">
        <v>17.693000000000001</v>
      </c>
      <c r="BI250" s="55">
        <v>80.158000000000001</v>
      </c>
      <c r="BJ250" s="55">
        <v>50.89</v>
      </c>
      <c r="BK250" s="55">
        <v>33.273000000000003</v>
      </c>
      <c r="BL250" s="55">
        <v>17.654</v>
      </c>
      <c r="BM250" s="1">
        <v>56.612000000000002</v>
      </c>
      <c r="BN250" s="1">
        <v>36.622999999999998</v>
      </c>
      <c r="BO250" s="1">
        <v>22.811</v>
      </c>
      <c r="BP250" s="1">
        <v>10.590999999999999</v>
      </c>
      <c r="BQ250" s="1" t="s">
        <v>121</v>
      </c>
      <c r="BR250" s="1" t="s">
        <v>121</v>
      </c>
      <c r="BS250" s="1" t="s">
        <v>121</v>
      </c>
      <c r="BT250" s="1" t="s">
        <v>121</v>
      </c>
      <c r="BU250" s="1" t="s">
        <v>121</v>
      </c>
      <c r="BV250" s="1" t="s">
        <v>121</v>
      </c>
      <c r="BW250" s="1" t="s">
        <v>121</v>
      </c>
      <c r="BX250" s="1" t="s">
        <v>121</v>
      </c>
      <c r="BY250" s="1" t="s">
        <v>121</v>
      </c>
      <c r="BZ250" s="1" t="s">
        <v>121</v>
      </c>
      <c r="CA250" s="1" t="s">
        <v>121</v>
      </c>
      <c r="CB250" s="1" t="s">
        <v>121</v>
      </c>
      <c r="CC250" s="1" t="s">
        <v>121</v>
      </c>
      <c r="CD250" s="1" t="s">
        <v>121</v>
      </c>
      <c r="CE250" s="1" t="s">
        <v>121</v>
      </c>
      <c r="CF250" s="1" t="s">
        <v>121</v>
      </c>
      <c r="CG250" s="1" t="s">
        <v>121</v>
      </c>
      <c r="CH250" s="1" t="s">
        <v>121</v>
      </c>
      <c r="CI250" s="1" t="s">
        <v>121</v>
      </c>
      <c r="CJ250" s="1" t="s">
        <v>121</v>
      </c>
      <c r="CK250" s="1" t="s">
        <v>121</v>
      </c>
      <c r="CL250" s="1" t="s">
        <v>121</v>
      </c>
      <c r="CM250" s="1" t="s">
        <v>121</v>
      </c>
      <c r="CN250" s="1" t="s">
        <v>121</v>
      </c>
      <c r="CO250" s="1" t="s">
        <v>121</v>
      </c>
      <c r="CP250" s="1" t="s">
        <v>121</v>
      </c>
      <c r="CQ250" s="1" t="s">
        <v>121</v>
      </c>
      <c r="CR250" s="1" t="s">
        <v>121</v>
      </c>
      <c r="CS250" s="1" t="s">
        <v>121</v>
      </c>
      <c r="CT250" s="1" t="s">
        <v>121</v>
      </c>
      <c r="CU250" s="1" t="s">
        <v>121</v>
      </c>
      <c r="CV250" s="1" t="s">
        <v>121</v>
      </c>
      <c r="CW250" s="1" t="s">
        <v>121</v>
      </c>
      <c r="CX250" s="1" t="s">
        <v>121</v>
      </c>
      <c r="CY250" s="1" t="s">
        <v>121</v>
      </c>
      <c r="CZ250" s="1" t="s">
        <v>121</v>
      </c>
      <c r="DA250" s="1" t="s">
        <v>121</v>
      </c>
      <c r="DB250" s="1" t="s">
        <v>121</v>
      </c>
      <c r="DC250" s="1" t="s">
        <v>121</v>
      </c>
      <c r="DD250" s="1" t="s">
        <v>121</v>
      </c>
      <c r="DE250" s="1" t="s">
        <v>121</v>
      </c>
      <c r="DF250" s="1" t="s">
        <v>121</v>
      </c>
      <c r="DG250" s="1" t="s">
        <v>121</v>
      </c>
      <c r="DH250" s="1" t="s">
        <v>121</v>
      </c>
      <c r="DI250" s="1" t="s">
        <v>121</v>
      </c>
      <c r="DJ250" s="1" t="s">
        <v>121</v>
      </c>
      <c r="DK250" s="1" t="s">
        <v>121</v>
      </c>
      <c r="DL250" s="1" t="s">
        <v>121</v>
      </c>
      <c r="DM250" s="1" t="s">
        <v>121</v>
      </c>
      <c r="DN250" s="1" t="s">
        <v>121</v>
      </c>
      <c r="DO250" s="1" t="s">
        <v>121</v>
      </c>
      <c r="DP250" s="1" t="s">
        <v>121</v>
      </c>
      <c r="DQ250" s="1" t="s">
        <v>121</v>
      </c>
      <c r="DR250" s="1" t="s">
        <v>121</v>
      </c>
      <c r="DS250" s="1" t="s">
        <v>121</v>
      </c>
      <c r="DT250" s="1" t="s">
        <v>121</v>
      </c>
      <c r="DU250" s="1" t="s">
        <v>121</v>
      </c>
      <c r="DV250" s="1" t="s">
        <v>121</v>
      </c>
      <c r="DW250" s="1" t="s">
        <v>121</v>
      </c>
      <c r="DX250" s="1" t="s">
        <v>121</v>
      </c>
      <c r="DY250" s="1" t="s">
        <v>121</v>
      </c>
      <c r="DZ250" s="1" t="s">
        <v>121</v>
      </c>
      <c r="EA250" s="1" t="s">
        <v>121</v>
      </c>
      <c r="EB250" s="1" t="s">
        <v>121</v>
      </c>
      <c r="EC250" s="1" t="s">
        <v>121</v>
      </c>
      <c r="ED250" s="1" t="s">
        <v>121</v>
      </c>
      <c r="EE250" s="1" t="s">
        <v>121</v>
      </c>
      <c r="EF250" s="1" t="s">
        <v>121</v>
      </c>
      <c r="EG250" s="1" t="s">
        <v>121</v>
      </c>
      <c r="EH250" s="1" t="s">
        <v>121</v>
      </c>
      <c r="EI250" s="1" t="s">
        <v>121</v>
      </c>
      <c r="EJ250" s="1" t="s">
        <v>121</v>
      </c>
      <c r="EK250" s="1" t="s">
        <v>121</v>
      </c>
      <c r="EL250" s="1" t="s">
        <v>121</v>
      </c>
      <c r="EM250" s="1" t="s">
        <v>121</v>
      </c>
      <c r="EN250" s="1" t="s">
        <v>121</v>
      </c>
      <c r="EO250" s="1" t="s">
        <v>121</v>
      </c>
      <c r="EP250" s="1" t="s">
        <v>121</v>
      </c>
      <c r="EQ250" s="1" t="s">
        <v>121</v>
      </c>
      <c r="ER250" s="1" t="s">
        <v>121</v>
      </c>
      <c r="ES250" s="1" t="s">
        <v>121</v>
      </c>
      <c r="ET250" s="1" t="s">
        <v>121</v>
      </c>
      <c r="EU250" s="1" t="s">
        <v>121</v>
      </c>
      <c r="EV250" s="1" t="s">
        <v>121</v>
      </c>
      <c r="EW250" s="1" t="s">
        <v>121</v>
      </c>
      <c r="EX250" s="1" t="s">
        <v>121</v>
      </c>
    </row>
    <row r="251" spans="1:154" x14ac:dyDescent="0.25">
      <c r="A251" s="72">
        <v>251</v>
      </c>
      <c r="B251" s="61" t="s">
        <v>468</v>
      </c>
      <c r="C251" s="91" t="s">
        <v>121</v>
      </c>
      <c r="D251" s="86" t="s">
        <v>121</v>
      </c>
      <c r="E251" s="92">
        <f t="shared" ca="1" si="20"/>
        <v>0.31390134529147984</v>
      </c>
      <c r="F251" s="77">
        <v>293</v>
      </c>
      <c r="G251" s="77">
        <v>173</v>
      </c>
      <c r="H251" s="77">
        <v>73</v>
      </c>
      <c r="I251" s="77">
        <v>349</v>
      </c>
      <c r="J251" s="77">
        <v>223</v>
      </c>
      <c r="K251" s="77">
        <v>138</v>
      </c>
      <c r="L251" s="77">
        <v>52</v>
      </c>
      <c r="M251" s="77">
        <v>214</v>
      </c>
      <c r="N251" s="77">
        <v>125</v>
      </c>
      <c r="O251" s="77">
        <v>67</v>
      </c>
      <c r="P251" s="77">
        <v>28</v>
      </c>
      <c r="Q251" s="405"/>
      <c r="R251" s="405"/>
      <c r="S251" s="405"/>
      <c r="T251" s="405"/>
      <c r="U251" s="77">
        <v>267</v>
      </c>
      <c r="V251" s="77">
        <v>177</v>
      </c>
      <c r="W251" s="77">
        <v>118</v>
      </c>
      <c r="X251" s="77">
        <v>51</v>
      </c>
      <c r="Y251" s="77">
        <v>206</v>
      </c>
      <c r="Z251" s="77">
        <v>146.4</v>
      </c>
      <c r="AA251" s="77">
        <v>88.111999999999995</v>
      </c>
      <c r="AB251" s="77">
        <v>42.243000000000002</v>
      </c>
      <c r="AC251" s="77">
        <v>215.71299999999999</v>
      </c>
      <c r="AD251" s="77">
        <v>152.41</v>
      </c>
      <c r="AE251" s="77">
        <v>105.182</v>
      </c>
      <c r="AF251" s="77">
        <v>55.658999999999999</v>
      </c>
      <c r="AG251" s="77">
        <v>198.35</v>
      </c>
      <c r="AH251" s="77">
        <v>137.78800000000001</v>
      </c>
      <c r="AI251" s="77">
        <v>91.183999999999997</v>
      </c>
      <c r="AJ251" s="77">
        <v>34.182000000000002</v>
      </c>
      <c r="AK251" s="77">
        <v>229.643</v>
      </c>
      <c r="AL251" s="77">
        <v>178.417</v>
      </c>
      <c r="AM251" s="77">
        <v>122.626</v>
      </c>
      <c r="AN251" s="77">
        <v>59.273000000000003</v>
      </c>
      <c r="AO251" s="77">
        <v>195.02799999999999</v>
      </c>
      <c r="AP251" s="77">
        <v>119.904</v>
      </c>
      <c r="AQ251" s="77">
        <v>67.644999999999996</v>
      </c>
      <c r="AR251" s="77">
        <v>28.283000000000001</v>
      </c>
      <c r="AS251" s="77">
        <v>54.097000000000001</v>
      </c>
      <c r="AT251" s="77">
        <v>41.936</v>
      </c>
      <c r="AU251" s="77">
        <v>24.92</v>
      </c>
      <c r="AV251" s="77">
        <v>12.413</v>
      </c>
      <c r="AW251" s="77">
        <v>44.771000000000001</v>
      </c>
      <c r="AX251" s="77">
        <v>31.673999999999999</v>
      </c>
      <c r="AY251" s="77">
        <v>20.895</v>
      </c>
      <c r="AZ251" s="55">
        <v>9.2430000000000003</v>
      </c>
      <c r="BA251" s="55">
        <v>34.378999999999998</v>
      </c>
      <c r="BB251" s="55">
        <v>23.050999999999998</v>
      </c>
      <c r="BC251" s="55">
        <v>13.651999999999999</v>
      </c>
      <c r="BD251" s="55">
        <v>2.452</v>
      </c>
      <c r="BE251" s="55">
        <v>33.463000000000001</v>
      </c>
      <c r="BF251" s="55">
        <v>23.058</v>
      </c>
      <c r="BG251" s="55">
        <v>14.439</v>
      </c>
      <c r="BH251" s="55">
        <v>4.8460000000000001</v>
      </c>
      <c r="BI251" s="55">
        <v>22.309000000000001</v>
      </c>
      <c r="BJ251" s="55">
        <v>13.183</v>
      </c>
      <c r="BK251" s="55">
        <v>8.4149999999999991</v>
      </c>
      <c r="BL251" s="55">
        <v>3.194</v>
      </c>
      <c r="BM251" s="1">
        <v>20.594999999999999</v>
      </c>
      <c r="BN251" s="1">
        <v>14.285</v>
      </c>
      <c r="BO251" s="1">
        <v>9.8770000000000007</v>
      </c>
      <c r="BP251" s="1">
        <v>3.762</v>
      </c>
      <c r="BQ251" s="1" t="s">
        <v>121</v>
      </c>
      <c r="BR251" s="1" t="s">
        <v>121</v>
      </c>
      <c r="BS251" s="1" t="s">
        <v>121</v>
      </c>
      <c r="BT251" s="1" t="s">
        <v>121</v>
      </c>
      <c r="BU251" s="1" t="s">
        <v>121</v>
      </c>
      <c r="BV251" s="1" t="s">
        <v>121</v>
      </c>
      <c r="BW251" s="1" t="s">
        <v>121</v>
      </c>
      <c r="BX251" s="1" t="s">
        <v>121</v>
      </c>
      <c r="BY251" s="1" t="s">
        <v>121</v>
      </c>
      <c r="BZ251" s="1" t="s">
        <v>121</v>
      </c>
      <c r="CA251" s="1" t="s">
        <v>121</v>
      </c>
      <c r="CB251" s="1" t="s">
        <v>121</v>
      </c>
      <c r="CC251" s="1" t="s">
        <v>121</v>
      </c>
      <c r="CD251" s="1" t="s">
        <v>121</v>
      </c>
      <c r="CE251" s="1" t="s">
        <v>121</v>
      </c>
      <c r="CF251" s="1" t="s">
        <v>121</v>
      </c>
      <c r="CG251" s="1" t="s">
        <v>121</v>
      </c>
      <c r="CH251" s="1" t="s">
        <v>121</v>
      </c>
      <c r="CI251" s="1" t="s">
        <v>121</v>
      </c>
      <c r="CJ251" s="1" t="s">
        <v>121</v>
      </c>
      <c r="CK251" s="1" t="s">
        <v>121</v>
      </c>
      <c r="CL251" s="1" t="s">
        <v>121</v>
      </c>
      <c r="CM251" s="1" t="s">
        <v>121</v>
      </c>
      <c r="CN251" s="1" t="s">
        <v>121</v>
      </c>
      <c r="CO251" s="1" t="s">
        <v>121</v>
      </c>
      <c r="CP251" s="1" t="s">
        <v>121</v>
      </c>
      <c r="CQ251" s="1" t="s">
        <v>121</v>
      </c>
      <c r="CR251" s="1" t="s">
        <v>121</v>
      </c>
      <c r="CS251" s="1" t="s">
        <v>121</v>
      </c>
      <c r="CT251" s="1" t="s">
        <v>121</v>
      </c>
      <c r="CU251" s="1" t="s">
        <v>121</v>
      </c>
      <c r="CV251" s="1" t="s">
        <v>121</v>
      </c>
      <c r="CW251" s="1" t="s">
        <v>121</v>
      </c>
      <c r="CX251" s="1" t="s">
        <v>121</v>
      </c>
      <c r="CY251" s="1" t="s">
        <v>121</v>
      </c>
      <c r="CZ251" s="1" t="s">
        <v>121</v>
      </c>
      <c r="DA251" s="1" t="s">
        <v>121</v>
      </c>
      <c r="DB251" s="1" t="s">
        <v>121</v>
      </c>
      <c r="DC251" s="1" t="s">
        <v>121</v>
      </c>
      <c r="DD251" s="1" t="s">
        <v>121</v>
      </c>
      <c r="DE251" s="1" t="s">
        <v>121</v>
      </c>
      <c r="DF251" s="1" t="s">
        <v>121</v>
      </c>
      <c r="DG251" s="1" t="s">
        <v>121</v>
      </c>
      <c r="DH251" s="1" t="s">
        <v>121</v>
      </c>
      <c r="DI251" s="1" t="s">
        <v>121</v>
      </c>
      <c r="DJ251" s="1" t="s">
        <v>121</v>
      </c>
      <c r="DK251" s="1" t="s">
        <v>121</v>
      </c>
      <c r="DL251" s="1" t="s">
        <v>121</v>
      </c>
      <c r="DM251" s="1" t="s">
        <v>121</v>
      </c>
      <c r="DN251" s="1" t="s">
        <v>121</v>
      </c>
      <c r="DO251" s="1" t="s">
        <v>121</v>
      </c>
      <c r="DP251" s="1" t="s">
        <v>121</v>
      </c>
      <c r="DQ251" s="1" t="s">
        <v>121</v>
      </c>
      <c r="DR251" s="1" t="s">
        <v>121</v>
      </c>
      <c r="DS251" s="1" t="s">
        <v>121</v>
      </c>
      <c r="DT251" s="1" t="s">
        <v>121</v>
      </c>
      <c r="DU251" s="1" t="s">
        <v>121</v>
      </c>
      <c r="DV251" s="1" t="s">
        <v>121</v>
      </c>
      <c r="DW251" s="1" t="s">
        <v>121</v>
      </c>
      <c r="DX251" s="1" t="s">
        <v>121</v>
      </c>
      <c r="DY251" s="1" t="s">
        <v>121</v>
      </c>
      <c r="DZ251" s="1" t="s">
        <v>121</v>
      </c>
      <c r="EA251" s="1" t="s">
        <v>121</v>
      </c>
      <c r="EB251" s="1" t="s">
        <v>121</v>
      </c>
      <c r="EC251" s="1" t="s">
        <v>121</v>
      </c>
      <c r="ED251" s="1" t="s">
        <v>121</v>
      </c>
      <c r="EE251" s="1" t="s">
        <v>121</v>
      </c>
      <c r="EF251" s="1" t="s">
        <v>121</v>
      </c>
      <c r="EG251" s="1" t="s">
        <v>121</v>
      </c>
      <c r="EH251" s="1" t="s">
        <v>121</v>
      </c>
      <c r="EI251" s="1" t="s">
        <v>121</v>
      </c>
      <c r="EJ251" s="1" t="s">
        <v>121</v>
      </c>
      <c r="EK251" s="1" t="s">
        <v>121</v>
      </c>
      <c r="EL251" s="1" t="s">
        <v>121</v>
      </c>
      <c r="EM251" s="1" t="s">
        <v>121</v>
      </c>
      <c r="EN251" s="1" t="s">
        <v>121</v>
      </c>
      <c r="EO251" s="1" t="s">
        <v>121</v>
      </c>
      <c r="EP251" s="1" t="s">
        <v>121</v>
      </c>
      <c r="EQ251" s="1" t="s">
        <v>121</v>
      </c>
      <c r="ER251" s="1" t="s">
        <v>121</v>
      </c>
      <c r="ES251" s="1" t="s">
        <v>121</v>
      </c>
      <c r="ET251" s="1" t="s">
        <v>121</v>
      </c>
      <c r="EU251" s="1" t="s">
        <v>121</v>
      </c>
      <c r="EV251" s="1" t="s">
        <v>121</v>
      </c>
      <c r="EW251" s="1" t="s">
        <v>121</v>
      </c>
      <c r="EX251" s="1" t="s">
        <v>121</v>
      </c>
    </row>
    <row r="252" spans="1:154" ht="15" hidden="1" customHeight="1" x14ac:dyDescent="0.25">
      <c r="A252" s="72"/>
      <c r="B252" s="74"/>
      <c r="C252" s="91"/>
      <c r="D252" s="86"/>
      <c r="E252" s="92" t="e">
        <f t="shared" ca="1" si="20"/>
        <v>#REF!</v>
      </c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405"/>
      <c r="R252" s="405"/>
      <c r="S252" s="405"/>
      <c r="T252" s="405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</row>
    <row r="253" spans="1:154" x14ac:dyDescent="0.25">
      <c r="A253" s="72">
        <v>253</v>
      </c>
      <c r="B253" s="61" t="s">
        <v>469</v>
      </c>
      <c r="C253" s="91" t="s">
        <v>121</v>
      </c>
      <c r="D253" s="86" t="s">
        <v>121</v>
      </c>
      <c r="E253" s="92"/>
      <c r="F253" s="77" t="s">
        <v>121</v>
      </c>
      <c r="G253" s="77" t="s">
        <v>121</v>
      </c>
      <c r="H253" s="77" t="s">
        <v>121</v>
      </c>
      <c r="I253" s="77" t="s">
        <v>121</v>
      </c>
      <c r="J253" s="77" t="s">
        <v>121</v>
      </c>
      <c r="K253" s="77" t="s">
        <v>121</v>
      </c>
      <c r="L253" s="77" t="s">
        <v>121</v>
      </c>
      <c r="M253" s="77">
        <v>2</v>
      </c>
      <c r="N253" s="77">
        <v>1</v>
      </c>
      <c r="O253" s="77" t="s">
        <v>121</v>
      </c>
      <c r="P253" s="77" t="s">
        <v>121</v>
      </c>
      <c r="Q253" s="405"/>
      <c r="R253" s="405"/>
      <c r="S253" s="405"/>
      <c r="T253" s="405"/>
      <c r="U253" s="77">
        <v>15</v>
      </c>
      <c r="V253" s="77">
        <v>12</v>
      </c>
      <c r="W253" s="77">
        <v>9</v>
      </c>
      <c r="X253" s="77">
        <v>8</v>
      </c>
      <c r="Y253" s="77">
        <v>20</v>
      </c>
      <c r="Z253" s="77">
        <v>16.027000000000001</v>
      </c>
      <c r="AA253" s="77">
        <v>13.097</v>
      </c>
      <c r="AB253" s="77">
        <v>7.9530000000000003</v>
      </c>
      <c r="AC253" s="77">
        <v>8.4879999999999995</v>
      </c>
      <c r="AD253" s="77">
        <v>5.5590000000000002</v>
      </c>
      <c r="AE253" s="77">
        <v>3.3519999999999999</v>
      </c>
      <c r="AF253" s="77">
        <v>1.722</v>
      </c>
      <c r="AG253" s="77">
        <v>10.35</v>
      </c>
      <c r="AH253" s="77">
        <v>6.5609999999999999</v>
      </c>
      <c r="AI253" s="77">
        <v>4.625</v>
      </c>
      <c r="AJ253" s="77">
        <v>2.2149999999999999</v>
      </c>
      <c r="AK253" s="77">
        <v>8.9550000000000001</v>
      </c>
      <c r="AL253" s="77">
        <v>7.4080000000000004</v>
      </c>
      <c r="AM253" s="77">
        <v>4.0069999999999997</v>
      </c>
      <c r="AN253" s="77">
        <v>2.2869999999999999</v>
      </c>
      <c r="AO253" s="77">
        <v>7.7919999999999998</v>
      </c>
      <c r="AP253" s="77">
        <v>6.0529999999999999</v>
      </c>
      <c r="AQ253" s="77">
        <v>3.492</v>
      </c>
      <c r="AR253" s="77">
        <v>1.3480000000000001</v>
      </c>
      <c r="AS253" s="77">
        <v>8.3040000000000003</v>
      </c>
      <c r="AT253" s="77">
        <v>6.4489999999999998</v>
      </c>
      <c r="AU253" s="77">
        <v>5.3360000000000003</v>
      </c>
      <c r="AV253" s="77">
        <v>2.6520000000000001</v>
      </c>
      <c r="AW253" s="77">
        <v>36.164999999999999</v>
      </c>
      <c r="AX253" s="77">
        <v>12.989000000000001</v>
      </c>
      <c r="AY253" s="77">
        <v>8.7750000000000004</v>
      </c>
      <c r="AZ253" s="55">
        <v>7.1779999999999999</v>
      </c>
      <c r="BA253" s="55">
        <v>8.1280000000000001</v>
      </c>
      <c r="BB253" s="55">
        <v>5.8479999999999999</v>
      </c>
      <c r="BC253" s="55">
        <v>3.4710000000000001</v>
      </c>
      <c r="BD253" s="55">
        <v>1.4359999999999999</v>
      </c>
      <c r="BE253" s="55">
        <v>7.5780000000000003</v>
      </c>
      <c r="BF253" s="55">
        <v>4.7439999999999998</v>
      </c>
      <c r="BG253" s="55">
        <v>2.298</v>
      </c>
      <c r="BH253" s="55">
        <v>0.90300000000000002</v>
      </c>
      <c r="BI253" s="55">
        <v>4.2290000000000001</v>
      </c>
      <c r="BJ253" s="55">
        <v>2.6960000000000002</v>
      </c>
      <c r="BK253" s="55">
        <v>1.621</v>
      </c>
      <c r="BL253" s="55">
        <v>0.65900000000000003</v>
      </c>
      <c r="BM253" s="1">
        <v>4.9139999999999997</v>
      </c>
      <c r="BN253" s="1">
        <v>3.423</v>
      </c>
      <c r="BO253" s="1">
        <v>2.6230000000000002</v>
      </c>
      <c r="BP253" s="1">
        <v>1.361</v>
      </c>
      <c r="BQ253" s="1" t="s">
        <v>121</v>
      </c>
      <c r="BR253" s="1" t="s">
        <v>121</v>
      </c>
      <c r="BS253" s="1" t="s">
        <v>121</v>
      </c>
      <c r="BT253" s="1" t="s">
        <v>121</v>
      </c>
      <c r="BU253" s="1" t="s">
        <v>121</v>
      </c>
      <c r="BV253" s="1" t="s">
        <v>121</v>
      </c>
      <c r="BW253" s="1" t="s">
        <v>121</v>
      </c>
      <c r="BX253" s="1" t="s">
        <v>121</v>
      </c>
      <c r="BY253" s="1" t="s">
        <v>121</v>
      </c>
      <c r="BZ253" s="1" t="s">
        <v>121</v>
      </c>
      <c r="CA253" s="1" t="s">
        <v>121</v>
      </c>
      <c r="CB253" s="1" t="s">
        <v>121</v>
      </c>
      <c r="CC253" s="1" t="s">
        <v>121</v>
      </c>
      <c r="CD253" s="1" t="s">
        <v>121</v>
      </c>
      <c r="CE253" s="1" t="s">
        <v>121</v>
      </c>
      <c r="CF253" s="1" t="s">
        <v>121</v>
      </c>
      <c r="CG253" s="1" t="s">
        <v>121</v>
      </c>
      <c r="CH253" s="1" t="s">
        <v>121</v>
      </c>
      <c r="CI253" s="1" t="s">
        <v>121</v>
      </c>
      <c r="CJ253" s="1" t="s">
        <v>121</v>
      </c>
      <c r="CK253" s="1" t="s">
        <v>121</v>
      </c>
      <c r="CL253" s="1" t="s">
        <v>121</v>
      </c>
      <c r="CM253" s="1" t="s">
        <v>121</v>
      </c>
      <c r="CN253" s="1" t="s">
        <v>121</v>
      </c>
      <c r="CO253" s="1" t="s">
        <v>121</v>
      </c>
      <c r="CP253" s="1" t="s">
        <v>121</v>
      </c>
      <c r="CQ253" s="1" t="s">
        <v>121</v>
      </c>
      <c r="CR253" s="1" t="s">
        <v>121</v>
      </c>
      <c r="CS253" s="1" t="s">
        <v>121</v>
      </c>
      <c r="CT253" s="1" t="s">
        <v>121</v>
      </c>
      <c r="CU253" s="1" t="s">
        <v>121</v>
      </c>
      <c r="CV253" s="1" t="s">
        <v>121</v>
      </c>
      <c r="CW253" s="1" t="s">
        <v>121</v>
      </c>
      <c r="CX253" s="1" t="s">
        <v>121</v>
      </c>
      <c r="CY253" s="1" t="s">
        <v>121</v>
      </c>
      <c r="CZ253" s="1" t="s">
        <v>121</v>
      </c>
      <c r="DA253" s="1" t="s">
        <v>121</v>
      </c>
      <c r="DB253" s="1" t="s">
        <v>121</v>
      </c>
      <c r="DC253" s="1" t="s">
        <v>121</v>
      </c>
      <c r="DD253" s="1" t="s">
        <v>121</v>
      </c>
      <c r="DE253" s="1" t="s">
        <v>121</v>
      </c>
      <c r="DF253" s="1" t="s">
        <v>121</v>
      </c>
      <c r="DG253" s="1" t="s">
        <v>121</v>
      </c>
      <c r="DH253" s="1" t="s">
        <v>121</v>
      </c>
      <c r="DI253" s="1" t="s">
        <v>121</v>
      </c>
      <c r="DJ253" s="1" t="s">
        <v>121</v>
      </c>
      <c r="DK253" s="1" t="s">
        <v>121</v>
      </c>
      <c r="DL253" s="1" t="s">
        <v>121</v>
      </c>
      <c r="DM253" s="1" t="s">
        <v>121</v>
      </c>
      <c r="DN253" s="1" t="s">
        <v>121</v>
      </c>
      <c r="DO253" s="1" t="s">
        <v>121</v>
      </c>
      <c r="DP253" s="1" t="s">
        <v>121</v>
      </c>
      <c r="DQ253" s="1" t="s">
        <v>121</v>
      </c>
      <c r="DR253" s="1" t="s">
        <v>121</v>
      </c>
      <c r="DS253" s="1" t="s">
        <v>121</v>
      </c>
      <c r="DT253" s="1" t="s">
        <v>121</v>
      </c>
      <c r="DU253" s="1" t="s">
        <v>121</v>
      </c>
      <c r="DV253" s="1" t="s">
        <v>121</v>
      </c>
      <c r="DW253" s="1" t="s">
        <v>121</v>
      </c>
      <c r="DX253" s="1" t="s">
        <v>121</v>
      </c>
      <c r="DY253" s="1" t="s">
        <v>121</v>
      </c>
      <c r="DZ253" s="1" t="s">
        <v>121</v>
      </c>
      <c r="EA253" s="1" t="s">
        <v>121</v>
      </c>
      <c r="EB253" s="1" t="s">
        <v>121</v>
      </c>
      <c r="EC253" s="1" t="s">
        <v>121</v>
      </c>
      <c r="ED253" s="1" t="s">
        <v>121</v>
      </c>
      <c r="EE253" s="1" t="s">
        <v>121</v>
      </c>
      <c r="EF253" s="1" t="s">
        <v>121</v>
      </c>
      <c r="EG253" s="1" t="s">
        <v>121</v>
      </c>
      <c r="EH253" s="1" t="s">
        <v>121</v>
      </c>
      <c r="EI253" s="1" t="s">
        <v>121</v>
      </c>
      <c r="EJ253" s="1" t="s">
        <v>121</v>
      </c>
      <c r="EK253" s="1" t="s">
        <v>121</v>
      </c>
      <c r="EL253" s="1" t="s">
        <v>121</v>
      </c>
      <c r="EM253" s="1" t="s">
        <v>121</v>
      </c>
      <c r="EN253" s="1" t="s">
        <v>121</v>
      </c>
      <c r="EO253" s="1" t="s">
        <v>121</v>
      </c>
      <c r="EP253" s="1" t="s">
        <v>121</v>
      </c>
      <c r="EQ253" s="1" t="s">
        <v>121</v>
      </c>
      <c r="ER253" s="1" t="s">
        <v>121</v>
      </c>
      <c r="ES253" s="1" t="s">
        <v>121</v>
      </c>
      <c r="ET253" s="1" t="s">
        <v>121</v>
      </c>
      <c r="EU253" s="1" t="s">
        <v>121</v>
      </c>
      <c r="EV253" s="1" t="s">
        <v>121</v>
      </c>
      <c r="EW253" s="1" t="s">
        <v>121</v>
      </c>
      <c r="EX253" s="1" t="s">
        <v>121</v>
      </c>
    </row>
    <row r="254" spans="1:154" x14ac:dyDescent="0.25">
      <c r="A254" s="72">
        <v>254</v>
      </c>
      <c r="B254" s="74" t="s">
        <v>459</v>
      </c>
      <c r="C254" s="91" t="s">
        <v>121</v>
      </c>
      <c r="D254" s="86" t="s">
        <v>121</v>
      </c>
      <c r="E254" s="92">
        <f t="shared" ca="1" si="20"/>
        <v>-0.56043956043956045</v>
      </c>
      <c r="F254" s="77">
        <v>40</v>
      </c>
      <c r="G254" s="77">
        <v>25</v>
      </c>
      <c r="H254" s="77">
        <v>12</v>
      </c>
      <c r="I254" s="77">
        <v>103</v>
      </c>
      <c r="J254" s="77">
        <v>91</v>
      </c>
      <c r="K254" s="77">
        <v>81</v>
      </c>
      <c r="L254" s="77">
        <v>11</v>
      </c>
      <c r="M254" s="77">
        <v>33</v>
      </c>
      <c r="N254" s="77">
        <v>22</v>
      </c>
      <c r="O254" s="77">
        <v>11</v>
      </c>
      <c r="P254" s="77">
        <v>6</v>
      </c>
      <c r="Q254" s="405"/>
      <c r="R254" s="405"/>
      <c r="S254" s="405"/>
      <c r="T254" s="405"/>
      <c r="U254" s="77">
        <v>28</v>
      </c>
      <c r="V254" s="77">
        <v>22</v>
      </c>
      <c r="W254" s="77">
        <v>17</v>
      </c>
      <c r="X254" s="77">
        <v>11</v>
      </c>
      <c r="Y254" s="77">
        <v>23</v>
      </c>
      <c r="Z254" s="77">
        <v>16.120999999999999</v>
      </c>
      <c r="AA254" s="77">
        <v>10.539</v>
      </c>
      <c r="AB254" s="77">
        <v>7.1509999999999998</v>
      </c>
      <c r="AC254" s="77">
        <v>10.615</v>
      </c>
      <c r="AD254" s="77">
        <v>10.394</v>
      </c>
      <c r="AE254" s="77">
        <v>6.4109999999999996</v>
      </c>
      <c r="AF254" s="77">
        <v>5.367</v>
      </c>
      <c r="AG254" s="77">
        <v>15.016999999999999</v>
      </c>
      <c r="AH254" s="77">
        <v>14.611000000000001</v>
      </c>
      <c r="AI254" s="77">
        <v>8.15</v>
      </c>
      <c r="AJ254" s="77">
        <v>7.0910000000000002</v>
      </c>
      <c r="AK254" s="77">
        <v>26.196999999999999</v>
      </c>
      <c r="AL254" s="77">
        <v>23.375</v>
      </c>
      <c r="AM254" s="77">
        <v>13.292999999999999</v>
      </c>
      <c r="AN254" s="77">
        <v>9.9209999999999994</v>
      </c>
      <c r="AO254" s="77">
        <v>28.873999999999999</v>
      </c>
      <c r="AP254" s="77">
        <v>27.266999999999999</v>
      </c>
      <c r="AQ254" s="77">
        <v>16.181000000000001</v>
      </c>
      <c r="AR254" s="77">
        <v>14.289</v>
      </c>
      <c r="AS254" s="77">
        <v>37.018000000000001</v>
      </c>
      <c r="AT254" s="77">
        <v>34.567</v>
      </c>
      <c r="AU254" s="77">
        <v>19.603999999999999</v>
      </c>
      <c r="AV254" s="77">
        <v>17.007999999999999</v>
      </c>
      <c r="AW254" s="77">
        <v>56.802999999999997</v>
      </c>
      <c r="AX254" s="77">
        <v>32.823999999999998</v>
      </c>
      <c r="AY254" s="77">
        <v>19.172000000000001</v>
      </c>
      <c r="AZ254" s="55">
        <v>9.1349999999999998</v>
      </c>
      <c r="BA254" s="55">
        <v>72.353999999999999</v>
      </c>
      <c r="BB254" s="55">
        <v>56.963000000000001</v>
      </c>
      <c r="BC254" s="55">
        <v>33.518999999999998</v>
      </c>
      <c r="BD254" s="55">
        <v>10.976000000000001</v>
      </c>
      <c r="BE254" s="55">
        <v>73.087999999999994</v>
      </c>
      <c r="BF254" s="55">
        <v>54.816000000000003</v>
      </c>
      <c r="BG254" s="55">
        <v>40.098999999999997</v>
      </c>
      <c r="BH254" s="55">
        <v>8.9329999999999998</v>
      </c>
      <c r="BI254" s="55">
        <v>81.081999999999994</v>
      </c>
      <c r="BJ254" s="55">
        <v>43.378</v>
      </c>
      <c r="BK254" s="55">
        <v>37.414000000000001</v>
      </c>
      <c r="BL254" s="55">
        <v>6.657</v>
      </c>
      <c r="BM254" s="1">
        <v>85.350999999999999</v>
      </c>
      <c r="BN254" s="1">
        <v>50.543999999999997</v>
      </c>
      <c r="BO254" s="1">
        <v>44.027000000000001</v>
      </c>
      <c r="BP254" s="1">
        <v>9.61</v>
      </c>
      <c r="BQ254" s="1" t="s">
        <v>121</v>
      </c>
      <c r="BR254" s="1" t="s">
        <v>121</v>
      </c>
      <c r="BS254" s="1" t="s">
        <v>121</v>
      </c>
      <c r="BT254" s="1" t="s">
        <v>121</v>
      </c>
      <c r="BU254" s="1" t="s">
        <v>121</v>
      </c>
      <c r="BV254" s="1" t="s">
        <v>121</v>
      </c>
      <c r="BW254" s="1" t="s">
        <v>121</v>
      </c>
      <c r="BX254" s="1" t="s">
        <v>121</v>
      </c>
      <c r="BY254" s="1" t="s">
        <v>121</v>
      </c>
      <c r="BZ254" s="1" t="s">
        <v>121</v>
      </c>
      <c r="CA254" s="1" t="s">
        <v>121</v>
      </c>
      <c r="CB254" s="1" t="s">
        <v>121</v>
      </c>
      <c r="CC254" s="1" t="s">
        <v>121</v>
      </c>
      <c r="CD254" s="1" t="s">
        <v>121</v>
      </c>
      <c r="CE254" s="1" t="s">
        <v>121</v>
      </c>
      <c r="CF254" s="1" t="s">
        <v>121</v>
      </c>
      <c r="CG254" s="1" t="s">
        <v>121</v>
      </c>
      <c r="CH254" s="1" t="s">
        <v>121</v>
      </c>
      <c r="CI254" s="1" t="s">
        <v>121</v>
      </c>
      <c r="CJ254" s="1" t="s">
        <v>121</v>
      </c>
      <c r="CK254" s="1" t="s">
        <v>121</v>
      </c>
      <c r="CL254" s="1" t="s">
        <v>121</v>
      </c>
      <c r="CM254" s="1" t="s">
        <v>121</v>
      </c>
      <c r="CN254" s="1" t="s">
        <v>121</v>
      </c>
      <c r="CO254" s="1" t="s">
        <v>121</v>
      </c>
      <c r="CP254" s="1" t="s">
        <v>121</v>
      </c>
      <c r="CQ254" s="1" t="s">
        <v>121</v>
      </c>
      <c r="CR254" s="1" t="s">
        <v>121</v>
      </c>
      <c r="CS254" s="1" t="s">
        <v>121</v>
      </c>
      <c r="CT254" s="1" t="s">
        <v>121</v>
      </c>
      <c r="CU254" s="1" t="s">
        <v>121</v>
      </c>
      <c r="CV254" s="1" t="s">
        <v>121</v>
      </c>
      <c r="CW254" s="1" t="s">
        <v>121</v>
      </c>
      <c r="CX254" s="1" t="s">
        <v>121</v>
      </c>
      <c r="CY254" s="1" t="s">
        <v>121</v>
      </c>
      <c r="CZ254" s="1" t="s">
        <v>121</v>
      </c>
      <c r="DA254" s="1" t="s">
        <v>121</v>
      </c>
      <c r="DB254" s="1" t="s">
        <v>121</v>
      </c>
      <c r="DC254" s="1" t="s">
        <v>121</v>
      </c>
      <c r="DD254" s="1" t="s">
        <v>121</v>
      </c>
      <c r="DE254" s="1" t="s">
        <v>121</v>
      </c>
      <c r="DF254" s="1" t="s">
        <v>121</v>
      </c>
      <c r="DG254" s="1" t="s">
        <v>121</v>
      </c>
      <c r="DH254" s="1" t="s">
        <v>121</v>
      </c>
      <c r="DI254" s="1" t="s">
        <v>121</v>
      </c>
      <c r="DJ254" s="1" t="s">
        <v>121</v>
      </c>
      <c r="DK254" s="1" t="s">
        <v>121</v>
      </c>
      <c r="DL254" s="1" t="s">
        <v>121</v>
      </c>
      <c r="DM254" s="1" t="s">
        <v>121</v>
      </c>
      <c r="DN254" s="1" t="s">
        <v>121</v>
      </c>
      <c r="DO254" s="1" t="s">
        <v>121</v>
      </c>
      <c r="DP254" s="1" t="s">
        <v>121</v>
      </c>
      <c r="DQ254" s="1" t="s">
        <v>121</v>
      </c>
      <c r="DR254" s="1" t="s">
        <v>121</v>
      </c>
      <c r="DS254" s="1" t="s">
        <v>121</v>
      </c>
      <c r="DT254" s="1" t="s">
        <v>121</v>
      </c>
      <c r="DU254" s="1" t="s">
        <v>121</v>
      </c>
      <c r="DV254" s="1" t="s">
        <v>121</v>
      </c>
      <c r="DW254" s="1" t="s">
        <v>121</v>
      </c>
      <c r="DX254" s="1" t="s">
        <v>121</v>
      </c>
      <c r="DY254" s="1" t="s">
        <v>121</v>
      </c>
      <c r="DZ254" s="1" t="s">
        <v>121</v>
      </c>
      <c r="EA254" s="1" t="s">
        <v>121</v>
      </c>
      <c r="EB254" s="1" t="s">
        <v>121</v>
      </c>
      <c r="EC254" s="1" t="s">
        <v>121</v>
      </c>
      <c r="ED254" s="1" t="s">
        <v>121</v>
      </c>
      <c r="EE254" s="1" t="s">
        <v>121</v>
      </c>
      <c r="EF254" s="1" t="s">
        <v>121</v>
      </c>
      <c r="EG254" s="1" t="s">
        <v>121</v>
      </c>
      <c r="EH254" s="1" t="s">
        <v>121</v>
      </c>
      <c r="EI254" s="1" t="s">
        <v>121</v>
      </c>
      <c r="EJ254" s="1" t="s">
        <v>121</v>
      </c>
      <c r="EK254" s="1" t="s">
        <v>121</v>
      </c>
      <c r="EL254" s="1" t="s">
        <v>121</v>
      </c>
      <c r="EM254" s="1" t="s">
        <v>121</v>
      </c>
      <c r="EN254" s="1" t="s">
        <v>121</v>
      </c>
      <c r="EO254" s="1" t="s">
        <v>121</v>
      </c>
      <c r="EP254" s="1" t="s">
        <v>121</v>
      </c>
      <c r="EQ254" s="1" t="s">
        <v>121</v>
      </c>
      <c r="ER254" s="1" t="s">
        <v>121</v>
      </c>
      <c r="ES254" s="1" t="s">
        <v>121</v>
      </c>
      <c r="ET254" s="1" t="s">
        <v>121</v>
      </c>
      <c r="EU254" s="1" t="s">
        <v>121</v>
      </c>
      <c r="EV254" s="1" t="s">
        <v>121</v>
      </c>
      <c r="EW254" s="1" t="s">
        <v>121</v>
      </c>
      <c r="EX254" s="1" t="s">
        <v>121</v>
      </c>
    </row>
    <row r="255" spans="1:154" x14ac:dyDescent="0.25">
      <c r="A255" s="72">
        <v>255</v>
      </c>
      <c r="B255" s="61" t="s">
        <v>7</v>
      </c>
      <c r="C255" s="91" t="s">
        <v>121</v>
      </c>
      <c r="D255" s="86" t="s">
        <v>121</v>
      </c>
      <c r="E255" s="92">
        <f t="shared" ca="1" si="20"/>
        <v>0.22222222222222232</v>
      </c>
      <c r="F255" s="77">
        <v>66</v>
      </c>
      <c r="G255" s="77">
        <v>25</v>
      </c>
      <c r="H255" s="77">
        <v>117</v>
      </c>
      <c r="I255" s="77">
        <v>76</v>
      </c>
      <c r="J255" s="77">
        <v>54</v>
      </c>
      <c r="K255" s="77">
        <v>31</v>
      </c>
      <c r="L255" s="77">
        <v>164</v>
      </c>
      <c r="M255" s="77">
        <v>128</v>
      </c>
      <c r="N255" s="77">
        <v>68</v>
      </c>
      <c r="O255" s="77">
        <v>30</v>
      </c>
      <c r="P255" s="77">
        <v>138</v>
      </c>
      <c r="Q255" s="405"/>
      <c r="R255" s="405"/>
      <c r="S255" s="405"/>
      <c r="T255" s="405"/>
      <c r="U255" s="77">
        <v>129.38999999999999</v>
      </c>
      <c r="V255" s="77">
        <v>87.126000000000076</v>
      </c>
      <c r="W255" s="77">
        <v>45.326999999999998</v>
      </c>
      <c r="X255" s="77">
        <v>150.929</v>
      </c>
      <c r="Y255" s="77">
        <v>119.65700000000001</v>
      </c>
      <c r="Z255" s="77">
        <v>78.914999999999992</v>
      </c>
      <c r="AA255" s="77">
        <v>36.741999999999997</v>
      </c>
      <c r="AB255" s="77">
        <v>117.241</v>
      </c>
      <c r="AC255" s="77">
        <v>85.225999999999999</v>
      </c>
      <c r="AD255" s="77">
        <v>58.885999999999996</v>
      </c>
      <c r="AE255" s="77">
        <v>26.238</v>
      </c>
      <c r="AF255" s="77">
        <v>189.45100000000002</v>
      </c>
      <c r="AG255" s="77">
        <v>145.803</v>
      </c>
      <c r="AH255" s="77">
        <v>104.825</v>
      </c>
      <c r="AI255" s="77">
        <v>53.706000000000003</v>
      </c>
      <c r="AJ255" s="77">
        <v>134.25200000000001</v>
      </c>
      <c r="AK255" s="77">
        <v>88.31</v>
      </c>
      <c r="AL255" s="77">
        <v>55.741</v>
      </c>
      <c r="AM255" s="77">
        <v>21.783999999999999</v>
      </c>
      <c r="AN255" s="77">
        <v>44.891999999999996</v>
      </c>
      <c r="AO255" s="77">
        <v>25.106999999999999</v>
      </c>
      <c r="AP255" s="77">
        <v>14.682</v>
      </c>
      <c r="AQ255" s="77">
        <v>6.9090000000000007</v>
      </c>
      <c r="AR255" s="77">
        <v>46.843000000000004</v>
      </c>
      <c r="AS255" s="77">
        <v>28.201000000000001</v>
      </c>
      <c r="AT255" s="77">
        <v>17.841999999999999</v>
      </c>
      <c r="AU255" s="77">
        <v>9.27</v>
      </c>
      <c r="AV255" s="77">
        <v>37.102000000000004</v>
      </c>
      <c r="AW255" s="77">
        <v>28.637</v>
      </c>
      <c r="AX255" s="77">
        <v>20.329999999999998</v>
      </c>
      <c r="AY255" s="77">
        <v>11.914000000000001</v>
      </c>
      <c r="AZ255" s="55">
        <v>32.079000000000001</v>
      </c>
      <c r="BA255" s="55">
        <v>19.619</v>
      </c>
      <c r="BB255" s="55">
        <v>13.141</v>
      </c>
      <c r="BC255" s="55">
        <v>3.7290000000000001</v>
      </c>
      <c r="BD255" s="55">
        <v>27.292000000000002</v>
      </c>
      <c r="BE255" s="55">
        <v>17.536999999999999</v>
      </c>
      <c r="BF255" s="55">
        <v>10.088000000000001</v>
      </c>
      <c r="BG255" s="55">
        <v>2.214</v>
      </c>
      <c r="BH255" s="55">
        <v>30.128999999999998</v>
      </c>
      <c r="BI255" s="55">
        <v>22.968000000000004</v>
      </c>
      <c r="BJ255" s="55">
        <v>19.948999999999998</v>
      </c>
      <c r="BK255" s="55">
        <v>34.227999999999994</v>
      </c>
      <c r="BL255" s="55">
        <v>0.57899999999999996</v>
      </c>
      <c r="BM255" s="1">
        <v>23.581</v>
      </c>
      <c r="BN255" s="1">
        <v>16.420000000000002</v>
      </c>
      <c r="BO255" s="1">
        <v>15.253</v>
      </c>
      <c r="BP255" s="1">
        <v>32.049999999999997</v>
      </c>
      <c r="BQ255" s="1" t="s">
        <v>121</v>
      </c>
      <c r="BR255" s="1" t="s">
        <v>121</v>
      </c>
      <c r="BS255" s="1" t="s">
        <v>121</v>
      </c>
      <c r="BT255" s="1" t="s">
        <v>121</v>
      </c>
      <c r="BU255" s="1" t="s">
        <v>121</v>
      </c>
      <c r="BV255" s="1" t="s">
        <v>121</v>
      </c>
      <c r="BW255" s="1" t="s">
        <v>121</v>
      </c>
      <c r="BX255" s="1" t="s">
        <v>121</v>
      </c>
      <c r="BY255" s="1" t="s">
        <v>121</v>
      </c>
      <c r="BZ255" s="1" t="s">
        <v>121</v>
      </c>
      <c r="CA255" s="1" t="s">
        <v>121</v>
      </c>
      <c r="CB255" s="1" t="s">
        <v>121</v>
      </c>
      <c r="CC255" s="1" t="s">
        <v>121</v>
      </c>
      <c r="CD255" s="1" t="s">
        <v>121</v>
      </c>
      <c r="CE255" s="1" t="s">
        <v>121</v>
      </c>
      <c r="CF255" s="1" t="s">
        <v>121</v>
      </c>
      <c r="CG255" s="1" t="s">
        <v>121</v>
      </c>
      <c r="CH255" s="1" t="s">
        <v>121</v>
      </c>
      <c r="CI255" s="1" t="s">
        <v>121</v>
      </c>
      <c r="CJ255" s="1" t="s">
        <v>121</v>
      </c>
      <c r="CK255" s="1" t="s">
        <v>121</v>
      </c>
      <c r="CL255" s="1" t="s">
        <v>121</v>
      </c>
      <c r="CM255" s="1" t="s">
        <v>121</v>
      </c>
      <c r="CN255" s="1" t="s">
        <v>121</v>
      </c>
      <c r="CO255" s="1" t="s">
        <v>121</v>
      </c>
      <c r="CP255" s="1" t="s">
        <v>121</v>
      </c>
      <c r="CQ255" s="1" t="s">
        <v>121</v>
      </c>
      <c r="CR255" s="1" t="s">
        <v>121</v>
      </c>
      <c r="CS255" s="1" t="s">
        <v>121</v>
      </c>
      <c r="CT255" s="1" t="s">
        <v>121</v>
      </c>
      <c r="CU255" s="1" t="s">
        <v>121</v>
      </c>
      <c r="CV255" s="1" t="s">
        <v>121</v>
      </c>
      <c r="CW255" s="1" t="s">
        <v>121</v>
      </c>
      <c r="CX255" s="1" t="s">
        <v>121</v>
      </c>
      <c r="CY255" s="1" t="s">
        <v>121</v>
      </c>
      <c r="CZ255" s="1" t="s">
        <v>121</v>
      </c>
      <c r="DA255" s="1" t="s">
        <v>121</v>
      </c>
      <c r="DB255" s="1" t="s">
        <v>121</v>
      </c>
      <c r="DC255" s="1" t="s">
        <v>121</v>
      </c>
      <c r="DD255" s="1" t="s">
        <v>121</v>
      </c>
      <c r="DE255" s="1" t="s">
        <v>121</v>
      </c>
      <c r="DF255" s="1" t="s">
        <v>121</v>
      </c>
      <c r="DG255" s="1" t="s">
        <v>121</v>
      </c>
      <c r="DH255" s="1" t="s">
        <v>121</v>
      </c>
      <c r="DI255" s="1" t="s">
        <v>121</v>
      </c>
      <c r="DJ255" s="1" t="s">
        <v>121</v>
      </c>
      <c r="DK255" s="1" t="s">
        <v>121</v>
      </c>
      <c r="DL255" s="1" t="s">
        <v>121</v>
      </c>
      <c r="DM255" s="1" t="s">
        <v>121</v>
      </c>
      <c r="DN255" s="1" t="s">
        <v>121</v>
      </c>
      <c r="DO255" s="1" t="s">
        <v>121</v>
      </c>
      <c r="DP255" s="1" t="s">
        <v>121</v>
      </c>
      <c r="DQ255" s="1" t="s">
        <v>121</v>
      </c>
      <c r="DR255" s="1" t="s">
        <v>121</v>
      </c>
      <c r="DS255" s="1" t="s">
        <v>121</v>
      </c>
      <c r="DT255" s="1" t="s">
        <v>121</v>
      </c>
      <c r="DU255" s="1" t="s">
        <v>121</v>
      </c>
      <c r="DV255" s="1" t="s">
        <v>121</v>
      </c>
      <c r="DW255" s="1" t="s">
        <v>121</v>
      </c>
      <c r="DX255" s="1" t="s">
        <v>121</v>
      </c>
      <c r="DY255" s="1" t="s">
        <v>121</v>
      </c>
      <c r="DZ255" s="1" t="s">
        <v>121</v>
      </c>
      <c r="EA255" s="1" t="s">
        <v>121</v>
      </c>
      <c r="EB255" s="1" t="s">
        <v>121</v>
      </c>
      <c r="EC255" s="1" t="s">
        <v>121</v>
      </c>
      <c r="ED255" s="1" t="s">
        <v>121</v>
      </c>
      <c r="EE255" s="1" t="s">
        <v>121</v>
      </c>
      <c r="EF255" s="1" t="s">
        <v>121</v>
      </c>
      <c r="EG255" s="1" t="s">
        <v>121</v>
      </c>
      <c r="EH255" s="1" t="s">
        <v>121</v>
      </c>
      <c r="EI255" s="1" t="s">
        <v>121</v>
      </c>
      <c r="EJ255" s="1" t="s">
        <v>121</v>
      </c>
      <c r="EK255" s="1" t="s">
        <v>121</v>
      </c>
      <c r="EL255" s="1" t="s">
        <v>121</v>
      </c>
      <c r="EM255" s="1" t="s">
        <v>121</v>
      </c>
      <c r="EN255" s="1" t="s">
        <v>121</v>
      </c>
      <c r="EO255" s="1" t="s">
        <v>121</v>
      </c>
      <c r="EP255" s="1" t="s">
        <v>121</v>
      </c>
      <c r="EQ255" s="1" t="s">
        <v>121</v>
      </c>
      <c r="ER255" s="1" t="s">
        <v>121</v>
      </c>
      <c r="ES255" s="1" t="s">
        <v>121</v>
      </c>
      <c r="ET255" s="1" t="s">
        <v>121</v>
      </c>
      <c r="EU255" s="1" t="s">
        <v>121</v>
      </c>
      <c r="EV255" s="1" t="s">
        <v>121</v>
      </c>
      <c r="EW255" s="1" t="s">
        <v>121</v>
      </c>
      <c r="EX255" s="1" t="s">
        <v>121</v>
      </c>
    </row>
    <row r="256" spans="1:154" s="75" customFormat="1" ht="18.75" customHeight="1" x14ac:dyDescent="0.25">
      <c r="A256" s="72">
        <v>256</v>
      </c>
      <c r="B256" s="73" t="s">
        <v>470</v>
      </c>
      <c r="C256" s="91" t="s">
        <v>121</v>
      </c>
      <c r="D256" s="86" t="s">
        <v>121</v>
      </c>
      <c r="E256" s="94">
        <f t="shared" ca="1" si="20"/>
        <v>5.8741905642923253E-2</v>
      </c>
      <c r="F256" s="124">
        <v>2289</v>
      </c>
      <c r="G256" s="124">
        <v>1447</v>
      </c>
      <c r="H256" s="124">
        <v>673</v>
      </c>
      <c r="I256" s="124">
        <v>2806</v>
      </c>
      <c r="J256" s="124">
        <v>2162</v>
      </c>
      <c r="K256" s="124">
        <v>1461</v>
      </c>
      <c r="L256" s="124">
        <v>688</v>
      </c>
      <c r="M256" s="124">
        <v>2798</v>
      </c>
      <c r="N256" s="124">
        <v>2010</v>
      </c>
      <c r="O256" s="124">
        <v>1292</v>
      </c>
      <c r="P256" s="124">
        <v>627</v>
      </c>
      <c r="Q256" s="405"/>
      <c r="R256" s="405"/>
      <c r="S256" s="405"/>
      <c r="T256" s="405"/>
      <c r="U256" s="124">
        <v>2423</v>
      </c>
      <c r="V256" s="124">
        <v>1828</v>
      </c>
      <c r="W256" s="124">
        <v>1184</v>
      </c>
      <c r="X256" s="124">
        <v>561</v>
      </c>
      <c r="Y256" s="124">
        <v>1987</v>
      </c>
      <c r="Z256" s="124">
        <v>1422.7550000000001</v>
      </c>
      <c r="AA256" s="124">
        <v>898.01</v>
      </c>
      <c r="AB256" s="124">
        <v>477.34299999999996</v>
      </c>
      <c r="AC256" s="124">
        <v>2158.9609999999993</v>
      </c>
      <c r="AD256" s="124">
        <v>1563.8720000000001</v>
      </c>
      <c r="AE256" s="124">
        <v>1039.731</v>
      </c>
      <c r="AF256" s="124">
        <v>532.08399999999995</v>
      </c>
      <c r="AG256" s="124">
        <v>2082.5549999999994</v>
      </c>
      <c r="AH256" s="124">
        <v>1523.7964999999999</v>
      </c>
      <c r="AI256" s="124">
        <v>986.23299999999983</v>
      </c>
      <c r="AJ256" s="124">
        <v>456.96749999999997</v>
      </c>
      <c r="AK256" s="124">
        <v>1396.0059999999999</v>
      </c>
      <c r="AL256" s="124">
        <v>1029.857</v>
      </c>
      <c r="AM256" s="124">
        <v>671.49799999999993</v>
      </c>
      <c r="AN256" s="124">
        <v>322.12200000000001</v>
      </c>
      <c r="AO256" s="124">
        <v>1130.9379999999999</v>
      </c>
      <c r="AP256" s="124">
        <v>777.48700000000008</v>
      </c>
      <c r="AQ256" s="124">
        <v>472.84800000000001</v>
      </c>
      <c r="AR256" s="124">
        <v>217.83300000000006</v>
      </c>
      <c r="AS256" s="124">
        <v>730.02800000000002</v>
      </c>
      <c r="AT256" s="124">
        <v>536.11199999999997</v>
      </c>
      <c r="AU256" s="124">
        <v>327.66800000000001</v>
      </c>
      <c r="AV256" s="124">
        <v>175.51500000000001</v>
      </c>
      <c r="AW256" s="124">
        <v>699.94500000000005</v>
      </c>
      <c r="AX256" s="124">
        <v>459.76799999999992</v>
      </c>
      <c r="AY256" s="124">
        <v>295.53500000000003</v>
      </c>
      <c r="AZ256" s="76">
        <v>139.08699999999999</v>
      </c>
      <c r="BA256" s="76">
        <v>494.58799999999997</v>
      </c>
      <c r="BB256" s="76">
        <v>361.44000000000005</v>
      </c>
      <c r="BC256" s="76">
        <v>207.35299999999998</v>
      </c>
      <c r="BD256" s="76">
        <v>89.021000000000015</v>
      </c>
      <c r="BE256" s="76">
        <v>404.07499999999993</v>
      </c>
      <c r="BF256" s="76">
        <v>286.53300000000002</v>
      </c>
      <c r="BG256" s="76">
        <v>189.92600000000002</v>
      </c>
      <c r="BH256" s="76">
        <v>77.227000000000004</v>
      </c>
      <c r="BI256" s="76">
        <v>380.38799999999998</v>
      </c>
      <c r="BJ256" s="76">
        <v>241.17699999999994</v>
      </c>
      <c r="BK256" s="76">
        <v>159.66199999999998</v>
      </c>
      <c r="BL256" s="76">
        <v>59.544000000000004</v>
      </c>
      <c r="BM256" s="75">
        <v>292.06</v>
      </c>
      <c r="BN256" s="75">
        <v>192.50900000000001</v>
      </c>
      <c r="BO256" s="75">
        <v>139.733</v>
      </c>
      <c r="BP256" s="75">
        <v>79.164999999999992</v>
      </c>
      <c r="BQ256" s="75" t="s">
        <v>121</v>
      </c>
      <c r="BR256" s="75" t="s">
        <v>121</v>
      </c>
      <c r="BS256" s="75" t="s">
        <v>121</v>
      </c>
      <c r="BT256" s="75" t="s">
        <v>121</v>
      </c>
      <c r="BU256" s="75" t="s">
        <v>121</v>
      </c>
      <c r="BV256" s="75" t="s">
        <v>121</v>
      </c>
      <c r="BW256" s="75" t="s">
        <v>121</v>
      </c>
      <c r="BX256" s="75" t="s">
        <v>121</v>
      </c>
      <c r="BY256" s="75" t="s">
        <v>121</v>
      </c>
      <c r="BZ256" s="75" t="s">
        <v>121</v>
      </c>
      <c r="CA256" s="75" t="s">
        <v>121</v>
      </c>
      <c r="CB256" s="75" t="s">
        <v>121</v>
      </c>
      <c r="CC256" s="75" t="s">
        <v>121</v>
      </c>
      <c r="CD256" s="75" t="s">
        <v>121</v>
      </c>
      <c r="CE256" s="75" t="s">
        <v>121</v>
      </c>
      <c r="CF256" s="75" t="s">
        <v>121</v>
      </c>
      <c r="CG256" s="75" t="s">
        <v>121</v>
      </c>
      <c r="CH256" s="75" t="s">
        <v>121</v>
      </c>
      <c r="CI256" s="75" t="s">
        <v>121</v>
      </c>
      <c r="CJ256" s="75" t="s">
        <v>121</v>
      </c>
      <c r="CK256" s="75" t="s">
        <v>121</v>
      </c>
      <c r="CL256" s="75" t="s">
        <v>121</v>
      </c>
      <c r="CM256" s="75" t="s">
        <v>121</v>
      </c>
      <c r="CN256" s="75" t="s">
        <v>121</v>
      </c>
      <c r="CO256" s="75" t="s">
        <v>121</v>
      </c>
      <c r="CP256" s="75" t="s">
        <v>121</v>
      </c>
      <c r="CQ256" s="75" t="s">
        <v>121</v>
      </c>
      <c r="CR256" s="75" t="s">
        <v>121</v>
      </c>
      <c r="CS256" s="75" t="s">
        <v>121</v>
      </c>
      <c r="CT256" s="75" t="s">
        <v>121</v>
      </c>
      <c r="CU256" s="75" t="s">
        <v>121</v>
      </c>
      <c r="CV256" s="75" t="s">
        <v>121</v>
      </c>
      <c r="CW256" s="75" t="s">
        <v>121</v>
      </c>
      <c r="CX256" s="75" t="s">
        <v>121</v>
      </c>
      <c r="CY256" s="75" t="s">
        <v>121</v>
      </c>
      <c r="CZ256" s="75" t="s">
        <v>121</v>
      </c>
      <c r="DA256" s="75" t="s">
        <v>121</v>
      </c>
      <c r="DB256" s="75" t="s">
        <v>121</v>
      </c>
      <c r="DC256" s="75" t="s">
        <v>121</v>
      </c>
      <c r="DD256" s="75" t="s">
        <v>121</v>
      </c>
      <c r="DE256" s="75" t="s">
        <v>121</v>
      </c>
      <c r="DF256" s="75" t="s">
        <v>121</v>
      </c>
      <c r="DG256" s="75" t="s">
        <v>121</v>
      </c>
      <c r="DH256" s="75" t="s">
        <v>121</v>
      </c>
      <c r="DI256" s="75" t="s">
        <v>121</v>
      </c>
      <c r="DJ256" s="75" t="s">
        <v>121</v>
      </c>
      <c r="DK256" s="75" t="s">
        <v>121</v>
      </c>
      <c r="DL256" s="75" t="s">
        <v>121</v>
      </c>
      <c r="DM256" s="75" t="s">
        <v>121</v>
      </c>
      <c r="DN256" s="75" t="s">
        <v>121</v>
      </c>
      <c r="DO256" s="75" t="s">
        <v>121</v>
      </c>
      <c r="DP256" s="75" t="s">
        <v>121</v>
      </c>
      <c r="DQ256" s="75" t="s">
        <v>121</v>
      </c>
      <c r="DR256" s="75" t="s">
        <v>121</v>
      </c>
      <c r="DS256" s="75" t="s">
        <v>121</v>
      </c>
      <c r="DT256" s="75" t="s">
        <v>121</v>
      </c>
      <c r="DU256" s="75" t="s">
        <v>121</v>
      </c>
      <c r="DV256" s="75" t="s">
        <v>121</v>
      </c>
      <c r="DW256" s="75" t="s">
        <v>121</v>
      </c>
      <c r="DX256" s="75" t="s">
        <v>121</v>
      </c>
      <c r="DY256" s="75" t="s">
        <v>121</v>
      </c>
      <c r="DZ256" s="75" t="s">
        <v>121</v>
      </c>
      <c r="EA256" s="75" t="s">
        <v>121</v>
      </c>
      <c r="EB256" s="75" t="s">
        <v>121</v>
      </c>
      <c r="EC256" s="75" t="s">
        <v>121</v>
      </c>
      <c r="ED256" s="75" t="s">
        <v>121</v>
      </c>
      <c r="EE256" s="75" t="s">
        <v>121</v>
      </c>
      <c r="EF256" s="75" t="s">
        <v>121</v>
      </c>
      <c r="EG256" s="75" t="s">
        <v>121</v>
      </c>
      <c r="EH256" s="75" t="s">
        <v>121</v>
      </c>
      <c r="EI256" s="75" t="s">
        <v>121</v>
      </c>
      <c r="EJ256" s="75" t="s">
        <v>121</v>
      </c>
      <c r="EK256" s="75" t="s">
        <v>121</v>
      </c>
      <c r="EL256" s="75" t="s">
        <v>121</v>
      </c>
      <c r="EM256" s="75" t="s">
        <v>121</v>
      </c>
      <c r="EN256" s="75" t="s">
        <v>121</v>
      </c>
      <c r="EO256" s="75" t="s">
        <v>121</v>
      </c>
      <c r="EP256" s="75" t="s">
        <v>121</v>
      </c>
      <c r="EQ256" s="75" t="s">
        <v>121</v>
      </c>
      <c r="ER256" s="75" t="s">
        <v>121</v>
      </c>
      <c r="ES256" s="75" t="s">
        <v>121</v>
      </c>
      <c r="ET256" s="75" t="s">
        <v>121</v>
      </c>
      <c r="EU256" s="75" t="s">
        <v>121</v>
      </c>
      <c r="EV256" s="75" t="s">
        <v>121</v>
      </c>
      <c r="EW256" s="75" t="s">
        <v>121</v>
      </c>
      <c r="EX256" s="75" t="s">
        <v>121</v>
      </c>
    </row>
    <row r="257" spans="1:154" s="75" customFormat="1" ht="18.75" customHeight="1" x14ac:dyDescent="0.25">
      <c r="A257" s="72">
        <v>257</v>
      </c>
      <c r="B257" s="73" t="s">
        <v>471</v>
      </c>
      <c r="C257" s="91" t="s">
        <v>121</v>
      </c>
      <c r="D257" s="86" t="s">
        <v>121</v>
      </c>
      <c r="E257" s="94">
        <f t="shared" ca="1" si="20"/>
        <v>-5.7484748944157671E-3</v>
      </c>
      <c r="F257" s="124">
        <v>8475</v>
      </c>
      <c r="G257" s="124">
        <v>5602</v>
      </c>
      <c r="H257" s="124">
        <v>2761</v>
      </c>
      <c r="I257" s="124">
        <v>11599</v>
      </c>
      <c r="J257" s="124">
        <v>8524</v>
      </c>
      <c r="K257" s="124">
        <v>5368</v>
      </c>
      <c r="L257" s="124">
        <v>2659</v>
      </c>
      <c r="M257" s="124">
        <v>12487</v>
      </c>
      <c r="N257" s="124">
        <v>9430</v>
      </c>
      <c r="O257" s="124">
        <v>6458</v>
      </c>
      <c r="P257" s="124">
        <v>3566</v>
      </c>
      <c r="Q257" s="405"/>
      <c r="R257" s="405"/>
      <c r="S257" s="405"/>
      <c r="T257" s="405"/>
      <c r="U257" s="124">
        <v>9009</v>
      </c>
      <c r="V257" s="124">
        <v>6409</v>
      </c>
      <c r="W257" s="124">
        <v>4213</v>
      </c>
      <c r="X257" s="124">
        <v>1905</v>
      </c>
      <c r="Y257" s="124">
        <v>7540</v>
      </c>
      <c r="Z257" s="124">
        <v>5225.1330000000016</v>
      </c>
      <c r="AA257" s="124">
        <v>3325.1319999999996</v>
      </c>
      <c r="AB257" s="124">
        <v>1682.1690000000003</v>
      </c>
      <c r="AC257" s="124">
        <v>6818.9259999999977</v>
      </c>
      <c r="AD257" s="124">
        <v>4825.6469999999999</v>
      </c>
      <c r="AE257" s="124">
        <v>3042.1180000000004</v>
      </c>
      <c r="AF257" s="124">
        <v>1278.4550000000004</v>
      </c>
      <c r="AG257" s="124">
        <v>5243.0819999999994</v>
      </c>
      <c r="AH257" s="124">
        <v>3746.952499999999</v>
      </c>
      <c r="AI257" s="124">
        <v>2421.3310000000001</v>
      </c>
      <c r="AJ257" s="124">
        <v>1235.2635000000002</v>
      </c>
      <c r="AK257" s="124">
        <v>5211.0730000000003</v>
      </c>
      <c r="AL257" s="124">
        <v>3745.7579999999998</v>
      </c>
      <c r="AM257" s="124">
        <v>2433.7349999999997</v>
      </c>
      <c r="AN257" s="124">
        <v>1171.2039999999997</v>
      </c>
      <c r="AO257" s="124">
        <v>4699.5190000000011</v>
      </c>
      <c r="AP257" s="124">
        <v>3474.2979999999998</v>
      </c>
      <c r="AQ257" s="124">
        <v>2295.7780000000002</v>
      </c>
      <c r="AR257" s="124">
        <v>1127.9749999999997</v>
      </c>
      <c r="AS257" s="124">
        <v>4042.3099999999995</v>
      </c>
      <c r="AT257" s="124">
        <v>2897.9419999999996</v>
      </c>
      <c r="AU257" s="124">
        <v>1863.5249999999996</v>
      </c>
      <c r="AV257" s="124">
        <v>836.72</v>
      </c>
      <c r="AW257" s="124">
        <v>3720.6419999999994</v>
      </c>
      <c r="AX257" s="124">
        <v>2648.2569999999996</v>
      </c>
      <c r="AY257" s="124">
        <v>1685.9559999999997</v>
      </c>
      <c r="AZ257" s="76">
        <v>789.62899999999991</v>
      </c>
      <c r="BA257" s="76">
        <v>2677.8680000000004</v>
      </c>
      <c r="BB257" s="76">
        <v>1877.4119999999998</v>
      </c>
      <c r="BC257" s="76">
        <v>1225.8700000000001</v>
      </c>
      <c r="BD257" s="76">
        <v>594.43499999999995</v>
      </c>
      <c r="BE257" s="76">
        <v>2349.1289999999995</v>
      </c>
      <c r="BF257" s="76">
        <v>1644.598</v>
      </c>
      <c r="BG257" s="76">
        <v>1035.7540000000001</v>
      </c>
      <c r="BH257" s="76">
        <v>482.05900000000008</v>
      </c>
      <c r="BI257" s="76">
        <v>2051.6340000000005</v>
      </c>
      <c r="BJ257" s="76">
        <v>1463.8940000000002</v>
      </c>
      <c r="BK257" s="76">
        <v>938.8309999999999</v>
      </c>
      <c r="BL257" s="76">
        <v>439.13100000000003</v>
      </c>
      <c r="BM257" s="75">
        <v>1715.1249999999998</v>
      </c>
      <c r="BN257" s="75">
        <v>1180.4959999999999</v>
      </c>
      <c r="BO257" s="75">
        <v>763.49699999999984</v>
      </c>
      <c r="BP257" s="75">
        <v>337.197</v>
      </c>
      <c r="BQ257" s="75" t="s">
        <v>121</v>
      </c>
      <c r="BR257" s="75" t="s">
        <v>121</v>
      </c>
      <c r="BS257" s="75" t="s">
        <v>121</v>
      </c>
      <c r="BT257" s="75" t="s">
        <v>121</v>
      </c>
      <c r="BU257" s="75" t="s">
        <v>121</v>
      </c>
      <c r="BV257" s="75" t="s">
        <v>121</v>
      </c>
      <c r="BW257" s="75" t="s">
        <v>121</v>
      </c>
      <c r="BX257" s="75" t="s">
        <v>121</v>
      </c>
      <c r="BY257" s="75" t="s">
        <v>121</v>
      </c>
      <c r="BZ257" s="75" t="s">
        <v>121</v>
      </c>
      <c r="CA257" s="75" t="s">
        <v>121</v>
      </c>
      <c r="CB257" s="75" t="s">
        <v>121</v>
      </c>
      <c r="CC257" s="75" t="s">
        <v>121</v>
      </c>
      <c r="CD257" s="75" t="s">
        <v>121</v>
      </c>
      <c r="CE257" s="75" t="s">
        <v>121</v>
      </c>
      <c r="CF257" s="75" t="s">
        <v>121</v>
      </c>
      <c r="CG257" s="75" t="s">
        <v>121</v>
      </c>
      <c r="CH257" s="75" t="s">
        <v>121</v>
      </c>
      <c r="CI257" s="75" t="s">
        <v>121</v>
      </c>
      <c r="CJ257" s="75" t="s">
        <v>121</v>
      </c>
      <c r="CK257" s="75" t="s">
        <v>121</v>
      </c>
      <c r="CL257" s="75" t="s">
        <v>121</v>
      </c>
      <c r="CM257" s="75" t="s">
        <v>121</v>
      </c>
      <c r="CN257" s="75" t="s">
        <v>121</v>
      </c>
      <c r="CO257" s="75" t="s">
        <v>121</v>
      </c>
      <c r="CP257" s="75" t="s">
        <v>121</v>
      </c>
      <c r="CQ257" s="75" t="s">
        <v>121</v>
      </c>
      <c r="CR257" s="75" t="s">
        <v>121</v>
      </c>
      <c r="CS257" s="75" t="s">
        <v>121</v>
      </c>
      <c r="CT257" s="75" t="s">
        <v>121</v>
      </c>
      <c r="CU257" s="75" t="s">
        <v>121</v>
      </c>
      <c r="CV257" s="75" t="s">
        <v>121</v>
      </c>
      <c r="CW257" s="75" t="s">
        <v>121</v>
      </c>
      <c r="CX257" s="75" t="s">
        <v>121</v>
      </c>
      <c r="CY257" s="75" t="s">
        <v>121</v>
      </c>
      <c r="CZ257" s="75" t="s">
        <v>121</v>
      </c>
      <c r="DA257" s="75" t="s">
        <v>121</v>
      </c>
      <c r="DB257" s="75" t="s">
        <v>121</v>
      </c>
      <c r="DC257" s="75" t="s">
        <v>121</v>
      </c>
      <c r="DD257" s="75" t="s">
        <v>121</v>
      </c>
      <c r="DE257" s="75" t="s">
        <v>121</v>
      </c>
      <c r="DF257" s="75" t="s">
        <v>121</v>
      </c>
      <c r="DG257" s="75" t="s">
        <v>121</v>
      </c>
      <c r="DH257" s="75" t="s">
        <v>121</v>
      </c>
      <c r="DI257" s="75" t="s">
        <v>121</v>
      </c>
      <c r="DJ257" s="75" t="s">
        <v>121</v>
      </c>
      <c r="DK257" s="75" t="s">
        <v>121</v>
      </c>
      <c r="DL257" s="75" t="s">
        <v>121</v>
      </c>
      <c r="DM257" s="75" t="s">
        <v>121</v>
      </c>
      <c r="DN257" s="75" t="s">
        <v>121</v>
      </c>
      <c r="DO257" s="75" t="s">
        <v>121</v>
      </c>
      <c r="DP257" s="75" t="s">
        <v>121</v>
      </c>
      <c r="DQ257" s="75" t="s">
        <v>121</v>
      </c>
      <c r="DR257" s="75" t="s">
        <v>121</v>
      </c>
      <c r="DS257" s="75" t="s">
        <v>121</v>
      </c>
      <c r="DT257" s="75" t="s">
        <v>121</v>
      </c>
      <c r="DU257" s="75" t="s">
        <v>121</v>
      </c>
      <c r="DV257" s="75" t="s">
        <v>121</v>
      </c>
      <c r="DW257" s="75" t="s">
        <v>121</v>
      </c>
      <c r="DX257" s="75" t="s">
        <v>121</v>
      </c>
      <c r="DY257" s="75" t="s">
        <v>121</v>
      </c>
      <c r="DZ257" s="75" t="s">
        <v>121</v>
      </c>
      <c r="EA257" s="75" t="s">
        <v>121</v>
      </c>
      <c r="EB257" s="75" t="s">
        <v>121</v>
      </c>
      <c r="EC257" s="75" t="s">
        <v>121</v>
      </c>
      <c r="ED257" s="75" t="s">
        <v>121</v>
      </c>
      <c r="EE257" s="75" t="s">
        <v>121</v>
      </c>
      <c r="EF257" s="75" t="s">
        <v>121</v>
      </c>
      <c r="EG257" s="75" t="s">
        <v>121</v>
      </c>
      <c r="EH257" s="75" t="s">
        <v>121</v>
      </c>
      <c r="EI257" s="75" t="s">
        <v>121</v>
      </c>
      <c r="EJ257" s="75" t="s">
        <v>121</v>
      </c>
      <c r="EK257" s="75" t="s">
        <v>121</v>
      </c>
      <c r="EL257" s="75" t="s">
        <v>121</v>
      </c>
      <c r="EM257" s="75" t="s">
        <v>121</v>
      </c>
      <c r="EN257" s="75" t="s">
        <v>121</v>
      </c>
      <c r="EO257" s="75" t="s">
        <v>121</v>
      </c>
      <c r="EP257" s="75" t="s">
        <v>121</v>
      </c>
      <c r="EQ257" s="75" t="s">
        <v>121</v>
      </c>
      <c r="ER257" s="75" t="s">
        <v>121</v>
      </c>
      <c r="ES257" s="75" t="s">
        <v>121</v>
      </c>
      <c r="ET257" s="75" t="s">
        <v>121</v>
      </c>
      <c r="EU257" s="75" t="s">
        <v>121</v>
      </c>
      <c r="EV257" s="75" t="s">
        <v>121</v>
      </c>
      <c r="EW257" s="75" t="s">
        <v>121</v>
      </c>
      <c r="EX257" s="75" t="s">
        <v>121</v>
      </c>
    </row>
    <row r="258" spans="1:154" x14ac:dyDescent="0.25">
      <c r="A258" s="72">
        <v>258</v>
      </c>
      <c r="F258" s="337"/>
      <c r="G258" s="337"/>
      <c r="H258" s="337"/>
      <c r="I258" s="337"/>
      <c r="J258" s="337"/>
      <c r="K258" s="337"/>
      <c r="L258" s="337"/>
      <c r="M258" s="337"/>
      <c r="N258" s="337"/>
      <c r="O258" s="337"/>
      <c r="P258" s="337"/>
      <c r="Q258" s="337"/>
      <c r="R258" s="337"/>
      <c r="S258" s="337"/>
      <c r="T258" s="337"/>
      <c r="U258" s="339"/>
      <c r="V258" s="340"/>
      <c r="W258" s="338"/>
      <c r="X258" s="337"/>
      <c r="Y258" s="337"/>
      <c r="Z258" s="337"/>
      <c r="AA258" s="337"/>
      <c r="AB258" s="337"/>
      <c r="AC258" s="337"/>
      <c r="AD258" s="337"/>
      <c r="AE258" s="337"/>
      <c r="AF258" s="337"/>
      <c r="AG258" s="337"/>
      <c r="AH258" s="337"/>
      <c r="AI258" s="337"/>
      <c r="AJ258" s="337"/>
      <c r="AK258" s="337"/>
      <c r="AL258" s="337"/>
      <c r="AM258" s="337"/>
      <c r="AN258" s="337"/>
      <c r="AO258" s="337"/>
      <c r="AP258" s="337"/>
    </row>
    <row r="259" spans="1:154" x14ac:dyDescent="0.25">
      <c r="A259" s="72">
        <v>259</v>
      </c>
      <c r="AR259" s="79"/>
      <c r="AS259" s="79"/>
      <c r="AT259" s="79"/>
      <c r="AU259" s="79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</row>
    <row r="260" spans="1:154" x14ac:dyDescent="0.25">
      <c r="A260" s="72">
        <v>260</v>
      </c>
      <c r="B260" s="426" t="s">
        <v>472</v>
      </c>
      <c r="C260" s="462" t="s">
        <v>433</v>
      </c>
      <c r="D260" s="333" t="s">
        <v>121</v>
      </c>
      <c r="E260" s="462" t="s">
        <v>434</v>
      </c>
      <c r="F260" s="416" t="s">
        <v>197</v>
      </c>
      <c r="G260" s="416" t="s">
        <v>198</v>
      </c>
      <c r="H260" s="416" t="s">
        <v>131</v>
      </c>
      <c r="I260" s="416" t="s">
        <v>199</v>
      </c>
      <c r="J260" s="416" t="s">
        <v>200</v>
      </c>
      <c r="K260" s="416" t="s">
        <v>201</v>
      </c>
      <c r="L260" s="416" t="s">
        <v>135</v>
      </c>
      <c r="M260" s="416" t="s">
        <v>202</v>
      </c>
      <c r="N260" s="416" t="s">
        <v>203</v>
      </c>
      <c r="O260" s="416" t="s">
        <v>204</v>
      </c>
      <c r="P260" s="416" t="s">
        <v>139</v>
      </c>
      <c r="Q260" s="416" t="s">
        <v>205</v>
      </c>
      <c r="R260" s="416" t="s">
        <v>206</v>
      </c>
      <c r="S260" s="416" t="s">
        <v>435</v>
      </c>
      <c r="T260" s="416" t="s">
        <v>143</v>
      </c>
      <c r="U260" s="416" t="s">
        <v>208</v>
      </c>
      <c r="V260" s="416" t="s">
        <v>209</v>
      </c>
      <c r="W260" s="416" t="s">
        <v>207</v>
      </c>
      <c r="X260" s="419" t="s">
        <v>147</v>
      </c>
      <c r="Y260" s="416" t="s">
        <v>210</v>
      </c>
      <c r="Z260" s="416" t="s">
        <v>211</v>
      </c>
      <c r="AA260" s="416" t="s">
        <v>212</v>
      </c>
      <c r="AB260" s="416" t="s">
        <v>151</v>
      </c>
      <c r="AC260" s="416" t="s">
        <v>213</v>
      </c>
      <c r="AD260" s="416" t="s">
        <v>214</v>
      </c>
      <c r="AE260" s="416" t="s">
        <v>215</v>
      </c>
      <c r="AF260" s="416" t="s">
        <v>155</v>
      </c>
      <c r="AG260" s="416" t="s">
        <v>216</v>
      </c>
      <c r="AH260" s="416" t="s">
        <v>217</v>
      </c>
      <c r="AI260" s="416" t="s">
        <v>218</v>
      </c>
      <c r="AJ260" s="416" t="s">
        <v>159</v>
      </c>
      <c r="AK260" s="416" t="s">
        <v>219</v>
      </c>
      <c r="AL260" s="416" t="s">
        <v>220</v>
      </c>
      <c r="AM260" s="416" t="s">
        <v>221</v>
      </c>
      <c r="AN260" s="416" t="s">
        <v>163</v>
      </c>
      <c r="AO260" s="416" t="s">
        <v>222</v>
      </c>
      <c r="AP260" s="416" t="s">
        <v>223</v>
      </c>
      <c r="AQ260" s="416" t="s">
        <v>224</v>
      </c>
      <c r="AR260" s="416" t="s">
        <v>167</v>
      </c>
      <c r="AS260" s="416" t="s">
        <v>225</v>
      </c>
      <c r="AT260" s="416" t="s">
        <v>226</v>
      </c>
      <c r="AU260" s="416" t="s">
        <v>227</v>
      </c>
      <c r="AV260" s="416" t="s">
        <v>171</v>
      </c>
      <c r="AW260" s="416" t="s">
        <v>228</v>
      </c>
      <c r="AX260" s="416" t="s">
        <v>229</v>
      </c>
      <c r="AY260" s="416" t="s">
        <v>230</v>
      </c>
      <c r="AZ260" s="416" t="s">
        <v>175</v>
      </c>
      <c r="BA260" s="416" t="s">
        <v>231</v>
      </c>
      <c r="BB260" s="416" t="s">
        <v>232</v>
      </c>
      <c r="BC260" s="416" t="s">
        <v>233</v>
      </c>
      <c r="BD260" s="416" t="s">
        <v>179</v>
      </c>
      <c r="BE260" s="416" t="s">
        <v>234</v>
      </c>
      <c r="BF260" s="416" t="s">
        <v>235</v>
      </c>
      <c r="BG260" s="416" t="s">
        <v>236</v>
      </c>
      <c r="BH260" s="416" t="s">
        <v>183</v>
      </c>
      <c r="BI260" s="416" t="s">
        <v>237</v>
      </c>
      <c r="BJ260" s="416" t="s">
        <v>238</v>
      </c>
      <c r="BK260" s="416" t="s">
        <v>239</v>
      </c>
      <c r="BL260" s="416" t="s">
        <v>187</v>
      </c>
      <c r="BM260" s="1" t="s">
        <v>240</v>
      </c>
      <c r="BN260" s="1" t="s">
        <v>241</v>
      </c>
      <c r="BO260" s="1" t="s">
        <v>242</v>
      </c>
      <c r="BP260" s="1" t="s">
        <v>191</v>
      </c>
      <c r="BQ260" s="1" t="s">
        <v>121</v>
      </c>
      <c r="BR260" s="1" t="s">
        <v>121</v>
      </c>
      <c r="BS260" s="1" t="s">
        <v>121</v>
      </c>
      <c r="BT260" s="1" t="s">
        <v>121</v>
      </c>
      <c r="BU260" s="1" t="s">
        <v>121</v>
      </c>
      <c r="BV260" s="1" t="s">
        <v>121</v>
      </c>
      <c r="BW260" s="1" t="s">
        <v>121</v>
      </c>
      <c r="BX260" s="1" t="s">
        <v>121</v>
      </c>
      <c r="BY260" s="1" t="s">
        <v>121</v>
      </c>
      <c r="BZ260" s="1" t="s">
        <v>121</v>
      </c>
      <c r="CA260" s="1" t="s">
        <v>121</v>
      </c>
      <c r="CB260" s="1" t="s">
        <v>121</v>
      </c>
      <c r="CC260" s="1" t="s">
        <v>121</v>
      </c>
      <c r="CD260" s="1" t="s">
        <v>121</v>
      </c>
      <c r="CE260" s="1" t="s">
        <v>121</v>
      </c>
      <c r="CF260" s="1" t="s">
        <v>121</v>
      </c>
      <c r="CG260" s="1" t="s">
        <v>121</v>
      </c>
      <c r="CH260" s="1" t="s">
        <v>121</v>
      </c>
      <c r="CI260" s="1" t="s">
        <v>121</v>
      </c>
      <c r="CJ260" s="1" t="s">
        <v>121</v>
      </c>
      <c r="CK260" s="1" t="s">
        <v>121</v>
      </c>
      <c r="CL260" s="1" t="s">
        <v>121</v>
      </c>
      <c r="CM260" s="1" t="s">
        <v>121</v>
      </c>
      <c r="CN260" s="1" t="s">
        <v>121</v>
      </c>
      <c r="CO260" s="1" t="s">
        <v>121</v>
      </c>
      <c r="CP260" s="1" t="s">
        <v>121</v>
      </c>
      <c r="CQ260" s="1" t="s">
        <v>121</v>
      </c>
      <c r="CR260" s="1" t="s">
        <v>121</v>
      </c>
      <c r="CS260" s="1" t="s">
        <v>121</v>
      </c>
      <c r="CT260" s="1" t="s">
        <v>121</v>
      </c>
      <c r="CU260" s="1" t="s">
        <v>121</v>
      </c>
      <c r="CV260" s="1" t="s">
        <v>121</v>
      </c>
      <c r="CW260" s="1" t="s">
        <v>121</v>
      </c>
      <c r="CX260" s="1" t="s">
        <v>121</v>
      </c>
      <c r="CY260" s="1" t="s">
        <v>121</v>
      </c>
      <c r="CZ260" s="1" t="s">
        <v>121</v>
      </c>
      <c r="DA260" s="1" t="s">
        <v>121</v>
      </c>
      <c r="DB260" s="1" t="s">
        <v>121</v>
      </c>
      <c r="DC260" s="1" t="s">
        <v>121</v>
      </c>
      <c r="DD260" s="1" t="s">
        <v>121</v>
      </c>
      <c r="DE260" s="1" t="s">
        <v>121</v>
      </c>
      <c r="DF260" s="1" t="s">
        <v>121</v>
      </c>
      <c r="DG260" s="1" t="s">
        <v>121</v>
      </c>
      <c r="DH260" s="1" t="s">
        <v>121</v>
      </c>
      <c r="DI260" s="1" t="s">
        <v>121</v>
      </c>
      <c r="DJ260" s="1" t="s">
        <v>121</v>
      </c>
      <c r="DK260" s="1" t="s">
        <v>121</v>
      </c>
      <c r="DL260" s="1" t="s">
        <v>121</v>
      </c>
      <c r="DM260" s="1" t="s">
        <v>121</v>
      </c>
      <c r="DN260" s="1" t="s">
        <v>121</v>
      </c>
      <c r="DO260" s="1" t="s">
        <v>121</v>
      </c>
      <c r="DP260" s="1" t="s">
        <v>121</v>
      </c>
      <c r="DQ260" s="1" t="s">
        <v>121</v>
      </c>
      <c r="DR260" s="1" t="s">
        <v>121</v>
      </c>
      <c r="DS260" s="1" t="s">
        <v>121</v>
      </c>
      <c r="DT260" s="1" t="s">
        <v>121</v>
      </c>
      <c r="DU260" s="1" t="s">
        <v>121</v>
      </c>
      <c r="DV260" s="1" t="s">
        <v>121</v>
      </c>
      <c r="DW260" s="1" t="s">
        <v>121</v>
      </c>
      <c r="DX260" s="1" t="s">
        <v>121</v>
      </c>
      <c r="DY260" s="1" t="s">
        <v>121</v>
      </c>
      <c r="DZ260" s="1" t="s">
        <v>121</v>
      </c>
      <c r="EA260" s="1" t="s">
        <v>121</v>
      </c>
      <c r="EB260" s="1" t="s">
        <v>121</v>
      </c>
      <c r="EC260" s="1" t="s">
        <v>121</v>
      </c>
      <c r="ED260" s="1" t="s">
        <v>121</v>
      </c>
      <c r="EE260" s="1" t="s">
        <v>121</v>
      </c>
      <c r="EF260" s="1" t="s">
        <v>121</v>
      </c>
      <c r="EG260" s="1" t="s">
        <v>121</v>
      </c>
      <c r="EH260" s="1" t="s">
        <v>121</v>
      </c>
      <c r="EI260" s="1" t="s">
        <v>121</v>
      </c>
      <c r="EJ260" s="1" t="s">
        <v>121</v>
      </c>
      <c r="EK260" s="1" t="s">
        <v>121</v>
      </c>
      <c r="EL260" s="1" t="s">
        <v>121</v>
      </c>
      <c r="EM260" s="1" t="s">
        <v>121</v>
      </c>
      <c r="EN260" s="1" t="s">
        <v>121</v>
      </c>
      <c r="EO260" s="1" t="s">
        <v>121</v>
      </c>
      <c r="EP260" s="1" t="s">
        <v>121</v>
      </c>
      <c r="EQ260" s="1" t="s">
        <v>121</v>
      </c>
      <c r="ER260" s="1" t="s">
        <v>121</v>
      </c>
      <c r="ES260" s="1" t="s">
        <v>121</v>
      </c>
      <c r="ET260" s="1" t="s">
        <v>121</v>
      </c>
      <c r="EU260" s="1" t="s">
        <v>121</v>
      </c>
      <c r="EV260" s="1" t="s">
        <v>121</v>
      </c>
      <c r="EW260" s="1" t="s">
        <v>121</v>
      </c>
      <c r="EX260" s="1" t="s">
        <v>121</v>
      </c>
    </row>
    <row r="261" spans="1:154" x14ac:dyDescent="0.25">
      <c r="A261" s="72">
        <v>261</v>
      </c>
      <c r="B261" s="427"/>
      <c r="C261" s="463"/>
      <c r="D261" s="334"/>
      <c r="E261" s="463"/>
      <c r="F261" s="417"/>
      <c r="G261" s="417"/>
      <c r="H261" s="418"/>
      <c r="I261" s="417"/>
      <c r="J261" s="417"/>
      <c r="K261" s="417"/>
      <c r="L261" s="418"/>
      <c r="M261" s="417"/>
      <c r="N261" s="417"/>
      <c r="O261" s="417"/>
      <c r="P261" s="418"/>
      <c r="Q261" s="418"/>
      <c r="R261" s="417"/>
      <c r="S261" s="417"/>
      <c r="T261" s="418"/>
      <c r="U261" s="418"/>
      <c r="V261" s="418"/>
      <c r="W261" s="417"/>
      <c r="X261" s="420"/>
      <c r="Y261" s="418"/>
      <c r="Z261" s="418"/>
      <c r="AA261" s="417"/>
      <c r="AB261" s="417"/>
      <c r="AC261" s="417"/>
      <c r="AD261" s="417"/>
      <c r="AE261" s="417"/>
      <c r="AF261" s="418"/>
      <c r="AG261" s="417"/>
      <c r="AH261" s="417"/>
      <c r="AI261" s="417"/>
      <c r="AJ261" s="418"/>
      <c r="AK261" s="417"/>
      <c r="AL261" s="417"/>
      <c r="AM261" s="417"/>
      <c r="AN261" s="418"/>
      <c r="AO261" s="418"/>
      <c r="AP261" s="418"/>
      <c r="AQ261" s="417"/>
      <c r="AR261" s="417"/>
      <c r="AS261" s="417"/>
      <c r="AT261" s="417"/>
      <c r="AU261" s="417"/>
      <c r="AV261" s="417"/>
      <c r="AW261" s="417"/>
      <c r="AX261" s="417"/>
      <c r="AY261" s="417"/>
      <c r="AZ261" s="417"/>
      <c r="BA261" s="417"/>
      <c r="BB261" s="417"/>
      <c r="BC261" s="417"/>
      <c r="BD261" s="417"/>
      <c r="BE261" s="417"/>
      <c r="BF261" s="417"/>
      <c r="BG261" s="417"/>
      <c r="BH261" s="417"/>
      <c r="BI261" s="417"/>
      <c r="BJ261" s="417"/>
      <c r="BK261" s="417"/>
      <c r="BL261" s="417"/>
    </row>
    <row r="262" spans="1:154" x14ac:dyDescent="0.25">
      <c r="A262" s="72">
        <v>262</v>
      </c>
      <c r="B262" s="8" t="s">
        <v>4</v>
      </c>
      <c r="C262" s="87" t="s">
        <v>121</v>
      </c>
      <c r="D262" s="56" t="s">
        <v>121</v>
      </c>
      <c r="E262" s="88" t="s">
        <v>121</v>
      </c>
      <c r="F262" s="56" t="s">
        <v>121</v>
      </c>
      <c r="G262" s="56" t="s">
        <v>121</v>
      </c>
      <c r="H262" s="56" t="s">
        <v>121</v>
      </c>
      <c r="I262" s="56" t="s">
        <v>121</v>
      </c>
      <c r="J262" s="56" t="s">
        <v>121</v>
      </c>
      <c r="K262" s="56" t="s">
        <v>121</v>
      </c>
      <c r="L262" s="56" t="s">
        <v>121</v>
      </c>
      <c r="M262" s="56" t="s">
        <v>121</v>
      </c>
      <c r="N262" s="56" t="s">
        <v>121</v>
      </c>
      <c r="O262" s="56" t="s">
        <v>121</v>
      </c>
      <c r="P262" s="56" t="s">
        <v>121</v>
      </c>
      <c r="Q262" s="56" t="s">
        <v>121</v>
      </c>
      <c r="R262" s="56" t="s">
        <v>121</v>
      </c>
      <c r="S262" s="56" t="s">
        <v>121</v>
      </c>
      <c r="T262" s="56" t="s">
        <v>121</v>
      </c>
      <c r="U262" s="56" t="s">
        <v>121</v>
      </c>
      <c r="V262" s="56" t="s">
        <v>121</v>
      </c>
      <c r="W262" s="56" t="s">
        <v>121</v>
      </c>
      <c r="X262" s="56" t="s">
        <v>121</v>
      </c>
      <c r="Y262" s="56" t="s">
        <v>121</v>
      </c>
      <c r="Z262" s="56" t="s">
        <v>121</v>
      </c>
      <c r="AA262" s="56" t="s">
        <v>121</v>
      </c>
      <c r="AB262" s="56" t="s">
        <v>121</v>
      </c>
      <c r="AC262" s="56" t="s">
        <v>121</v>
      </c>
      <c r="AD262" s="56" t="s">
        <v>121</v>
      </c>
      <c r="AE262" s="56" t="s">
        <v>121</v>
      </c>
      <c r="AF262" s="56" t="s">
        <v>121</v>
      </c>
      <c r="AG262" s="56" t="s">
        <v>121</v>
      </c>
      <c r="AH262" s="56" t="s">
        <v>121</v>
      </c>
      <c r="AI262" s="56" t="s">
        <v>121</v>
      </c>
      <c r="AJ262" s="56" t="s">
        <v>121</v>
      </c>
      <c r="AK262" s="56" t="s">
        <v>121</v>
      </c>
      <c r="AL262" s="56" t="s">
        <v>121</v>
      </c>
      <c r="AM262" s="56" t="s">
        <v>121</v>
      </c>
      <c r="AN262" s="56" t="s">
        <v>121</v>
      </c>
      <c r="AO262" s="56" t="s">
        <v>121</v>
      </c>
      <c r="AP262" s="56" t="s">
        <v>121</v>
      </c>
      <c r="AQ262" s="56" t="s">
        <v>121</v>
      </c>
      <c r="AR262" s="56" t="s">
        <v>121</v>
      </c>
      <c r="AS262" s="56" t="s">
        <v>121</v>
      </c>
      <c r="AT262" s="56" t="s">
        <v>121</v>
      </c>
      <c r="AU262" s="56" t="s">
        <v>121</v>
      </c>
      <c r="AV262" s="56" t="s">
        <v>121</v>
      </c>
      <c r="AW262" s="56" t="s">
        <v>121</v>
      </c>
      <c r="AX262" s="56" t="s">
        <v>121</v>
      </c>
      <c r="AY262" s="56" t="s">
        <v>121</v>
      </c>
      <c r="AZ262" s="8" t="s">
        <v>121</v>
      </c>
      <c r="BA262" s="1" t="s">
        <v>121</v>
      </c>
      <c r="BB262" s="1" t="s">
        <v>121</v>
      </c>
      <c r="BC262" s="1" t="s">
        <v>121</v>
      </c>
      <c r="BD262" s="1" t="s">
        <v>121</v>
      </c>
      <c r="BE262" s="1" t="s">
        <v>121</v>
      </c>
      <c r="BF262" s="1" t="s">
        <v>121</v>
      </c>
      <c r="BG262" s="1" t="s">
        <v>121</v>
      </c>
      <c r="BH262" s="1" t="s">
        <v>121</v>
      </c>
      <c r="BI262" s="1" t="s">
        <v>121</v>
      </c>
      <c r="BJ262" s="1" t="s">
        <v>121</v>
      </c>
      <c r="BK262" s="1" t="s">
        <v>121</v>
      </c>
      <c r="BL262" s="1" t="s">
        <v>121</v>
      </c>
      <c r="BM262" s="1" t="s">
        <v>121</v>
      </c>
      <c r="BN262" s="1" t="s">
        <v>121</v>
      </c>
      <c r="BO262" s="1" t="s">
        <v>121</v>
      </c>
      <c r="BP262" s="1" t="s">
        <v>121</v>
      </c>
      <c r="BQ262" s="1" t="s">
        <v>121</v>
      </c>
      <c r="BR262" s="1" t="s">
        <v>121</v>
      </c>
      <c r="BS262" s="1" t="s">
        <v>121</v>
      </c>
      <c r="BT262" s="1" t="s">
        <v>121</v>
      </c>
      <c r="BU262" s="1" t="s">
        <v>121</v>
      </c>
      <c r="BV262" s="1" t="s">
        <v>121</v>
      </c>
      <c r="BW262" s="1" t="s">
        <v>121</v>
      </c>
      <c r="BX262" s="1" t="s">
        <v>121</v>
      </c>
      <c r="BY262" s="1" t="s">
        <v>121</v>
      </c>
      <c r="BZ262" s="1" t="s">
        <v>121</v>
      </c>
      <c r="CA262" s="1" t="s">
        <v>121</v>
      </c>
      <c r="CB262" s="1" t="s">
        <v>121</v>
      </c>
      <c r="CC262" s="1" t="s">
        <v>121</v>
      </c>
      <c r="CD262" s="1" t="s">
        <v>121</v>
      </c>
      <c r="CE262" s="1" t="s">
        <v>121</v>
      </c>
      <c r="CF262" s="1" t="s">
        <v>121</v>
      </c>
      <c r="CG262" s="1" t="s">
        <v>121</v>
      </c>
      <c r="CH262" s="1" t="s">
        <v>121</v>
      </c>
      <c r="CI262" s="1" t="s">
        <v>121</v>
      </c>
      <c r="CJ262" s="1" t="s">
        <v>121</v>
      </c>
      <c r="CK262" s="1" t="s">
        <v>121</v>
      </c>
      <c r="CL262" s="1" t="s">
        <v>121</v>
      </c>
      <c r="CM262" s="1" t="s">
        <v>121</v>
      </c>
      <c r="CN262" s="1" t="s">
        <v>121</v>
      </c>
      <c r="CO262" s="1" t="s">
        <v>121</v>
      </c>
      <c r="CP262" s="1" t="s">
        <v>121</v>
      </c>
      <c r="CQ262" s="1" t="s">
        <v>121</v>
      </c>
      <c r="CR262" s="1" t="s">
        <v>121</v>
      </c>
      <c r="CS262" s="1" t="s">
        <v>121</v>
      </c>
      <c r="CT262" s="1" t="s">
        <v>121</v>
      </c>
      <c r="CU262" s="1" t="s">
        <v>121</v>
      </c>
      <c r="CV262" s="1" t="s">
        <v>121</v>
      </c>
      <c r="CW262" s="1" t="s">
        <v>121</v>
      </c>
      <c r="CX262" s="1" t="s">
        <v>121</v>
      </c>
      <c r="CY262" s="1" t="s">
        <v>121</v>
      </c>
      <c r="CZ262" s="1" t="s">
        <v>121</v>
      </c>
      <c r="DA262" s="1" t="s">
        <v>121</v>
      </c>
      <c r="DB262" s="1" t="s">
        <v>121</v>
      </c>
      <c r="DC262" s="1" t="s">
        <v>121</v>
      </c>
      <c r="DD262" s="1" t="s">
        <v>121</v>
      </c>
      <c r="DE262" s="1" t="s">
        <v>121</v>
      </c>
      <c r="DF262" s="1" t="s">
        <v>121</v>
      </c>
      <c r="DG262" s="1" t="s">
        <v>121</v>
      </c>
      <c r="DH262" s="1" t="s">
        <v>121</v>
      </c>
      <c r="DI262" s="1" t="s">
        <v>121</v>
      </c>
      <c r="DJ262" s="1" t="s">
        <v>121</v>
      </c>
      <c r="DK262" s="1" t="s">
        <v>121</v>
      </c>
      <c r="DL262" s="1" t="s">
        <v>121</v>
      </c>
      <c r="DM262" s="1" t="s">
        <v>121</v>
      </c>
      <c r="DN262" s="1" t="s">
        <v>121</v>
      </c>
      <c r="DO262" s="1" t="s">
        <v>121</v>
      </c>
      <c r="DP262" s="1" t="s">
        <v>121</v>
      </c>
      <c r="DQ262" s="1" t="s">
        <v>121</v>
      </c>
      <c r="DR262" s="1" t="s">
        <v>121</v>
      </c>
      <c r="DS262" s="1" t="s">
        <v>121</v>
      </c>
      <c r="DT262" s="1" t="s">
        <v>121</v>
      </c>
      <c r="DU262" s="1" t="s">
        <v>121</v>
      </c>
      <c r="DV262" s="1" t="s">
        <v>121</v>
      </c>
      <c r="DW262" s="1" t="s">
        <v>121</v>
      </c>
      <c r="DX262" s="1" t="s">
        <v>121</v>
      </c>
      <c r="DY262" s="1" t="s">
        <v>121</v>
      </c>
      <c r="DZ262" s="1" t="s">
        <v>121</v>
      </c>
      <c r="EA262" s="1" t="s">
        <v>121</v>
      </c>
      <c r="EB262" s="1" t="s">
        <v>121</v>
      </c>
      <c r="EC262" s="1" t="s">
        <v>121</v>
      </c>
      <c r="ED262" s="1" t="s">
        <v>121</v>
      </c>
      <c r="EE262" s="1" t="s">
        <v>121</v>
      </c>
      <c r="EF262" s="1" t="s">
        <v>121</v>
      </c>
      <c r="EG262" s="1" t="s">
        <v>121</v>
      </c>
      <c r="EH262" s="1" t="s">
        <v>121</v>
      </c>
      <c r="EI262" s="1" t="s">
        <v>121</v>
      </c>
      <c r="EJ262" s="1" t="s">
        <v>121</v>
      </c>
      <c r="EK262" s="1" t="s">
        <v>121</v>
      </c>
      <c r="EL262" s="1" t="s">
        <v>121</v>
      </c>
      <c r="EM262" s="1" t="s">
        <v>121</v>
      </c>
      <c r="EN262" s="1" t="s">
        <v>121</v>
      </c>
      <c r="EO262" s="1" t="s">
        <v>121</v>
      </c>
      <c r="EP262" s="1" t="s">
        <v>121</v>
      </c>
      <c r="EQ262" s="1" t="s">
        <v>121</v>
      </c>
      <c r="ER262" s="1" t="s">
        <v>121</v>
      </c>
      <c r="ES262" s="1" t="s">
        <v>121</v>
      </c>
      <c r="ET262" s="1" t="s">
        <v>121</v>
      </c>
      <c r="EU262" s="1" t="s">
        <v>121</v>
      </c>
      <c r="EV262" s="1" t="s">
        <v>121</v>
      </c>
      <c r="EW262" s="1" t="s">
        <v>121</v>
      </c>
      <c r="EX262" s="1" t="s">
        <v>121</v>
      </c>
    </row>
    <row r="263" spans="1:154" x14ac:dyDescent="0.25">
      <c r="A263" s="72">
        <v>263</v>
      </c>
      <c r="B263" s="73" t="s">
        <v>416</v>
      </c>
      <c r="C263" s="91" t="s">
        <v>121</v>
      </c>
      <c r="D263" s="86" t="s">
        <v>121</v>
      </c>
      <c r="E263" s="92" t="s">
        <v>121</v>
      </c>
      <c r="F263" s="86" t="s">
        <v>121</v>
      </c>
      <c r="G263" s="86" t="s">
        <v>121</v>
      </c>
      <c r="H263" s="86" t="s">
        <v>121</v>
      </c>
      <c r="I263" s="86" t="s">
        <v>121</v>
      </c>
      <c r="J263" s="86" t="s">
        <v>121</v>
      </c>
      <c r="K263" s="86" t="s">
        <v>121</v>
      </c>
      <c r="L263" s="86" t="s">
        <v>121</v>
      </c>
      <c r="M263" s="86" t="s">
        <v>121</v>
      </c>
      <c r="N263" s="86" t="s">
        <v>121</v>
      </c>
      <c r="O263" s="86" t="s">
        <v>121</v>
      </c>
      <c r="P263" s="86" t="s">
        <v>121</v>
      </c>
      <c r="Q263" s="86" t="s">
        <v>121</v>
      </c>
      <c r="R263" s="86" t="s">
        <v>121</v>
      </c>
      <c r="S263" s="86" t="s">
        <v>121</v>
      </c>
      <c r="T263" s="86" t="s">
        <v>121</v>
      </c>
      <c r="U263" s="86" t="s">
        <v>121</v>
      </c>
      <c r="V263" s="86" t="s">
        <v>121</v>
      </c>
      <c r="W263" s="86" t="s">
        <v>121</v>
      </c>
      <c r="X263" s="86" t="s">
        <v>121</v>
      </c>
      <c r="Y263" s="86" t="s">
        <v>121</v>
      </c>
      <c r="Z263" s="86" t="s">
        <v>121</v>
      </c>
      <c r="AA263" s="86" t="s">
        <v>121</v>
      </c>
      <c r="AB263" s="86" t="s">
        <v>121</v>
      </c>
      <c r="AC263" s="86" t="s">
        <v>121</v>
      </c>
      <c r="AD263" s="86" t="s">
        <v>121</v>
      </c>
      <c r="AE263" s="86" t="s">
        <v>121</v>
      </c>
      <c r="AF263" s="86" t="s">
        <v>121</v>
      </c>
      <c r="AG263" s="86" t="s">
        <v>121</v>
      </c>
      <c r="AH263" s="86" t="s">
        <v>121</v>
      </c>
      <c r="AI263" s="86" t="s">
        <v>121</v>
      </c>
      <c r="AJ263" s="86" t="s">
        <v>121</v>
      </c>
      <c r="AK263" s="86" t="s">
        <v>121</v>
      </c>
      <c r="AL263" s="86" t="s">
        <v>121</v>
      </c>
      <c r="AM263" s="86" t="s">
        <v>121</v>
      </c>
      <c r="AN263" s="86" t="s">
        <v>121</v>
      </c>
      <c r="AO263" s="86" t="s">
        <v>121</v>
      </c>
      <c r="AP263" s="86" t="s">
        <v>121</v>
      </c>
      <c r="AQ263" s="86" t="s">
        <v>121</v>
      </c>
      <c r="AR263" s="86" t="s">
        <v>121</v>
      </c>
      <c r="AS263" s="86" t="s">
        <v>121</v>
      </c>
      <c r="AT263" s="86" t="s">
        <v>121</v>
      </c>
      <c r="AU263" s="86" t="s">
        <v>121</v>
      </c>
      <c r="AV263" s="86" t="s">
        <v>121</v>
      </c>
      <c r="AW263" s="86" t="s">
        <v>121</v>
      </c>
      <c r="AX263" s="86" t="s">
        <v>121</v>
      </c>
      <c r="AY263" s="86" t="s">
        <v>121</v>
      </c>
      <c r="AZ263" s="73" t="s">
        <v>121</v>
      </c>
      <c r="BA263" s="55" t="s">
        <v>121</v>
      </c>
      <c r="BB263" s="55" t="s">
        <v>121</v>
      </c>
      <c r="BC263" s="55" t="s">
        <v>121</v>
      </c>
      <c r="BD263" s="55" t="s">
        <v>121</v>
      </c>
      <c r="BE263" s="55" t="s">
        <v>121</v>
      </c>
      <c r="BF263" s="55" t="s">
        <v>121</v>
      </c>
      <c r="BG263" s="55" t="s">
        <v>121</v>
      </c>
      <c r="BH263" s="55" t="s">
        <v>121</v>
      </c>
      <c r="BI263" s="55" t="s">
        <v>121</v>
      </c>
      <c r="BJ263" s="55" t="s">
        <v>121</v>
      </c>
      <c r="BK263" s="55" t="s">
        <v>121</v>
      </c>
      <c r="BL263" s="55" t="s">
        <v>121</v>
      </c>
      <c r="BM263" s="1" t="s">
        <v>121</v>
      </c>
      <c r="BN263" s="1" t="s">
        <v>121</v>
      </c>
      <c r="BO263" s="1" t="s">
        <v>121</v>
      </c>
      <c r="BP263" s="1" t="s">
        <v>121</v>
      </c>
      <c r="BQ263" s="1" t="s">
        <v>121</v>
      </c>
      <c r="BR263" s="1" t="s">
        <v>121</v>
      </c>
      <c r="BS263" s="1" t="s">
        <v>121</v>
      </c>
      <c r="BT263" s="1" t="s">
        <v>121</v>
      </c>
      <c r="BU263" s="1" t="s">
        <v>121</v>
      </c>
      <c r="BV263" s="1" t="s">
        <v>121</v>
      </c>
      <c r="BW263" s="1" t="s">
        <v>121</v>
      </c>
      <c r="BX263" s="1" t="s">
        <v>121</v>
      </c>
      <c r="BY263" s="1" t="s">
        <v>121</v>
      </c>
      <c r="BZ263" s="1" t="s">
        <v>121</v>
      </c>
      <c r="CA263" s="1" t="s">
        <v>121</v>
      </c>
      <c r="CB263" s="1" t="s">
        <v>121</v>
      </c>
      <c r="CC263" s="1" t="s">
        <v>121</v>
      </c>
      <c r="CD263" s="1" t="s">
        <v>121</v>
      </c>
      <c r="CE263" s="1" t="s">
        <v>121</v>
      </c>
      <c r="CF263" s="1" t="s">
        <v>121</v>
      </c>
      <c r="CG263" s="1" t="s">
        <v>121</v>
      </c>
      <c r="CH263" s="1" t="s">
        <v>121</v>
      </c>
      <c r="CI263" s="1" t="s">
        <v>121</v>
      </c>
      <c r="CJ263" s="1" t="s">
        <v>121</v>
      </c>
      <c r="CK263" s="1" t="s">
        <v>121</v>
      </c>
      <c r="CL263" s="1" t="s">
        <v>121</v>
      </c>
      <c r="CM263" s="1" t="s">
        <v>121</v>
      </c>
      <c r="CN263" s="1" t="s">
        <v>121</v>
      </c>
      <c r="CO263" s="1" t="s">
        <v>121</v>
      </c>
      <c r="CP263" s="1" t="s">
        <v>121</v>
      </c>
      <c r="CQ263" s="1" t="s">
        <v>121</v>
      </c>
      <c r="CR263" s="1" t="s">
        <v>121</v>
      </c>
      <c r="CS263" s="1" t="s">
        <v>121</v>
      </c>
      <c r="CT263" s="1" t="s">
        <v>121</v>
      </c>
      <c r="CU263" s="1" t="s">
        <v>121</v>
      </c>
      <c r="CV263" s="1" t="s">
        <v>121</v>
      </c>
      <c r="CW263" s="1" t="s">
        <v>121</v>
      </c>
      <c r="CX263" s="1" t="s">
        <v>121</v>
      </c>
      <c r="CY263" s="1" t="s">
        <v>121</v>
      </c>
      <c r="CZ263" s="1" t="s">
        <v>121</v>
      </c>
      <c r="DA263" s="1" t="s">
        <v>121</v>
      </c>
      <c r="DB263" s="1" t="s">
        <v>121</v>
      </c>
      <c r="DC263" s="1" t="s">
        <v>121</v>
      </c>
      <c r="DD263" s="1" t="s">
        <v>121</v>
      </c>
      <c r="DE263" s="1" t="s">
        <v>121</v>
      </c>
      <c r="DF263" s="1" t="s">
        <v>121</v>
      </c>
      <c r="DG263" s="1" t="s">
        <v>121</v>
      </c>
      <c r="DH263" s="1" t="s">
        <v>121</v>
      </c>
      <c r="DI263" s="1" t="s">
        <v>121</v>
      </c>
      <c r="DJ263" s="1" t="s">
        <v>121</v>
      </c>
      <c r="DK263" s="1" t="s">
        <v>121</v>
      </c>
      <c r="DL263" s="1" t="s">
        <v>121</v>
      </c>
      <c r="DM263" s="1" t="s">
        <v>121</v>
      </c>
      <c r="DN263" s="1" t="s">
        <v>121</v>
      </c>
      <c r="DO263" s="1" t="s">
        <v>121</v>
      </c>
      <c r="DP263" s="1" t="s">
        <v>121</v>
      </c>
      <c r="DQ263" s="1" t="s">
        <v>121</v>
      </c>
      <c r="DR263" s="1" t="s">
        <v>121</v>
      </c>
      <c r="DS263" s="1" t="s">
        <v>121</v>
      </c>
      <c r="DT263" s="1" t="s">
        <v>121</v>
      </c>
      <c r="DU263" s="1" t="s">
        <v>121</v>
      </c>
      <c r="DV263" s="1" t="s">
        <v>121</v>
      </c>
      <c r="DW263" s="1" t="s">
        <v>121</v>
      </c>
      <c r="DX263" s="1" t="s">
        <v>121</v>
      </c>
      <c r="DY263" s="1" t="s">
        <v>121</v>
      </c>
      <c r="DZ263" s="1" t="s">
        <v>121</v>
      </c>
      <c r="EA263" s="1" t="s">
        <v>121</v>
      </c>
      <c r="EB263" s="1" t="s">
        <v>121</v>
      </c>
      <c r="EC263" s="1" t="s">
        <v>121</v>
      </c>
      <c r="ED263" s="1" t="s">
        <v>121</v>
      </c>
      <c r="EE263" s="1" t="s">
        <v>121</v>
      </c>
      <c r="EF263" s="1" t="s">
        <v>121</v>
      </c>
      <c r="EG263" s="1" t="s">
        <v>121</v>
      </c>
      <c r="EH263" s="1" t="s">
        <v>121</v>
      </c>
      <c r="EI263" s="1" t="s">
        <v>121</v>
      </c>
      <c r="EJ263" s="1" t="s">
        <v>121</v>
      </c>
      <c r="EK263" s="1" t="s">
        <v>121</v>
      </c>
      <c r="EL263" s="1" t="s">
        <v>121</v>
      </c>
      <c r="EM263" s="1" t="s">
        <v>121</v>
      </c>
      <c r="EN263" s="1" t="s">
        <v>121</v>
      </c>
      <c r="EO263" s="1" t="s">
        <v>121</v>
      </c>
      <c r="EP263" s="1" t="s">
        <v>121</v>
      </c>
      <c r="EQ263" s="1" t="s">
        <v>121</v>
      </c>
      <c r="ER263" s="1" t="s">
        <v>121</v>
      </c>
      <c r="ES263" s="1" t="s">
        <v>121</v>
      </c>
      <c r="ET263" s="1" t="s">
        <v>121</v>
      </c>
      <c r="EU263" s="1" t="s">
        <v>121</v>
      </c>
      <c r="EV263" s="1" t="s">
        <v>121</v>
      </c>
      <c r="EW263" s="1" t="s">
        <v>121</v>
      </c>
      <c r="EX263" s="1" t="s">
        <v>121</v>
      </c>
    </row>
    <row r="264" spans="1:154" x14ac:dyDescent="0.25">
      <c r="A264" s="72">
        <v>264</v>
      </c>
      <c r="B264" s="74" t="s">
        <v>457</v>
      </c>
      <c r="C264" s="91">
        <f t="shared" ref="C264:C271" ca="1" si="21">OFFSET($E$7,$A264-$A$7,1,1,1)/OFFSET($E$7,$A264-$A$7,2,1,1)-1</f>
        <v>-5.3325344517675233E-2</v>
      </c>
      <c r="D264" s="86"/>
      <c r="E264" s="92">
        <f t="shared" ref="E264:E271" ca="1" si="22">OFFSET($E$7,$A264-$A$7,1,1,1)/OFFSET($E$7,$A264-$A$7,5,1,1)-1</f>
        <v>-0.16269210386857447</v>
      </c>
      <c r="F264" s="77">
        <v>1580</v>
      </c>
      <c r="G264" s="77">
        <v>1669</v>
      </c>
      <c r="H264" s="77">
        <v>1520</v>
      </c>
      <c r="I264" s="77">
        <v>1874</v>
      </c>
      <c r="J264" s="77">
        <v>1887</v>
      </c>
      <c r="K264" s="77">
        <v>1503</v>
      </c>
      <c r="L264" s="77">
        <v>1383</v>
      </c>
      <c r="M264" s="77">
        <v>1798</v>
      </c>
      <c r="N264" s="77">
        <v>1690</v>
      </c>
      <c r="O264" s="77">
        <v>1654</v>
      </c>
      <c r="P264" s="77">
        <v>2345</v>
      </c>
      <c r="Q264" s="405"/>
      <c r="R264" s="405"/>
      <c r="S264" s="405"/>
      <c r="T264" s="405"/>
      <c r="U264" s="77">
        <v>1419</v>
      </c>
      <c r="V264" s="77">
        <v>1176</v>
      </c>
      <c r="W264" s="77">
        <v>1063</v>
      </c>
      <c r="X264" s="77">
        <v>980</v>
      </c>
      <c r="Y264" s="77">
        <v>1157.346</v>
      </c>
      <c r="Z264" s="77">
        <v>926.25500000000011</v>
      </c>
      <c r="AA264" s="77">
        <v>778.52199999999993</v>
      </c>
      <c r="AB264" s="77">
        <v>844.87699999999995</v>
      </c>
      <c r="AC264" s="77">
        <v>962.13099999999986</v>
      </c>
      <c r="AD264" s="77">
        <v>812.26800000000003</v>
      </c>
      <c r="AE264" s="77">
        <v>764.97700000000009</v>
      </c>
      <c r="AF264" s="77">
        <v>677.52800000000002</v>
      </c>
      <c r="AG264" s="77">
        <v>834.16199999999981</v>
      </c>
      <c r="AH264" s="77">
        <v>716.327</v>
      </c>
      <c r="AI264" s="77">
        <v>630.27300000000002</v>
      </c>
      <c r="AJ264" s="77">
        <v>628.34</v>
      </c>
      <c r="AK264" s="77">
        <v>672.69500000000016</v>
      </c>
      <c r="AL264" s="77">
        <v>615.74800000000005</v>
      </c>
      <c r="AM264" s="77">
        <v>591.62699999999995</v>
      </c>
      <c r="AN264" s="77">
        <v>534.83500000000004</v>
      </c>
      <c r="AO264" s="77">
        <v>609.79800000000023</v>
      </c>
      <c r="AP264" s="77">
        <v>532.91699999999992</v>
      </c>
      <c r="AQ264" s="77">
        <v>551.36000000000013</v>
      </c>
      <c r="AR264" s="77">
        <v>494.51299999999998</v>
      </c>
      <c r="AS264" s="77">
        <v>570.48199999999997</v>
      </c>
      <c r="AT264" s="77">
        <v>576.03899999999999</v>
      </c>
      <c r="AU264" s="77">
        <v>437.96799999999996</v>
      </c>
      <c r="AV264" s="77">
        <v>458.85</v>
      </c>
      <c r="AW264" s="77">
        <v>525.38600000000019</v>
      </c>
      <c r="AX264" s="77">
        <v>403.25799999999992</v>
      </c>
      <c r="AY264" s="77">
        <v>394.17599999999999</v>
      </c>
      <c r="AZ264" s="55">
        <v>318.11799999999999</v>
      </c>
      <c r="BA264" s="55">
        <v>313.81299999999987</v>
      </c>
      <c r="BB264" s="55">
        <v>270.45200000000006</v>
      </c>
      <c r="BC264" s="55">
        <v>244.47099999999998</v>
      </c>
      <c r="BD264" s="55">
        <v>242.96</v>
      </c>
      <c r="BE264" s="55">
        <v>260.84100000000001</v>
      </c>
      <c r="BF264" s="55">
        <v>247.41999999999996</v>
      </c>
      <c r="BG264" s="55">
        <v>237.94400000000002</v>
      </c>
      <c r="BH264" s="55">
        <v>206.84899999999999</v>
      </c>
      <c r="BI264" s="55">
        <v>234.26700000000005</v>
      </c>
      <c r="BJ264" s="55">
        <v>208.98399999999998</v>
      </c>
      <c r="BK264" s="55">
        <v>200.93899999999999</v>
      </c>
      <c r="BL264" s="55">
        <v>178.09200000000001</v>
      </c>
      <c r="BM264" s="1">
        <v>219.81500000000005</v>
      </c>
      <c r="BN264" s="1">
        <v>196.24499999999995</v>
      </c>
      <c r="BO264" s="1">
        <v>201.15000000000003</v>
      </c>
      <c r="BP264" s="1">
        <v>176.66399999999999</v>
      </c>
      <c r="BQ264" s="1" t="s">
        <v>121</v>
      </c>
      <c r="BR264" s="1" t="s">
        <v>121</v>
      </c>
      <c r="BS264" s="1" t="s">
        <v>121</v>
      </c>
      <c r="BT264" s="1" t="s">
        <v>121</v>
      </c>
      <c r="BU264" s="1" t="s">
        <v>121</v>
      </c>
      <c r="BV264" s="1" t="s">
        <v>121</v>
      </c>
      <c r="BW264" s="1" t="s">
        <v>121</v>
      </c>
      <c r="BX264" s="1" t="s">
        <v>121</v>
      </c>
      <c r="BY264" s="1" t="s">
        <v>121</v>
      </c>
      <c r="BZ264" s="1" t="s">
        <v>121</v>
      </c>
      <c r="CA264" s="1" t="s">
        <v>121</v>
      </c>
      <c r="CB264" s="1" t="s">
        <v>121</v>
      </c>
      <c r="CC264" s="1" t="s">
        <v>121</v>
      </c>
      <c r="CD264" s="1" t="s">
        <v>121</v>
      </c>
      <c r="CE264" s="1" t="s">
        <v>121</v>
      </c>
      <c r="CF264" s="1" t="s">
        <v>121</v>
      </c>
      <c r="CG264" s="1" t="s">
        <v>121</v>
      </c>
      <c r="CH264" s="1" t="s">
        <v>121</v>
      </c>
      <c r="CI264" s="1" t="s">
        <v>121</v>
      </c>
      <c r="CJ264" s="1" t="s">
        <v>121</v>
      </c>
      <c r="CK264" s="1" t="s">
        <v>121</v>
      </c>
      <c r="CL264" s="1" t="s">
        <v>121</v>
      </c>
      <c r="CM264" s="1" t="s">
        <v>121</v>
      </c>
      <c r="CN264" s="1" t="s">
        <v>121</v>
      </c>
      <c r="CO264" s="1" t="s">
        <v>121</v>
      </c>
      <c r="CP264" s="1" t="s">
        <v>121</v>
      </c>
      <c r="CQ264" s="1" t="s">
        <v>121</v>
      </c>
      <c r="CR264" s="1" t="s">
        <v>121</v>
      </c>
      <c r="CS264" s="1" t="s">
        <v>121</v>
      </c>
      <c r="CT264" s="1" t="s">
        <v>121</v>
      </c>
      <c r="CU264" s="1" t="s">
        <v>121</v>
      </c>
      <c r="CV264" s="1" t="s">
        <v>121</v>
      </c>
      <c r="CW264" s="1" t="s">
        <v>121</v>
      </c>
      <c r="CX264" s="1" t="s">
        <v>121</v>
      </c>
      <c r="CY264" s="1" t="s">
        <v>121</v>
      </c>
      <c r="CZ264" s="1" t="s">
        <v>121</v>
      </c>
      <c r="DA264" s="1" t="s">
        <v>121</v>
      </c>
      <c r="DB264" s="1" t="s">
        <v>121</v>
      </c>
      <c r="DC264" s="1" t="s">
        <v>121</v>
      </c>
      <c r="DD264" s="1" t="s">
        <v>121</v>
      </c>
      <c r="DE264" s="1" t="s">
        <v>121</v>
      </c>
      <c r="DF264" s="1" t="s">
        <v>121</v>
      </c>
      <c r="DG264" s="1" t="s">
        <v>121</v>
      </c>
      <c r="DH264" s="1" t="s">
        <v>121</v>
      </c>
      <c r="DI264" s="1" t="s">
        <v>121</v>
      </c>
      <c r="DJ264" s="1" t="s">
        <v>121</v>
      </c>
      <c r="DK264" s="1" t="s">
        <v>121</v>
      </c>
      <c r="DL264" s="1" t="s">
        <v>121</v>
      </c>
      <c r="DM264" s="1" t="s">
        <v>121</v>
      </c>
      <c r="DN264" s="1" t="s">
        <v>121</v>
      </c>
      <c r="DO264" s="1" t="s">
        <v>121</v>
      </c>
      <c r="DP264" s="1" t="s">
        <v>121</v>
      </c>
      <c r="DQ264" s="1" t="s">
        <v>121</v>
      </c>
      <c r="DR264" s="1" t="s">
        <v>121</v>
      </c>
      <c r="DS264" s="1" t="s">
        <v>121</v>
      </c>
      <c r="DT264" s="1" t="s">
        <v>121</v>
      </c>
      <c r="DU264" s="1" t="s">
        <v>121</v>
      </c>
      <c r="DV264" s="1" t="s">
        <v>121</v>
      </c>
      <c r="DW264" s="1" t="s">
        <v>121</v>
      </c>
      <c r="DX264" s="1" t="s">
        <v>121</v>
      </c>
      <c r="DY264" s="1" t="s">
        <v>121</v>
      </c>
      <c r="DZ264" s="1" t="s">
        <v>121</v>
      </c>
      <c r="EA264" s="1" t="s">
        <v>121</v>
      </c>
      <c r="EB264" s="1" t="s">
        <v>121</v>
      </c>
      <c r="EC264" s="1" t="s">
        <v>121</v>
      </c>
      <c r="ED264" s="1" t="s">
        <v>121</v>
      </c>
      <c r="EE264" s="1" t="s">
        <v>121</v>
      </c>
      <c r="EF264" s="1" t="s">
        <v>121</v>
      </c>
      <c r="EG264" s="1" t="s">
        <v>121</v>
      </c>
      <c r="EH264" s="1" t="s">
        <v>121</v>
      </c>
      <c r="EI264" s="1" t="s">
        <v>121</v>
      </c>
      <c r="EJ264" s="1" t="s">
        <v>121</v>
      </c>
      <c r="EK264" s="1" t="s">
        <v>121</v>
      </c>
      <c r="EL264" s="1" t="s">
        <v>121</v>
      </c>
      <c r="EM264" s="1" t="s">
        <v>121</v>
      </c>
      <c r="EN264" s="1" t="s">
        <v>121</v>
      </c>
      <c r="EO264" s="1" t="s">
        <v>121</v>
      </c>
      <c r="EP264" s="1" t="s">
        <v>121</v>
      </c>
      <c r="EQ264" s="1" t="s">
        <v>121</v>
      </c>
      <c r="ER264" s="1" t="s">
        <v>121</v>
      </c>
      <c r="ES264" s="1" t="s">
        <v>121</v>
      </c>
      <c r="ET264" s="1" t="s">
        <v>121</v>
      </c>
      <c r="EU264" s="1" t="s">
        <v>121</v>
      </c>
      <c r="EV264" s="1" t="s">
        <v>121</v>
      </c>
      <c r="EW264" s="1" t="s">
        <v>121</v>
      </c>
      <c r="EX264" s="1" t="s">
        <v>121</v>
      </c>
    </row>
    <row r="265" spans="1:154" x14ac:dyDescent="0.25">
      <c r="A265" s="72">
        <v>265</v>
      </c>
      <c r="B265" s="74" t="s">
        <v>458</v>
      </c>
      <c r="C265" s="91">
        <f t="shared" ca="1" si="21"/>
        <v>3.382187147688831E-2</v>
      </c>
      <c r="D265" s="86"/>
      <c r="E265" s="92">
        <f t="shared" ca="1" si="22"/>
        <v>-5.4229934924078238E-3</v>
      </c>
      <c r="F265" s="77">
        <v>917</v>
      </c>
      <c r="G265" s="77">
        <v>887</v>
      </c>
      <c r="H265" s="77">
        <v>852</v>
      </c>
      <c r="I265" s="77">
        <v>893</v>
      </c>
      <c r="J265" s="77">
        <v>922</v>
      </c>
      <c r="K265" s="77">
        <v>1019</v>
      </c>
      <c r="L265" s="77">
        <v>1021</v>
      </c>
      <c r="M265" s="77">
        <v>1070</v>
      </c>
      <c r="N265" s="77">
        <v>1094</v>
      </c>
      <c r="O265" s="77">
        <v>1057</v>
      </c>
      <c r="P265" s="77">
        <v>1053</v>
      </c>
      <c r="Q265" s="405"/>
      <c r="R265" s="405"/>
      <c r="S265" s="405"/>
      <c r="T265" s="405"/>
      <c r="U265" s="77">
        <v>767</v>
      </c>
      <c r="V265" s="77">
        <v>738</v>
      </c>
      <c r="W265" s="77">
        <v>855</v>
      </c>
      <c r="X265" s="77">
        <v>765</v>
      </c>
      <c r="Y265" s="77">
        <v>938.45600000000013</v>
      </c>
      <c r="Z265" s="77">
        <v>809.13799999999992</v>
      </c>
      <c r="AA265" s="77">
        <v>664.86400000000003</v>
      </c>
      <c r="AB265" s="77">
        <v>733.54199999999992</v>
      </c>
      <c r="AC265" s="77">
        <v>920.80699999999979</v>
      </c>
      <c r="AD265" s="77">
        <v>867.65900000000011</v>
      </c>
      <c r="AE265" s="77">
        <v>912.25699999999995</v>
      </c>
      <c r="AF265" s="77">
        <v>755.33900000000006</v>
      </c>
      <c r="AG265" s="77">
        <v>787.45100000000002</v>
      </c>
      <c r="AH265" s="77">
        <v>773.77899999999977</v>
      </c>
      <c r="AI265" s="77">
        <v>756.59800000000007</v>
      </c>
      <c r="AJ265" s="77">
        <v>723.85199999999998</v>
      </c>
      <c r="AK265" s="77">
        <v>774.40099999999984</v>
      </c>
      <c r="AL265" s="77">
        <v>681.64300000000003</v>
      </c>
      <c r="AM265" s="77">
        <v>648.55999999999995</v>
      </c>
      <c r="AN265" s="77">
        <v>576.16499999999996</v>
      </c>
      <c r="AO265" s="77">
        <v>583.19200000000001</v>
      </c>
      <c r="AP265" s="77">
        <v>538.80799999999988</v>
      </c>
      <c r="AQ265" s="77">
        <v>475.39</v>
      </c>
      <c r="AR265" s="77">
        <v>424.72</v>
      </c>
      <c r="AS265" s="77">
        <v>386.755</v>
      </c>
      <c r="AT265" s="77">
        <v>317.48199999999997</v>
      </c>
      <c r="AU265" s="77">
        <v>326.44799999999998</v>
      </c>
      <c r="AV265" s="77">
        <v>290.20100000000002</v>
      </c>
      <c r="AW265" s="77">
        <v>349.59499999999991</v>
      </c>
      <c r="AX265" s="77">
        <v>291.22800000000007</v>
      </c>
      <c r="AY265" s="77">
        <v>289.35299999999995</v>
      </c>
      <c r="AZ265" s="77">
        <v>252.71100000000001</v>
      </c>
      <c r="BA265" s="77">
        <v>239.553</v>
      </c>
      <c r="BB265" s="77">
        <v>208.43299999999999</v>
      </c>
      <c r="BC265" s="77">
        <v>210.203</v>
      </c>
      <c r="BD265" s="77">
        <v>181.042</v>
      </c>
      <c r="BE265" s="77">
        <v>212.88399999999996</v>
      </c>
      <c r="BF265" s="77">
        <v>183.18800000000005</v>
      </c>
      <c r="BG265" s="77">
        <v>157.28899999999999</v>
      </c>
      <c r="BH265" s="77">
        <v>146.93299999999999</v>
      </c>
      <c r="BI265" s="77">
        <v>168.44700000000006</v>
      </c>
      <c r="BJ265" s="77">
        <v>154.56900000000002</v>
      </c>
      <c r="BK265" s="77">
        <v>147.39999999999998</v>
      </c>
      <c r="BL265" s="77">
        <v>126.678</v>
      </c>
      <c r="BM265" s="1">
        <v>140.49099999999999</v>
      </c>
      <c r="BN265" s="1">
        <v>124.85599999999999</v>
      </c>
      <c r="BO265" s="1">
        <v>120.35300000000001</v>
      </c>
      <c r="BP265" s="1">
        <v>104.197</v>
      </c>
      <c r="BQ265" s="1" t="s">
        <v>121</v>
      </c>
      <c r="BR265" s="1" t="s">
        <v>121</v>
      </c>
      <c r="BS265" s="1" t="s">
        <v>121</v>
      </c>
      <c r="BT265" s="1" t="s">
        <v>121</v>
      </c>
      <c r="BU265" s="1" t="s">
        <v>121</v>
      </c>
      <c r="BV265" s="1" t="s">
        <v>121</v>
      </c>
      <c r="BW265" s="1" t="s">
        <v>121</v>
      </c>
      <c r="BX265" s="1" t="s">
        <v>121</v>
      </c>
      <c r="BY265" s="1" t="s">
        <v>121</v>
      </c>
      <c r="BZ265" s="1" t="s">
        <v>121</v>
      </c>
      <c r="CA265" s="1" t="s">
        <v>121</v>
      </c>
      <c r="CB265" s="1" t="s">
        <v>121</v>
      </c>
      <c r="CC265" s="1" t="s">
        <v>121</v>
      </c>
      <c r="CD265" s="1" t="s">
        <v>121</v>
      </c>
      <c r="CE265" s="1" t="s">
        <v>121</v>
      </c>
      <c r="CF265" s="1" t="s">
        <v>121</v>
      </c>
      <c r="CG265" s="1" t="s">
        <v>121</v>
      </c>
      <c r="CH265" s="1" t="s">
        <v>121</v>
      </c>
      <c r="CI265" s="1" t="s">
        <v>121</v>
      </c>
      <c r="CJ265" s="1" t="s">
        <v>121</v>
      </c>
      <c r="CK265" s="1" t="s">
        <v>121</v>
      </c>
      <c r="CL265" s="1" t="s">
        <v>121</v>
      </c>
      <c r="CM265" s="1" t="s">
        <v>121</v>
      </c>
      <c r="CN265" s="1" t="s">
        <v>121</v>
      </c>
      <c r="CO265" s="1" t="s">
        <v>121</v>
      </c>
      <c r="CP265" s="1" t="s">
        <v>121</v>
      </c>
      <c r="CQ265" s="1" t="s">
        <v>121</v>
      </c>
      <c r="CR265" s="1" t="s">
        <v>121</v>
      </c>
      <c r="CS265" s="1" t="s">
        <v>121</v>
      </c>
      <c r="CT265" s="1" t="s">
        <v>121</v>
      </c>
      <c r="CU265" s="1" t="s">
        <v>121</v>
      </c>
      <c r="CV265" s="1" t="s">
        <v>121</v>
      </c>
      <c r="CW265" s="1" t="s">
        <v>121</v>
      </c>
      <c r="CX265" s="1" t="s">
        <v>121</v>
      </c>
      <c r="CY265" s="1" t="s">
        <v>121</v>
      </c>
      <c r="CZ265" s="1" t="s">
        <v>121</v>
      </c>
      <c r="DA265" s="1" t="s">
        <v>121</v>
      </c>
      <c r="DB265" s="1" t="s">
        <v>121</v>
      </c>
      <c r="DC265" s="1" t="s">
        <v>121</v>
      </c>
      <c r="DD265" s="1" t="s">
        <v>121</v>
      </c>
      <c r="DE265" s="1" t="s">
        <v>121</v>
      </c>
      <c r="DF265" s="1" t="s">
        <v>121</v>
      </c>
      <c r="DG265" s="1" t="s">
        <v>121</v>
      </c>
      <c r="DH265" s="1" t="s">
        <v>121</v>
      </c>
      <c r="DI265" s="1" t="s">
        <v>121</v>
      </c>
      <c r="DJ265" s="1" t="s">
        <v>121</v>
      </c>
      <c r="DK265" s="1" t="s">
        <v>121</v>
      </c>
      <c r="DL265" s="1" t="s">
        <v>121</v>
      </c>
      <c r="DM265" s="1" t="s">
        <v>121</v>
      </c>
      <c r="DN265" s="1" t="s">
        <v>121</v>
      </c>
      <c r="DO265" s="1" t="s">
        <v>121</v>
      </c>
      <c r="DP265" s="1" t="s">
        <v>121</v>
      </c>
      <c r="DQ265" s="1" t="s">
        <v>121</v>
      </c>
      <c r="DR265" s="1" t="s">
        <v>121</v>
      </c>
      <c r="DS265" s="1" t="s">
        <v>121</v>
      </c>
      <c r="DT265" s="1" t="s">
        <v>121</v>
      </c>
      <c r="DU265" s="1" t="s">
        <v>121</v>
      </c>
      <c r="DV265" s="1" t="s">
        <v>121</v>
      </c>
      <c r="DW265" s="1" t="s">
        <v>121</v>
      </c>
      <c r="DX265" s="1" t="s">
        <v>121</v>
      </c>
      <c r="DY265" s="1" t="s">
        <v>121</v>
      </c>
      <c r="DZ265" s="1" t="s">
        <v>121</v>
      </c>
      <c r="EA265" s="1" t="s">
        <v>121</v>
      </c>
      <c r="EB265" s="1" t="s">
        <v>121</v>
      </c>
      <c r="EC265" s="1" t="s">
        <v>121</v>
      </c>
      <c r="ED265" s="1" t="s">
        <v>121</v>
      </c>
      <c r="EE265" s="1" t="s">
        <v>121</v>
      </c>
      <c r="EF265" s="1" t="s">
        <v>121</v>
      </c>
      <c r="EG265" s="1" t="s">
        <v>121</v>
      </c>
      <c r="EH265" s="1" t="s">
        <v>121</v>
      </c>
      <c r="EI265" s="1" t="s">
        <v>121</v>
      </c>
      <c r="EJ265" s="1" t="s">
        <v>121</v>
      </c>
      <c r="EK265" s="1" t="s">
        <v>121</v>
      </c>
      <c r="EL265" s="1" t="s">
        <v>121</v>
      </c>
      <c r="EM265" s="1" t="s">
        <v>121</v>
      </c>
      <c r="EN265" s="1" t="s">
        <v>121</v>
      </c>
      <c r="EO265" s="1" t="s">
        <v>121</v>
      </c>
      <c r="EP265" s="1" t="s">
        <v>121</v>
      </c>
      <c r="EQ265" s="1" t="s">
        <v>121</v>
      </c>
      <c r="ER265" s="1" t="s">
        <v>121</v>
      </c>
      <c r="ES265" s="1" t="s">
        <v>121</v>
      </c>
      <c r="ET265" s="1" t="s">
        <v>121</v>
      </c>
      <c r="EU265" s="1" t="s">
        <v>121</v>
      </c>
      <c r="EV265" s="1" t="s">
        <v>121</v>
      </c>
      <c r="EW265" s="1" t="s">
        <v>121</v>
      </c>
      <c r="EX265" s="1" t="s">
        <v>121</v>
      </c>
    </row>
    <row r="266" spans="1:154" x14ac:dyDescent="0.25">
      <c r="A266" s="72">
        <v>266</v>
      </c>
      <c r="B266" s="74" t="s">
        <v>459</v>
      </c>
      <c r="C266" s="91">
        <f t="shared" ca="1" si="21"/>
        <v>7.9104477611940283E-2</v>
      </c>
      <c r="D266" s="86"/>
      <c r="E266" s="92">
        <f t="shared" ca="1" si="22"/>
        <v>0.46653144016227177</v>
      </c>
      <c r="F266" s="77">
        <v>723</v>
      </c>
      <c r="G266" s="77">
        <v>670</v>
      </c>
      <c r="H266" s="77">
        <v>717</v>
      </c>
      <c r="I266" s="77">
        <v>535</v>
      </c>
      <c r="J266" s="77">
        <v>493</v>
      </c>
      <c r="K266" s="77">
        <v>456</v>
      </c>
      <c r="L266" s="77">
        <v>483</v>
      </c>
      <c r="M266" s="77">
        <v>437</v>
      </c>
      <c r="N266" s="77">
        <v>439</v>
      </c>
      <c r="O266" s="77">
        <v>376</v>
      </c>
      <c r="P266" s="77">
        <v>396</v>
      </c>
      <c r="Q266" s="405"/>
      <c r="R266" s="405"/>
      <c r="S266" s="405"/>
      <c r="T266" s="405"/>
      <c r="U266" s="77">
        <v>508</v>
      </c>
      <c r="V266" s="77">
        <v>469</v>
      </c>
      <c r="W266" s="77">
        <v>419</v>
      </c>
      <c r="X266" s="77">
        <v>397</v>
      </c>
      <c r="Y266" s="77">
        <v>443.69399999999996</v>
      </c>
      <c r="Z266" s="77">
        <v>404.97700000000009</v>
      </c>
      <c r="AA266" s="77">
        <v>364.66699999999997</v>
      </c>
      <c r="AB266" s="77">
        <v>312.66199999999998</v>
      </c>
      <c r="AC266" s="77">
        <v>352.81700000000001</v>
      </c>
      <c r="AD266" s="77">
        <v>249.88099999999997</v>
      </c>
      <c r="AE266" s="77">
        <v>313.34800000000001</v>
      </c>
      <c r="AF266" s="77">
        <v>108.464</v>
      </c>
      <c r="AG266" s="77">
        <v>228.07600000000002</v>
      </c>
      <c r="AH266" s="77">
        <v>209.608</v>
      </c>
      <c r="AI266" s="77">
        <v>170.929</v>
      </c>
      <c r="AJ266" s="77">
        <v>192.82300000000001</v>
      </c>
      <c r="AK266" s="77">
        <v>207.38900000000001</v>
      </c>
      <c r="AL266" s="77">
        <v>211.83099999999996</v>
      </c>
      <c r="AM266" s="77">
        <v>212.59299999999999</v>
      </c>
      <c r="AN266" s="77">
        <v>238.83799999999999</v>
      </c>
      <c r="AO266" s="77">
        <v>219.36699999999996</v>
      </c>
      <c r="AP266" s="77">
        <v>254.28500000000008</v>
      </c>
      <c r="AQ266" s="77">
        <v>229.92899999999997</v>
      </c>
      <c r="AR266" s="77">
        <v>273.375</v>
      </c>
      <c r="AS266" s="77">
        <v>234.8850000000001</v>
      </c>
      <c r="AT266" s="77">
        <v>222.24399999999997</v>
      </c>
      <c r="AU266" s="77">
        <v>281.08499999999998</v>
      </c>
      <c r="AV266" s="77">
        <v>125.601</v>
      </c>
      <c r="AW266" s="77">
        <v>270.89300000000003</v>
      </c>
      <c r="AX266" s="77">
        <v>241.56099999999992</v>
      </c>
      <c r="AY266" s="77">
        <v>207.29200000000003</v>
      </c>
      <c r="AZ266" s="55">
        <v>192.428</v>
      </c>
      <c r="BA266" s="55">
        <v>252.14999999999998</v>
      </c>
      <c r="BB266" s="55">
        <v>227.77800000000002</v>
      </c>
      <c r="BC266" s="55">
        <v>195.10799999999998</v>
      </c>
      <c r="BD266" s="55">
        <v>169.196</v>
      </c>
      <c r="BE266" s="55">
        <v>242.39999999999998</v>
      </c>
      <c r="BF266" s="55">
        <v>178.46200000000005</v>
      </c>
      <c r="BG266" s="55">
        <v>179.33399999999997</v>
      </c>
      <c r="BH266" s="55">
        <v>126.102</v>
      </c>
      <c r="BI266" s="55">
        <v>222.24700000000001</v>
      </c>
      <c r="BJ266" s="55">
        <v>148.51900000000001</v>
      </c>
      <c r="BK266" s="55">
        <v>157.41</v>
      </c>
      <c r="BL266" s="55">
        <v>117.17400000000001</v>
      </c>
      <c r="BM266" s="1">
        <v>173.15899999999996</v>
      </c>
      <c r="BN266" s="1">
        <v>58.966000000000008</v>
      </c>
      <c r="BO266" s="1">
        <v>96.954999999999998</v>
      </c>
      <c r="BP266" s="1">
        <v>42.325000000000003</v>
      </c>
      <c r="BQ266" s="1" t="s">
        <v>121</v>
      </c>
      <c r="BR266" s="1" t="s">
        <v>121</v>
      </c>
      <c r="BS266" s="1" t="s">
        <v>121</v>
      </c>
      <c r="BT266" s="1" t="s">
        <v>121</v>
      </c>
      <c r="BU266" s="1" t="s">
        <v>121</v>
      </c>
      <c r="BV266" s="1" t="s">
        <v>121</v>
      </c>
      <c r="BW266" s="1" t="s">
        <v>121</v>
      </c>
      <c r="BX266" s="1" t="s">
        <v>121</v>
      </c>
      <c r="BY266" s="1" t="s">
        <v>121</v>
      </c>
      <c r="BZ266" s="1" t="s">
        <v>121</v>
      </c>
      <c r="CA266" s="1" t="s">
        <v>121</v>
      </c>
      <c r="CB266" s="1" t="s">
        <v>121</v>
      </c>
      <c r="CC266" s="1" t="s">
        <v>121</v>
      </c>
      <c r="CD266" s="1" t="s">
        <v>121</v>
      </c>
      <c r="CE266" s="1" t="s">
        <v>121</v>
      </c>
      <c r="CF266" s="1" t="s">
        <v>121</v>
      </c>
      <c r="CG266" s="1" t="s">
        <v>121</v>
      </c>
      <c r="CH266" s="1" t="s">
        <v>121</v>
      </c>
      <c r="CI266" s="1" t="s">
        <v>121</v>
      </c>
      <c r="CJ266" s="1" t="s">
        <v>121</v>
      </c>
      <c r="CK266" s="1" t="s">
        <v>121</v>
      </c>
      <c r="CL266" s="1" t="s">
        <v>121</v>
      </c>
      <c r="CM266" s="1" t="s">
        <v>121</v>
      </c>
      <c r="CN266" s="1" t="s">
        <v>121</v>
      </c>
      <c r="CO266" s="1" t="s">
        <v>121</v>
      </c>
      <c r="CP266" s="1" t="s">
        <v>121</v>
      </c>
      <c r="CQ266" s="1" t="s">
        <v>121</v>
      </c>
      <c r="CR266" s="1" t="s">
        <v>121</v>
      </c>
      <c r="CS266" s="1" t="s">
        <v>121</v>
      </c>
      <c r="CT266" s="1" t="s">
        <v>121</v>
      </c>
      <c r="CU266" s="1" t="s">
        <v>121</v>
      </c>
      <c r="CV266" s="1" t="s">
        <v>121</v>
      </c>
      <c r="CW266" s="1" t="s">
        <v>121</v>
      </c>
      <c r="CX266" s="1" t="s">
        <v>121</v>
      </c>
      <c r="CY266" s="1" t="s">
        <v>121</v>
      </c>
      <c r="CZ266" s="1" t="s">
        <v>121</v>
      </c>
      <c r="DA266" s="1" t="s">
        <v>121</v>
      </c>
      <c r="DB266" s="1" t="s">
        <v>121</v>
      </c>
      <c r="DC266" s="1" t="s">
        <v>121</v>
      </c>
      <c r="DD266" s="1" t="s">
        <v>121</v>
      </c>
      <c r="DE266" s="1" t="s">
        <v>121</v>
      </c>
      <c r="DF266" s="1" t="s">
        <v>121</v>
      </c>
      <c r="DG266" s="1" t="s">
        <v>121</v>
      </c>
      <c r="DH266" s="1" t="s">
        <v>121</v>
      </c>
      <c r="DI266" s="1" t="s">
        <v>121</v>
      </c>
      <c r="DJ266" s="1" t="s">
        <v>121</v>
      </c>
      <c r="DK266" s="1" t="s">
        <v>121</v>
      </c>
      <c r="DL266" s="1" t="s">
        <v>121</v>
      </c>
      <c r="DM266" s="1" t="s">
        <v>121</v>
      </c>
      <c r="DN266" s="1" t="s">
        <v>121</v>
      </c>
      <c r="DO266" s="1" t="s">
        <v>121</v>
      </c>
      <c r="DP266" s="1" t="s">
        <v>121</v>
      </c>
      <c r="DQ266" s="1" t="s">
        <v>121</v>
      </c>
      <c r="DR266" s="1" t="s">
        <v>121</v>
      </c>
      <c r="DS266" s="1" t="s">
        <v>121</v>
      </c>
      <c r="DT266" s="1" t="s">
        <v>121</v>
      </c>
      <c r="DU266" s="1" t="s">
        <v>121</v>
      </c>
      <c r="DV266" s="1" t="s">
        <v>121</v>
      </c>
      <c r="DW266" s="1" t="s">
        <v>121</v>
      </c>
      <c r="DX266" s="1" t="s">
        <v>121</v>
      </c>
      <c r="DY266" s="1" t="s">
        <v>121</v>
      </c>
      <c r="DZ266" s="1" t="s">
        <v>121</v>
      </c>
      <c r="EA266" s="1" t="s">
        <v>121</v>
      </c>
      <c r="EB266" s="1" t="s">
        <v>121</v>
      </c>
      <c r="EC266" s="1" t="s">
        <v>121</v>
      </c>
      <c r="ED266" s="1" t="s">
        <v>121</v>
      </c>
      <c r="EE266" s="1" t="s">
        <v>121</v>
      </c>
      <c r="EF266" s="1" t="s">
        <v>121</v>
      </c>
      <c r="EG266" s="1" t="s">
        <v>121</v>
      </c>
      <c r="EH266" s="1" t="s">
        <v>121</v>
      </c>
      <c r="EI266" s="1" t="s">
        <v>121</v>
      </c>
      <c r="EJ266" s="1" t="s">
        <v>121</v>
      </c>
      <c r="EK266" s="1" t="s">
        <v>121</v>
      </c>
      <c r="EL266" s="1" t="s">
        <v>121</v>
      </c>
      <c r="EM266" s="1" t="s">
        <v>121</v>
      </c>
      <c r="EN266" s="1" t="s">
        <v>121</v>
      </c>
      <c r="EO266" s="1" t="s">
        <v>121</v>
      </c>
      <c r="EP266" s="1" t="s">
        <v>121</v>
      </c>
      <c r="EQ266" s="1" t="s">
        <v>121</v>
      </c>
      <c r="ER266" s="1" t="s">
        <v>121</v>
      </c>
      <c r="ES266" s="1" t="s">
        <v>121</v>
      </c>
      <c r="ET266" s="1" t="s">
        <v>121</v>
      </c>
      <c r="EU266" s="1" t="s">
        <v>121</v>
      </c>
      <c r="EV266" s="1" t="s">
        <v>121</v>
      </c>
      <c r="EW266" s="1" t="s">
        <v>121</v>
      </c>
      <c r="EX266" s="1" t="s">
        <v>121</v>
      </c>
    </row>
    <row r="267" spans="1:154" x14ac:dyDescent="0.25">
      <c r="A267" s="72">
        <v>267</v>
      </c>
      <c r="B267" s="74" t="s">
        <v>460</v>
      </c>
      <c r="C267" s="91">
        <f t="shared" ca="1" si="21"/>
        <v>0.1785714285714286</v>
      </c>
      <c r="D267" s="86"/>
      <c r="E267" s="92">
        <f t="shared" ca="1" si="22"/>
        <v>-0.22047244094488194</v>
      </c>
      <c r="F267" s="77">
        <v>297</v>
      </c>
      <c r="G267" s="77">
        <v>252</v>
      </c>
      <c r="H267" s="77">
        <v>163</v>
      </c>
      <c r="I267" s="77">
        <v>259</v>
      </c>
      <c r="J267" s="77">
        <v>381</v>
      </c>
      <c r="K267" s="77">
        <v>280</v>
      </c>
      <c r="L267" s="77">
        <v>243</v>
      </c>
      <c r="M267" s="77">
        <v>381</v>
      </c>
      <c r="N267" s="77">
        <v>311</v>
      </c>
      <c r="O267" s="77">
        <v>324</v>
      </c>
      <c r="P267" s="77">
        <v>223</v>
      </c>
      <c r="Q267" s="405"/>
      <c r="R267" s="405"/>
      <c r="S267" s="405"/>
      <c r="T267" s="405"/>
      <c r="U267" s="77">
        <v>307</v>
      </c>
      <c r="V267" s="77">
        <v>287</v>
      </c>
      <c r="W267" s="77">
        <v>376</v>
      </c>
      <c r="X267" s="77">
        <v>154</v>
      </c>
      <c r="Y267" s="77">
        <v>95.14100000000002</v>
      </c>
      <c r="Z267" s="77">
        <v>111.47099999999998</v>
      </c>
      <c r="AA267" s="77">
        <v>104.438</v>
      </c>
      <c r="AB267" s="77">
        <v>107.95</v>
      </c>
      <c r="AC267" s="77">
        <v>146.12011598000004</v>
      </c>
      <c r="AD267" s="77">
        <v>199.54045295</v>
      </c>
      <c r="AE267" s="77">
        <v>108.76666901999999</v>
      </c>
      <c r="AF267" s="77">
        <v>130.02376204999999</v>
      </c>
      <c r="AG267" s="77">
        <v>46.648499510000001</v>
      </c>
      <c r="AH267" s="77">
        <v>6.7387371200000015</v>
      </c>
      <c r="AI267" s="77">
        <v>5.5361541300000008</v>
      </c>
      <c r="AJ267" s="77">
        <v>3.9716092400000003</v>
      </c>
      <c r="AK267" s="77" t="s">
        <v>121</v>
      </c>
      <c r="AL267" s="77" t="s">
        <v>121</v>
      </c>
      <c r="AM267" s="77" t="s">
        <v>121</v>
      </c>
      <c r="AN267" s="77" t="s">
        <v>121</v>
      </c>
      <c r="AO267" s="77" t="s">
        <v>121</v>
      </c>
      <c r="AP267" s="77" t="s">
        <v>121</v>
      </c>
      <c r="AQ267" s="77" t="s">
        <v>121</v>
      </c>
      <c r="AR267" s="77" t="s">
        <v>121</v>
      </c>
      <c r="AS267" s="77" t="s">
        <v>121</v>
      </c>
      <c r="AT267" s="77" t="s">
        <v>121</v>
      </c>
      <c r="AU267" s="77" t="s">
        <v>121</v>
      </c>
      <c r="AV267" s="77" t="s">
        <v>121</v>
      </c>
      <c r="AW267" s="77" t="s">
        <v>121</v>
      </c>
      <c r="AX267" s="77" t="s">
        <v>121</v>
      </c>
      <c r="AY267" s="77" t="s">
        <v>121</v>
      </c>
      <c r="AZ267" s="55" t="s">
        <v>121</v>
      </c>
      <c r="BA267" s="55" t="s">
        <v>121</v>
      </c>
      <c r="BB267" s="55" t="s">
        <v>121</v>
      </c>
      <c r="BC267" s="55" t="s">
        <v>121</v>
      </c>
      <c r="BD267" s="55" t="s">
        <v>121</v>
      </c>
      <c r="BE267" s="55" t="s">
        <v>121</v>
      </c>
      <c r="BF267" s="55" t="s">
        <v>121</v>
      </c>
      <c r="BG267" s="55" t="s">
        <v>121</v>
      </c>
      <c r="BH267" s="55" t="s">
        <v>121</v>
      </c>
      <c r="BI267" s="55" t="s">
        <v>121</v>
      </c>
      <c r="BJ267" s="55" t="s">
        <v>121</v>
      </c>
      <c r="BK267" s="55" t="s">
        <v>121</v>
      </c>
      <c r="BL267" s="55" t="s">
        <v>121</v>
      </c>
      <c r="BM267" s="1" t="s">
        <v>121</v>
      </c>
      <c r="BN267" s="1" t="s">
        <v>121</v>
      </c>
      <c r="BO267" s="1" t="s">
        <v>121</v>
      </c>
      <c r="BP267" s="1" t="s">
        <v>121</v>
      </c>
      <c r="BQ267" s="1" t="s">
        <v>121</v>
      </c>
      <c r="BR267" s="1" t="s">
        <v>121</v>
      </c>
      <c r="BS267" s="1" t="s">
        <v>121</v>
      </c>
      <c r="BT267" s="1" t="s">
        <v>121</v>
      </c>
      <c r="BU267" s="1" t="s">
        <v>121</v>
      </c>
      <c r="BV267" s="1" t="s">
        <v>121</v>
      </c>
      <c r="BW267" s="1" t="s">
        <v>121</v>
      </c>
      <c r="BX267" s="1" t="s">
        <v>121</v>
      </c>
      <c r="BY267" s="1" t="s">
        <v>121</v>
      </c>
      <c r="BZ267" s="1" t="s">
        <v>121</v>
      </c>
      <c r="CA267" s="1" t="s">
        <v>121</v>
      </c>
      <c r="CB267" s="1" t="s">
        <v>121</v>
      </c>
      <c r="CC267" s="1" t="s">
        <v>121</v>
      </c>
      <c r="CD267" s="1" t="s">
        <v>121</v>
      </c>
      <c r="CE267" s="1" t="s">
        <v>121</v>
      </c>
      <c r="CF267" s="1" t="s">
        <v>121</v>
      </c>
      <c r="CG267" s="1" t="s">
        <v>121</v>
      </c>
      <c r="CH267" s="1" t="s">
        <v>121</v>
      </c>
      <c r="CI267" s="1" t="s">
        <v>121</v>
      </c>
      <c r="CJ267" s="1" t="s">
        <v>121</v>
      </c>
      <c r="CK267" s="1" t="s">
        <v>121</v>
      </c>
      <c r="CL267" s="1" t="s">
        <v>121</v>
      </c>
      <c r="CM267" s="1" t="s">
        <v>121</v>
      </c>
      <c r="CN267" s="1" t="s">
        <v>121</v>
      </c>
      <c r="CO267" s="1" t="s">
        <v>121</v>
      </c>
      <c r="CP267" s="1" t="s">
        <v>121</v>
      </c>
      <c r="CQ267" s="1" t="s">
        <v>121</v>
      </c>
      <c r="CR267" s="1" t="s">
        <v>121</v>
      </c>
      <c r="CS267" s="1" t="s">
        <v>121</v>
      </c>
      <c r="CT267" s="1" t="s">
        <v>121</v>
      </c>
      <c r="CU267" s="1" t="s">
        <v>121</v>
      </c>
      <c r="CV267" s="1" t="s">
        <v>121</v>
      </c>
      <c r="CW267" s="1" t="s">
        <v>121</v>
      </c>
      <c r="CX267" s="1" t="s">
        <v>121</v>
      </c>
      <c r="CY267" s="1" t="s">
        <v>121</v>
      </c>
      <c r="CZ267" s="1" t="s">
        <v>121</v>
      </c>
      <c r="DA267" s="1" t="s">
        <v>121</v>
      </c>
      <c r="DB267" s="1" t="s">
        <v>121</v>
      </c>
      <c r="DC267" s="1" t="s">
        <v>121</v>
      </c>
      <c r="DD267" s="1" t="s">
        <v>121</v>
      </c>
      <c r="DE267" s="1" t="s">
        <v>121</v>
      </c>
      <c r="DF267" s="1" t="s">
        <v>121</v>
      </c>
      <c r="DG267" s="1" t="s">
        <v>121</v>
      </c>
      <c r="DH267" s="1" t="s">
        <v>121</v>
      </c>
      <c r="DI267" s="1" t="s">
        <v>121</v>
      </c>
      <c r="DJ267" s="1" t="s">
        <v>121</v>
      </c>
      <c r="DK267" s="1" t="s">
        <v>121</v>
      </c>
      <c r="DL267" s="1" t="s">
        <v>121</v>
      </c>
      <c r="DM267" s="1" t="s">
        <v>121</v>
      </c>
      <c r="DN267" s="1" t="s">
        <v>121</v>
      </c>
      <c r="DO267" s="1" t="s">
        <v>121</v>
      </c>
      <c r="DP267" s="1" t="s">
        <v>121</v>
      </c>
      <c r="DQ267" s="1" t="s">
        <v>121</v>
      </c>
      <c r="DR267" s="1" t="s">
        <v>121</v>
      </c>
      <c r="DS267" s="1" t="s">
        <v>121</v>
      </c>
      <c r="DT267" s="1" t="s">
        <v>121</v>
      </c>
      <c r="DU267" s="1" t="s">
        <v>121</v>
      </c>
      <c r="DV267" s="1" t="s">
        <v>121</v>
      </c>
      <c r="DW267" s="1" t="s">
        <v>121</v>
      </c>
      <c r="DX267" s="1" t="s">
        <v>121</v>
      </c>
      <c r="DY267" s="1" t="s">
        <v>121</v>
      </c>
      <c r="DZ267" s="1" t="s">
        <v>121</v>
      </c>
      <c r="EA267" s="1" t="s">
        <v>121</v>
      </c>
      <c r="EB267" s="1" t="s">
        <v>121</v>
      </c>
      <c r="EC267" s="1" t="s">
        <v>121</v>
      </c>
      <c r="ED267" s="1" t="s">
        <v>121</v>
      </c>
      <c r="EE267" s="1" t="s">
        <v>121</v>
      </c>
      <c r="EF267" s="1" t="s">
        <v>121</v>
      </c>
      <c r="EG267" s="1" t="s">
        <v>121</v>
      </c>
      <c r="EH267" s="1" t="s">
        <v>121</v>
      </c>
      <c r="EI267" s="1" t="s">
        <v>121</v>
      </c>
      <c r="EJ267" s="1" t="s">
        <v>121</v>
      </c>
      <c r="EK267" s="1" t="s">
        <v>121</v>
      </c>
      <c r="EL267" s="1" t="s">
        <v>121</v>
      </c>
      <c r="EM267" s="1" t="s">
        <v>121</v>
      </c>
      <c r="EN267" s="1" t="s">
        <v>121</v>
      </c>
      <c r="EO267" s="1" t="s">
        <v>121</v>
      </c>
      <c r="EP267" s="1" t="s">
        <v>121</v>
      </c>
      <c r="EQ267" s="1" t="s">
        <v>121</v>
      </c>
      <c r="ER267" s="1" t="s">
        <v>121</v>
      </c>
      <c r="ES267" s="1" t="s">
        <v>121</v>
      </c>
      <c r="ET267" s="1" t="s">
        <v>121</v>
      </c>
      <c r="EU267" s="1" t="s">
        <v>121</v>
      </c>
      <c r="EV267" s="1" t="s">
        <v>121</v>
      </c>
      <c r="EW267" s="1" t="s">
        <v>121</v>
      </c>
      <c r="EX267" s="1" t="s">
        <v>121</v>
      </c>
    </row>
    <row r="268" spans="1:154" x14ac:dyDescent="0.25">
      <c r="A268" s="72">
        <v>268</v>
      </c>
      <c r="B268" s="74" t="s">
        <v>461</v>
      </c>
      <c r="C268" s="91">
        <f t="shared" ca="1" si="21"/>
        <v>0.27083333333333326</v>
      </c>
      <c r="D268" s="86"/>
      <c r="E268" s="92">
        <f t="shared" ca="1" si="22"/>
        <v>0.15094339622641506</v>
      </c>
      <c r="F268" s="77">
        <v>61</v>
      </c>
      <c r="G268" s="77">
        <v>48</v>
      </c>
      <c r="H268" s="77">
        <v>47</v>
      </c>
      <c r="I268" s="77">
        <v>60</v>
      </c>
      <c r="J268" s="77">
        <v>53</v>
      </c>
      <c r="K268" s="77">
        <v>77</v>
      </c>
      <c r="L268" s="77">
        <v>78</v>
      </c>
      <c r="M268" s="77">
        <v>63</v>
      </c>
      <c r="N268" s="77">
        <v>66</v>
      </c>
      <c r="O268" s="77">
        <v>52</v>
      </c>
      <c r="P268" s="77">
        <v>55</v>
      </c>
      <c r="Q268" s="405"/>
      <c r="R268" s="405"/>
      <c r="S268" s="405"/>
      <c r="T268" s="405"/>
      <c r="U268" s="77">
        <v>55</v>
      </c>
      <c r="V268" s="77">
        <v>45</v>
      </c>
      <c r="W268" s="77">
        <v>53</v>
      </c>
      <c r="X268" s="77">
        <v>44</v>
      </c>
      <c r="Y268" s="77">
        <v>72.490000000000009</v>
      </c>
      <c r="Z268" s="77">
        <v>51.022999999999996</v>
      </c>
      <c r="AA268" s="77">
        <v>41.116999999999997</v>
      </c>
      <c r="AB268" s="77">
        <v>53.37</v>
      </c>
      <c r="AC268" s="77">
        <v>73.607999999999976</v>
      </c>
      <c r="AD268" s="77">
        <v>78.367000000000004</v>
      </c>
      <c r="AE268" s="77">
        <v>46.049000000000007</v>
      </c>
      <c r="AF268" s="77">
        <v>46.741</v>
      </c>
      <c r="AG268" s="77">
        <v>71.805000000000007</v>
      </c>
      <c r="AH268" s="77">
        <v>62.497</v>
      </c>
      <c r="AI268" s="77">
        <v>65.706999999999994</v>
      </c>
      <c r="AJ268" s="77">
        <v>59.231000000000002</v>
      </c>
      <c r="AK268" s="77">
        <v>77.025000000000006</v>
      </c>
      <c r="AL268" s="77">
        <v>65.613000000000014</v>
      </c>
      <c r="AM268" s="77">
        <v>65.73299999999999</v>
      </c>
      <c r="AN268" s="77">
        <v>60.965000000000003</v>
      </c>
      <c r="AO268" s="77">
        <v>83.219000000000023</v>
      </c>
      <c r="AP268" s="77">
        <v>75.87700000000001</v>
      </c>
      <c r="AQ268" s="77">
        <v>82.198999999999998</v>
      </c>
      <c r="AR268" s="77">
        <v>73.001999999999995</v>
      </c>
      <c r="AS268" s="77">
        <v>72.054000000000002</v>
      </c>
      <c r="AT268" s="77">
        <v>59.745000000000005</v>
      </c>
      <c r="AU268" s="77">
        <v>59.000999999999998</v>
      </c>
      <c r="AV268" s="77">
        <v>52.213000000000001</v>
      </c>
      <c r="AW268" s="77">
        <v>54.410999999999973</v>
      </c>
      <c r="AX268" s="77">
        <v>89.172000000000025</v>
      </c>
      <c r="AY268" s="77">
        <v>102.88199999999999</v>
      </c>
      <c r="AZ268" s="55">
        <v>56.3</v>
      </c>
      <c r="BA268" s="55">
        <v>68.260000000000019</v>
      </c>
      <c r="BB268" s="55">
        <v>47.861999999999995</v>
      </c>
      <c r="BC268" s="55">
        <v>45.336999999999996</v>
      </c>
      <c r="BD268" s="55">
        <v>37.252000000000002</v>
      </c>
      <c r="BE268" s="55">
        <v>52.648000000000025</v>
      </c>
      <c r="BF268" s="55">
        <v>46.147999999999982</v>
      </c>
      <c r="BG268" s="55">
        <v>48.555000000000007</v>
      </c>
      <c r="BH268" s="55">
        <v>41.741</v>
      </c>
      <c r="BI268" s="55">
        <v>55.387</v>
      </c>
      <c r="BJ268" s="55">
        <v>48.995999999999995</v>
      </c>
      <c r="BK268" s="55">
        <v>49.076999999999998</v>
      </c>
      <c r="BL268" s="55">
        <v>42.253</v>
      </c>
      <c r="BM268" s="1">
        <v>61.706999999999994</v>
      </c>
      <c r="BN268" s="1">
        <v>50.819000000000003</v>
      </c>
      <c r="BO268" s="1">
        <v>48.745999999999995</v>
      </c>
      <c r="BP268" s="1">
        <v>43.338999999999999</v>
      </c>
      <c r="BQ268" s="1" t="s">
        <v>121</v>
      </c>
      <c r="BR268" s="1" t="s">
        <v>121</v>
      </c>
      <c r="BS268" s="1" t="s">
        <v>121</v>
      </c>
      <c r="BT268" s="1" t="s">
        <v>121</v>
      </c>
      <c r="BU268" s="1" t="s">
        <v>121</v>
      </c>
      <c r="BV268" s="1" t="s">
        <v>121</v>
      </c>
      <c r="BW268" s="1" t="s">
        <v>121</v>
      </c>
      <c r="BX268" s="1" t="s">
        <v>121</v>
      </c>
      <c r="BY268" s="1" t="s">
        <v>121</v>
      </c>
      <c r="BZ268" s="1" t="s">
        <v>121</v>
      </c>
      <c r="CA268" s="1" t="s">
        <v>121</v>
      </c>
      <c r="CB268" s="1" t="s">
        <v>121</v>
      </c>
      <c r="CC268" s="1" t="s">
        <v>121</v>
      </c>
      <c r="CD268" s="1" t="s">
        <v>121</v>
      </c>
      <c r="CE268" s="1" t="s">
        <v>121</v>
      </c>
      <c r="CF268" s="1" t="s">
        <v>121</v>
      </c>
      <c r="CG268" s="1" t="s">
        <v>121</v>
      </c>
      <c r="CH268" s="1" t="s">
        <v>121</v>
      </c>
      <c r="CI268" s="1" t="s">
        <v>121</v>
      </c>
      <c r="CJ268" s="1" t="s">
        <v>121</v>
      </c>
      <c r="CK268" s="1" t="s">
        <v>121</v>
      </c>
      <c r="CL268" s="1" t="s">
        <v>121</v>
      </c>
      <c r="CM268" s="1" t="s">
        <v>121</v>
      </c>
      <c r="CN268" s="1" t="s">
        <v>121</v>
      </c>
      <c r="CO268" s="1" t="s">
        <v>121</v>
      </c>
      <c r="CP268" s="1" t="s">
        <v>121</v>
      </c>
      <c r="CQ268" s="1" t="s">
        <v>121</v>
      </c>
      <c r="CR268" s="1" t="s">
        <v>121</v>
      </c>
      <c r="CS268" s="1" t="s">
        <v>121</v>
      </c>
      <c r="CT268" s="1" t="s">
        <v>121</v>
      </c>
      <c r="CU268" s="1" t="s">
        <v>121</v>
      </c>
      <c r="CV268" s="1" t="s">
        <v>121</v>
      </c>
      <c r="CW268" s="1" t="s">
        <v>121</v>
      </c>
      <c r="CX268" s="1" t="s">
        <v>121</v>
      </c>
      <c r="CY268" s="1" t="s">
        <v>121</v>
      </c>
      <c r="CZ268" s="1" t="s">
        <v>121</v>
      </c>
      <c r="DA268" s="1" t="s">
        <v>121</v>
      </c>
      <c r="DB268" s="1" t="s">
        <v>121</v>
      </c>
      <c r="DC268" s="1" t="s">
        <v>121</v>
      </c>
      <c r="DD268" s="1" t="s">
        <v>121</v>
      </c>
      <c r="DE268" s="1" t="s">
        <v>121</v>
      </c>
      <c r="DF268" s="1" t="s">
        <v>121</v>
      </c>
      <c r="DG268" s="1" t="s">
        <v>121</v>
      </c>
      <c r="DH268" s="1" t="s">
        <v>121</v>
      </c>
      <c r="DI268" s="1" t="s">
        <v>121</v>
      </c>
      <c r="DJ268" s="1" t="s">
        <v>121</v>
      </c>
      <c r="DK268" s="1" t="s">
        <v>121</v>
      </c>
      <c r="DL268" s="1" t="s">
        <v>121</v>
      </c>
      <c r="DM268" s="1" t="s">
        <v>121</v>
      </c>
      <c r="DN268" s="1" t="s">
        <v>121</v>
      </c>
      <c r="DO268" s="1" t="s">
        <v>121</v>
      </c>
      <c r="DP268" s="1" t="s">
        <v>121</v>
      </c>
      <c r="DQ268" s="1" t="s">
        <v>121</v>
      </c>
      <c r="DR268" s="1" t="s">
        <v>121</v>
      </c>
      <c r="DS268" s="1" t="s">
        <v>121</v>
      </c>
      <c r="DT268" s="1" t="s">
        <v>121</v>
      </c>
      <c r="DU268" s="1" t="s">
        <v>121</v>
      </c>
      <c r="DV268" s="1" t="s">
        <v>121</v>
      </c>
      <c r="DW268" s="1" t="s">
        <v>121</v>
      </c>
      <c r="DX268" s="1" t="s">
        <v>121</v>
      </c>
      <c r="DY268" s="1" t="s">
        <v>121</v>
      </c>
      <c r="DZ268" s="1" t="s">
        <v>121</v>
      </c>
      <c r="EA268" s="1" t="s">
        <v>121</v>
      </c>
      <c r="EB268" s="1" t="s">
        <v>121</v>
      </c>
      <c r="EC268" s="1" t="s">
        <v>121</v>
      </c>
      <c r="ED268" s="1" t="s">
        <v>121</v>
      </c>
      <c r="EE268" s="1" t="s">
        <v>121</v>
      </c>
      <c r="EF268" s="1" t="s">
        <v>121</v>
      </c>
      <c r="EG268" s="1" t="s">
        <v>121</v>
      </c>
      <c r="EH268" s="1" t="s">
        <v>121</v>
      </c>
      <c r="EI268" s="1" t="s">
        <v>121</v>
      </c>
      <c r="EJ268" s="1" t="s">
        <v>121</v>
      </c>
      <c r="EK268" s="1" t="s">
        <v>121</v>
      </c>
      <c r="EL268" s="1" t="s">
        <v>121</v>
      </c>
      <c r="EM268" s="1" t="s">
        <v>121</v>
      </c>
      <c r="EN268" s="1" t="s">
        <v>121</v>
      </c>
      <c r="EO268" s="1" t="s">
        <v>121</v>
      </c>
      <c r="EP268" s="1" t="s">
        <v>121</v>
      </c>
      <c r="EQ268" s="1" t="s">
        <v>121</v>
      </c>
      <c r="ER268" s="1" t="s">
        <v>121</v>
      </c>
      <c r="ES268" s="1" t="s">
        <v>121</v>
      </c>
      <c r="ET268" s="1" t="s">
        <v>121</v>
      </c>
      <c r="EU268" s="1" t="s">
        <v>121</v>
      </c>
      <c r="EV268" s="1" t="s">
        <v>121</v>
      </c>
      <c r="EW268" s="1" t="s">
        <v>121</v>
      </c>
      <c r="EX268" s="1" t="s">
        <v>121</v>
      </c>
    </row>
    <row r="269" spans="1:154" x14ac:dyDescent="0.25">
      <c r="A269" s="72">
        <v>269</v>
      </c>
      <c r="B269" s="74" t="s">
        <v>462</v>
      </c>
      <c r="C269" s="91"/>
      <c r="D269" s="86"/>
      <c r="E269" s="92"/>
      <c r="F269" s="77" t="s">
        <v>121</v>
      </c>
      <c r="G269" s="77" t="s">
        <v>121</v>
      </c>
      <c r="H269" s="77" t="s">
        <v>121</v>
      </c>
      <c r="I269" s="77" t="s">
        <v>121</v>
      </c>
      <c r="J269" s="77" t="s">
        <v>121</v>
      </c>
      <c r="K269" s="77" t="s">
        <v>121</v>
      </c>
      <c r="L269" s="77" t="s">
        <v>121</v>
      </c>
      <c r="M269" s="77" t="s">
        <v>121</v>
      </c>
      <c r="N269" s="77" t="s">
        <v>121</v>
      </c>
      <c r="O269" s="77">
        <v>5</v>
      </c>
      <c r="P269" s="77">
        <v>30</v>
      </c>
      <c r="Q269" s="405"/>
      <c r="R269" s="405"/>
      <c r="S269" s="405"/>
      <c r="T269" s="405"/>
      <c r="U269" s="77">
        <v>47</v>
      </c>
      <c r="V269" s="77">
        <v>50</v>
      </c>
      <c r="W269" s="77">
        <v>70</v>
      </c>
      <c r="X269" s="77">
        <v>27</v>
      </c>
      <c r="Y269" s="77">
        <v>16.864999999999995</v>
      </c>
      <c r="Z269" s="77">
        <v>37.042000000000002</v>
      </c>
      <c r="AA269" s="77">
        <v>37.789000000000001</v>
      </c>
      <c r="AB269" s="77">
        <v>14.304</v>
      </c>
      <c r="AC269" s="77">
        <v>29.356000000000002</v>
      </c>
      <c r="AD269" s="77">
        <v>13.806999999999999</v>
      </c>
      <c r="AE269" s="77">
        <v>10.636999999999999</v>
      </c>
      <c r="AF269" s="77">
        <v>8.4380000000000006</v>
      </c>
      <c r="AG269" s="77" t="s">
        <v>121</v>
      </c>
      <c r="AH269" s="77" t="s">
        <v>121</v>
      </c>
      <c r="AI269" s="77" t="s">
        <v>121</v>
      </c>
      <c r="AJ269" s="77" t="s">
        <v>121</v>
      </c>
      <c r="AK269" s="77" t="s">
        <v>121</v>
      </c>
      <c r="AL269" s="77" t="s">
        <v>121</v>
      </c>
      <c r="AM269" s="77" t="s">
        <v>121</v>
      </c>
      <c r="AN269" s="77" t="s">
        <v>121</v>
      </c>
      <c r="AO269" s="77" t="s">
        <v>121</v>
      </c>
      <c r="AP269" s="77" t="s">
        <v>121</v>
      </c>
      <c r="AQ269" s="77" t="s">
        <v>121</v>
      </c>
      <c r="AR269" s="77" t="s">
        <v>121</v>
      </c>
      <c r="AS269" s="77" t="s">
        <v>121</v>
      </c>
      <c r="AT269" s="77" t="s">
        <v>121</v>
      </c>
      <c r="AU269" s="77" t="s">
        <v>121</v>
      </c>
      <c r="AV269" s="77" t="s">
        <v>121</v>
      </c>
      <c r="AW269" s="77" t="s">
        <v>121</v>
      </c>
      <c r="AX269" s="77" t="s">
        <v>121</v>
      </c>
      <c r="AY269" s="77" t="s">
        <v>121</v>
      </c>
      <c r="AZ269" s="55" t="s">
        <v>121</v>
      </c>
      <c r="BA269" s="55" t="s">
        <v>121</v>
      </c>
      <c r="BB269" s="55" t="s">
        <v>121</v>
      </c>
      <c r="BC269" s="55" t="s">
        <v>121</v>
      </c>
      <c r="BD269" s="55" t="s">
        <v>121</v>
      </c>
      <c r="BE269" s="55" t="s">
        <v>121</v>
      </c>
      <c r="BF269" s="55" t="s">
        <v>121</v>
      </c>
      <c r="BG269" s="55" t="s">
        <v>121</v>
      </c>
      <c r="BH269" s="55" t="s">
        <v>121</v>
      </c>
      <c r="BI269" s="55" t="s">
        <v>121</v>
      </c>
      <c r="BJ269" s="55" t="s">
        <v>121</v>
      </c>
      <c r="BK269" s="55" t="s">
        <v>121</v>
      </c>
      <c r="BL269" s="55" t="s">
        <v>121</v>
      </c>
      <c r="BM269" s="1" t="s">
        <v>121</v>
      </c>
      <c r="BN269" s="1" t="s">
        <v>121</v>
      </c>
      <c r="BO269" s="1" t="s">
        <v>121</v>
      </c>
      <c r="BP269" s="1" t="s">
        <v>121</v>
      </c>
      <c r="BQ269" s="1" t="s">
        <v>121</v>
      </c>
      <c r="BR269" s="1" t="s">
        <v>121</v>
      </c>
      <c r="BS269" s="1" t="s">
        <v>121</v>
      </c>
      <c r="BT269" s="1" t="s">
        <v>121</v>
      </c>
      <c r="BU269" s="1" t="s">
        <v>121</v>
      </c>
      <c r="BV269" s="1" t="s">
        <v>121</v>
      </c>
      <c r="BW269" s="1" t="s">
        <v>121</v>
      </c>
      <c r="BX269" s="1" t="s">
        <v>121</v>
      </c>
      <c r="BY269" s="1" t="s">
        <v>121</v>
      </c>
      <c r="BZ269" s="1" t="s">
        <v>121</v>
      </c>
      <c r="CA269" s="1" t="s">
        <v>121</v>
      </c>
      <c r="CB269" s="1" t="s">
        <v>121</v>
      </c>
      <c r="CC269" s="1" t="s">
        <v>121</v>
      </c>
      <c r="CD269" s="1" t="s">
        <v>121</v>
      </c>
      <c r="CE269" s="1" t="s">
        <v>121</v>
      </c>
      <c r="CF269" s="1" t="s">
        <v>121</v>
      </c>
      <c r="CG269" s="1" t="s">
        <v>121</v>
      </c>
      <c r="CH269" s="1" t="s">
        <v>121</v>
      </c>
      <c r="CI269" s="1" t="s">
        <v>121</v>
      </c>
      <c r="CJ269" s="1" t="s">
        <v>121</v>
      </c>
      <c r="CK269" s="1" t="s">
        <v>121</v>
      </c>
      <c r="CL269" s="1" t="s">
        <v>121</v>
      </c>
      <c r="CM269" s="1" t="s">
        <v>121</v>
      </c>
      <c r="CN269" s="1" t="s">
        <v>121</v>
      </c>
      <c r="CO269" s="1" t="s">
        <v>121</v>
      </c>
      <c r="CP269" s="1" t="s">
        <v>121</v>
      </c>
      <c r="CQ269" s="1" t="s">
        <v>121</v>
      </c>
      <c r="CR269" s="1" t="s">
        <v>121</v>
      </c>
      <c r="CS269" s="1" t="s">
        <v>121</v>
      </c>
      <c r="CT269" s="1" t="s">
        <v>121</v>
      </c>
      <c r="CU269" s="1" t="s">
        <v>121</v>
      </c>
      <c r="CV269" s="1" t="s">
        <v>121</v>
      </c>
      <c r="CW269" s="1" t="s">
        <v>121</v>
      </c>
      <c r="CX269" s="1" t="s">
        <v>121</v>
      </c>
      <c r="CY269" s="1" t="s">
        <v>121</v>
      </c>
      <c r="CZ269" s="1" t="s">
        <v>121</v>
      </c>
      <c r="DA269" s="1" t="s">
        <v>121</v>
      </c>
      <c r="DB269" s="1" t="s">
        <v>121</v>
      </c>
      <c r="DC269" s="1" t="s">
        <v>121</v>
      </c>
      <c r="DD269" s="1" t="s">
        <v>121</v>
      </c>
      <c r="DE269" s="1" t="s">
        <v>121</v>
      </c>
      <c r="DF269" s="1" t="s">
        <v>121</v>
      </c>
      <c r="DG269" s="1" t="s">
        <v>121</v>
      </c>
      <c r="DH269" s="1" t="s">
        <v>121</v>
      </c>
      <c r="DI269" s="1" t="s">
        <v>121</v>
      </c>
      <c r="DJ269" s="1" t="s">
        <v>121</v>
      </c>
      <c r="DK269" s="1" t="s">
        <v>121</v>
      </c>
      <c r="DL269" s="1" t="s">
        <v>121</v>
      </c>
      <c r="DM269" s="1" t="s">
        <v>121</v>
      </c>
      <c r="DN269" s="1" t="s">
        <v>121</v>
      </c>
      <c r="DO269" s="1" t="s">
        <v>121</v>
      </c>
      <c r="DP269" s="1" t="s">
        <v>121</v>
      </c>
      <c r="DQ269" s="1" t="s">
        <v>121</v>
      </c>
      <c r="DR269" s="1" t="s">
        <v>121</v>
      </c>
      <c r="DS269" s="1" t="s">
        <v>121</v>
      </c>
      <c r="DT269" s="1" t="s">
        <v>121</v>
      </c>
      <c r="DU269" s="1" t="s">
        <v>121</v>
      </c>
      <c r="DV269" s="1" t="s">
        <v>121</v>
      </c>
      <c r="DW269" s="1" t="s">
        <v>121</v>
      </c>
      <c r="DX269" s="1" t="s">
        <v>121</v>
      </c>
      <c r="DY269" s="1" t="s">
        <v>121</v>
      </c>
      <c r="DZ269" s="1" t="s">
        <v>121</v>
      </c>
      <c r="EA269" s="1" t="s">
        <v>121</v>
      </c>
      <c r="EB269" s="1" t="s">
        <v>121</v>
      </c>
      <c r="EC269" s="1" t="s">
        <v>121</v>
      </c>
      <c r="ED269" s="1" t="s">
        <v>121</v>
      </c>
      <c r="EE269" s="1" t="s">
        <v>121</v>
      </c>
      <c r="EF269" s="1" t="s">
        <v>121</v>
      </c>
      <c r="EG269" s="1" t="s">
        <v>121</v>
      </c>
      <c r="EH269" s="1" t="s">
        <v>121</v>
      </c>
      <c r="EI269" s="1" t="s">
        <v>121</v>
      </c>
      <c r="EJ269" s="1" t="s">
        <v>121</v>
      </c>
      <c r="EK269" s="1" t="s">
        <v>121</v>
      </c>
      <c r="EL269" s="1" t="s">
        <v>121</v>
      </c>
      <c r="EM269" s="1" t="s">
        <v>121</v>
      </c>
      <c r="EN269" s="1" t="s">
        <v>121</v>
      </c>
      <c r="EO269" s="1" t="s">
        <v>121</v>
      </c>
      <c r="EP269" s="1" t="s">
        <v>121</v>
      </c>
      <c r="EQ269" s="1" t="s">
        <v>121</v>
      </c>
      <c r="ER269" s="1" t="s">
        <v>121</v>
      </c>
      <c r="ES269" s="1" t="s">
        <v>121</v>
      </c>
      <c r="ET269" s="1" t="s">
        <v>121</v>
      </c>
      <c r="EU269" s="1" t="s">
        <v>121</v>
      </c>
      <c r="EV269" s="1" t="s">
        <v>121</v>
      </c>
      <c r="EW269" s="1" t="s">
        <v>121</v>
      </c>
      <c r="EX269" s="1" t="s">
        <v>121</v>
      </c>
    </row>
    <row r="270" spans="1:154" x14ac:dyDescent="0.25">
      <c r="A270" s="72">
        <v>270</v>
      </c>
      <c r="B270" s="74" t="s">
        <v>463</v>
      </c>
      <c r="C270" s="91">
        <f t="shared" ca="1" si="21"/>
        <v>4.7619047619047672E-2</v>
      </c>
      <c r="D270" s="86"/>
      <c r="E270" s="92">
        <f t="shared" ca="1" si="22"/>
        <v>-4.3478260869565188E-2</v>
      </c>
      <c r="F270" s="77">
        <v>22</v>
      </c>
      <c r="G270" s="77">
        <v>21</v>
      </c>
      <c r="H270" s="77">
        <v>21</v>
      </c>
      <c r="I270" s="77">
        <v>22</v>
      </c>
      <c r="J270" s="77">
        <v>23</v>
      </c>
      <c r="K270" s="77">
        <v>22</v>
      </c>
      <c r="L270" s="77">
        <v>20</v>
      </c>
      <c r="M270" s="77">
        <v>19</v>
      </c>
      <c r="N270" s="77">
        <v>20</v>
      </c>
      <c r="O270" s="77">
        <v>20</v>
      </c>
      <c r="P270" s="77">
        <v>18</v>
      </c>
      <c r="Q270" s="405"/>
      <c r="R270" s="405"/>
      <c r="S270" s="405"/>
      <c r="T270" s="405"/>
      <c r="U270" s="77">
        <v>26</v>
      </c>
      <c r="V270" s="77">
        <v>27</v>
      </c>
      <c r="W270" s="77">
        <v>30</v>
      </c>
      <c r="X270" s="77">
        <v>28</v>
      </c>
      <c r="Y270" s="77">
        <v>31.603999999999999</v>
      </c>
      <c r="Z270" s="77">
        <v>26.524000000000001</v>
      </c>
      <c r="AA270" s="77">
        <v>19.947000000000003</v>
      </c>
      <c r="AB270" s="77">
        <v>35.924999999999997</v>
      </c>
      <c r="AC270" s="77">
        <v>41.201999999999998</v>
      </c>
      <c r="AD270" s="77">
        <v>31.897999999999996</v>
      </c>
      <c r="AE270" s="77">
        <v>56.364999999999995</v>
      </c>
      <c r="AF270" s="77">
        <v>46.747</v>
      </c>
      <c r="AG270" s="77">
        <v>50.620000000000005</v>
      </c>
      <c r="AH270" s="77">
        <v>52.367999999999995</v>
      </c>
      <c r="AI270" s="77">
        <v>47.508000000000003</v>
      </c>
      <c r="AJ270" s="77">
        <v>46.015999999999998</v>
      </c>
      <c r="AK270" s="77">
        <v>49.610000000000014</v>
      </c>
      <c r="AL270" s="77">
        <v>47.813000000000002</v>
      </c>
      <c r="AM270" s="77">
        <v>54.501999999999995</v>
      </c>
      <c r="AN270" s="77">
        <v>50.957999999999998</v>
      </c>
      <c r="AO270" s="77">
        <v>51.087999999999994</v>
      </c>
      <c r="AP270" s="77">
        <v>50.391999999999996</v>
      </c>
      <c r="AQ270" s="77">
        <v>44.779000000000003</v>
      </c>
      <c r="AR270" s="77">
        <v>44.048999999999999</v>
      </c>
      <c r="AS270" s="77">
        <v>43.412000000000006</v>
      </c>
      <c r="AT270" s="77">
        <v>41.167000000000002</v>
      </c>
      <c r="AU270" s="77">
        <v>42.8</v>
      </c>
      <c r="AV270" s="77">
        <v>40.412999999999997</v>
      </c>
      <c r="AW270" s="77">
        <v>41.371999999999986</v>
      </c>
      <c r="AX270" s="77">
        <v>38.619</v>
      </c>
      <c r="AY270" s="77">
        <v>40.937000000000005</v>
      </c>
      <c r="AZ270" s="55">
        <v>39.247999999999998</v>
      </c>
      <c r="BA270" s="55">
        <v>38.160999999999987</v>
      </c>
      <c r="BB270" s="55">
        <v>35.681000000000012</v>
      </c>
      <c r="BC270" s="55">
        <v>41.330999999999996</v>
      </c>
      <c r="BD270" s="55">
        <v>38.878999999999998</v>
      </c>
      <c r="BE270" s="55">
        <v>38.082999999999998</v>
      </c>
      <c r="BF270" s="55">
        <v>34.542999999999992</v>
      </c>
      <c r="BG270" s="55">
        <v>32.564999999999998</v>
      </c>
      <c r="BH270" s="55">
        <v>28.855</v>
      </c>
      <c r="BI270" s="55">
        <v>31.460000000000008</v>
      </c>
      <c r="BJ270" s="55">
        <v>28.330999999999996</v>
      </c>
      <c r="BK270" s="55">
        <v>28.356000000000002</v>
      </c>
      <c r="BL270" s="55">
        <v>24.015000000000001</v>
      </c>
      <c r="BM270" s="1">
        <v>26.715000000000003</v>
      </c>
      <c r="BN270" s="1">
        <v>25.449999999999996</v>
      </c>
      <c r="BO270" s="1">
        <v>24.745000000000005</v>
      </c>
      <c r="BP270" s="1">
        <v>20.905999999999999</v>
      </c>
      <c r="BQ270" s="1" t="s">
        <v>121</v>
      </c>
      <c r="BR270" s="1" t="s">
        <v>121</v>
      </c>
      <c r="BS270" s="1" t="s">
        <v>121</v>
      </c>
      <c r="BT270" s="1" t="s">
        <v>121</v>
      </c>
      <c r="BU270" s="1" t="s">
        <v>121</v>
      </c>
      <c r="BV270" s="1" t="s">
        <v>121</v>
      </c>
      <c r="BW270" s="1" t="s">
        <v>121</v>
      </c>
      <c r="BX270" s="1" t="s">
        <v>121</v>
      </c>
      <c r="BY270" s="1" t="s">
        <v>121</v>
      </c>
      <c r="BZ270" s="1" t="s">
        <v>121</v>
      </c>
      <c r="CA270" s="1" t="s">
        <v>121</v>
      </c>
      <c r="CB270" s="1" t="s">
        <v>121</v>
      </c>
      <c r="CC270" s="1" t="s">
        <v>121</v>
      </c>
      <c r="CD270" s="1" t="s">
        <v>121</v>
      </c>
      <c r="CE270" s="1" t="s">
        <v>121</v>
      </c>
      <c r="CF270" s="1" t="s">
        <v>121</v>
      </c>
      <c r="CG270" s="1" t="s">
        <v>121</v>
      </c>
      <c r="CH270" s="1" t="s">
        <v>121</v>
      </c>
      <c r="CI270" s="1" t="s">
        <v>121</v>
      </c>
      <c r="CJ270" s="1" t="s">
        <v>121</v>
      </c>
      <c r="CK270" s="1" t="s">
        <v>121</v>
      </c>
      <c r="CL270" s="1" t="s">
        <v>121</v>
      </c>
      <c r="CM270" s="1" t="s">
        <v>121</v>
      </c>
      <c r="CN270" s="1" t="s">
        <v>121</v>
      </c>
      <c r="CO270" s="1" t="s">
        <v>121</v>
      </c>
      <c r="CP270" s="1" t="s">
        <v>121</v>
      </c>
      <c r="CQ270" s="1" t="s">
        <v>121</v>
      </c>
      <c r="CR270" s="1" t="s">
        <v>121</v>
      </c>
      <c r="CS270" s="1" t="s">
        <v>121</v>
      </c>
      <c r="CT270" s="1" t="s">
        <v>121</v>
      </c>
      <c r="CU270" s="1" t="s">
        <v>121</v>
      </c>
      <c r="CV270" s="1" t="s">
        <v>121</v>
      </c>
      <c r="CW270" s="1" t="s">
        <v>121</v>
      </c>
      <c r="CX270" s="1" t="s">
        <v>121</v>
      </c>
      <c r="CY270" s="1" t="s">
        <v>121</v>
      </c>
      <c r="CZ270" s="1" t="s">
        <v>121</v>
      </c>
      <c r="DA270" s="1" t="s">
        <v>121</v>
      </c>
      <c r="DB270" s="1" t="s">
        <v>121</v>
      </c>
      <c r="DC270" s="1" t="s">
        <v>121</v>
      </c>
      <c r="DD270" s="1" t="s">
        <v>121</v>
      </c>
      <c r="DE270" s="1" t="s">
        <v>121</v>
      </c>
      <c r="DF270" s="1" t="s">
        <v>121</v>
      </c>
      <c r="DG270" s="1" t="s">
        <v>121</v>
      </c>
      <c r="DH270" s="1" t="s">
        <v>121</v>
      </c>
      <c r="DI270" s="1" t="s">
        <v>121</v>
      </c>
      <c r="DJ270" s="1" t="s">
        <v>121</v>
      </c>
      <c r="DK270" s="1" t="s">
        <v>121</v>
      </c>
      <c r="DL270" s="1" t="s">
        <v>121</v>
      </c>
      <c r="DM270" s="1" t="s">
        <v>121</v>
      </c>
      <c r="DN270" s="1" t="s">
        <v>121</v>
      </c>
      <c r="DO270" s="1" t="s">
        <v>121</v>
      </c>
      <c r="DP270" s="1" t="s">
        <v>121</v>
      </c>
      <c r="DQ270" s="1" t="s">
        <v>121</v>
      </c>
      <c r="DR270" s="1" t="s">
        <v>121</v>
      </c>
      <c r="DS270" s="1" t="s">
        <v>121</v>
      </c>
      <c r="DT270" s="1" t="s">
        <v>121</v>
      </c>
      <c r="DU270" s="1" t="s">
        <v>121</v>
      </c>
      <c r="DV270" s="1" t="s">
        <v>121</v>
      </c>
      <c r="DW270" s="1" t="s">
        <v>121</v>
      </c>
      <c r="DX270" s="1" t="s">
        <v>121</v>
      </c>
      <c r="DY270" s="1" t="s">
        <v>121</v>
      </c>
      <c r="DZ270" s="1" t="s">
        <v>121</v>
      </c>
      <c r="EA270" s="1" t="s">
        <v>121</v>
      </c>
      <c r="EB270" s="1" t="s">
        <v>121</v>
      </c>
      <c r="EC270" s="1" t="s">
        <v>121</v>
      </c>
      <c r="ED270" s="1" t="s">
        <v>121</v>
      </c>
      <c r="EE270" s="1" t="s">
        <v>121</v>
      </c>
      <c r="EF270" s="1" t="s">
        <v>121</v>
      </c>
      <c r="EG270" s="1" t="s">
        <v>121</v>
      </c>
      <c r="EH270" s="1" t="s">
        <v>121</v>
      </c>
      <c r="EI270" s="1" t="s">
        <v>121</v>
      </c>
      <c r="EJ270" s="1" t="s">
        <v>121</v>
      </c>
      <c r="EK270" s="1" t="s">
        <v>121</v>
      </c>
      <c r="EL270" s="1" t="s">
        <v>121</v>
      </c>
      <c r="EM270" s="1" t="s">
        <v>121</v>
      </c>
      <c r="EN270" s="1" t="s">
        <v>121</v>
      </c>
      <c r="EO270" s="1" t="s">
        <v>121</v>
      </c>
      <c r="EP270" s="1" t="s">
        <v>121</v>
      </c>
      <c r="EQ270" s="1" t="s">
        <v>121</v>
      </c>
      <c r="ER270" s="1" t="s">
        <v>121</v>
      </c>
      <c r="ES270" s="1" t="s">
        <v>121</v>
      </c>
      <c r="ET270" s="1" t="s">
        <v>121</v>
      </c>
      <c r="EU270" s="1" t="s">
        <v>121</v>
      </c>
      <c r="EV270" s="1" t="s">
        <v>121</v>
      </c>
      <c r="EW270" s="1" t="s">
        <v>121</v>
      </c>
      <c r="EX270" s="1" t="s">
        <v>121</v>
      </c>
    </row>
    <row r="271" spans="1:154" x14ac:dyDescent="0.25">
      <c r="A271" s="72">
        <v>271</v>
      </c>
      <c r="B271" s="74" t="s">
        <v>464</v>
      </c>
      <c r="C271" s="91">
        <f t="shared" ca="1" si="21"/>
        <v>0</v>
      </c>
      <c r="D271" s="86"/>
      <c r="E271" s="92">
        <f t="shared" ca="1" si="22"/>
        <v>-0.11111111111111116</v>
      </c>
      <c r="F271" s="77">
        <v>16</v>
      </c>
      <c r="G271" s="77">
        <v>16</v>
      </c>
      <c r="H271" s="77">
        <v>16</v>
      </c>
      <c r="I271" s="77">
        <v>16</v>
      </c>
      <c r="J271" s="77">
        <v>18</v>
      </c>
      <c r="K271" s="77">
        <v>18</v>
      </c>
      <c r="L271" s="77">
        <v>17</v>
      </c>
      <c r="M271" s="77">
        <v>17</v>
      </c>
      <c r="N271" s="77">
        <v>18</v>
      </c>
      <c r="O271" s="77">
        <v>17</v>
      </c>
      <c r="P271" s="77">
        <v>17</v>
      </c>
      <c r="Q271" s="405"/>
      <c r="R271" s="405"/>
      <c r="S271" s="405"/>
      <c r="T271" s="405"/>
      <c r="U271" s="77">
        <v>14</v>
      </c>
      <c r="V271" s="77">
        <v>15</v>
      </c>
      <c r="W271" s="77">
        <v>15</v>
      </c>
      <c r="X271" s="77">
        <v>14</v>
      </c>
      <c r="Y271" s="77">
        <v>14.698999999999998</v>
      </c>
      <c r="Z271" s="77">
        <v>14.655000000000001</v>
      </c>
      <c r="AA271" s="77">
        <v>14.134</v>
      </c>
      <c r="AB271" s="77">
        <v>14.512</v>
      </c>
      <c r="AC271" s="77">
        <v>14.655999999999999</v>
      </c>
      <c r="AD271" s="77">
        <v>14.745000000000001</v>
      </c>
      <c r="AE271" s="77">
        <v>14.265000000000001</v>
      </c>
      <c r="AF271" s="77">
        <v>13.922000000000001</v>
      </c>
      <c r="AG271" s="77">
        <v>14.326000000000001</v>
      </c>
      <c r="AH271" s="77">
        <v>14.825000000000003</v>
      </c>
      <c r="AI271" s="77">
        <v>14.885</v>
      </c>
      <c r="AJ271" s="77">
        <v>14.789</v>
      </c>
      <c r="AK271" s="77">
        <v>16.309000000000005</v>
      </c>
      <c r="AL271" s="77">
        <v>15.046999999999997</v>
      </c>
      <c r="AM271" s="77">
        <v>14.642000000000001</v>
      </c>
      <c r="AN271" s="77">
        <v>12.769</v>
      </c>
      <c r="AO271" s="77">
        <v>11.594000000000001</v>
      </c>
      <c r="AP271" s="77">
        <v>10.768000000000001</v>
      </c>
      <c r="AQ271" s="77">
        <v>10.321000000000002</v>
      </c>
      <c r="AR271" s="77">
        <v>9.77</v>
      </c>
      <c r="AS271" s="77">
        <v>9.2379999999999995</v>
      </c>
      <c r="AT271" s="77">
        <v>7.4510000000000005</v>
      </c>
      <c r="AU271" s="77">
        <v>8.8660000000000014</v>
      </c>
      <c r="AV271" s="77">
        <v>7.85</v>
      </c>
      <c r="AW271" s="77">
        <v>7.1980000000000004</v>
      </c>
      <c r="AX271" s="77">
        <v>6.8989999999999991</v>
      </c>
      <c r="AY271" s="77">
        <v>6.7319999999999993</v>
      </c>
      <c r="AZ271" s="55">
        <v>6.2690000000000001</v>
      </c>
      <c r="BA271" s="55">
        <v>6.3459999999999965</v>
      </c>
      <c r="BB271" s="55">
        <v>6.2430000000000021</v>
      </c>
      <c r="BC271" s="55">
        <v>6.14</v>
      </c>
      <c r="BD271" s="55">
        <v>5.851</v>
      </c>
      <c r="BE271" s="55">
        <v>5.8999999999999986</v>
      </c>
      <c r="BF271" s="55">
        <v>5.9040000000000017</v>
      </c>
      <c r="BG271" s="55">
        <v>5.6149999999999993</v>
      </c>
      <c r="BH271" s="55">
        <v>5.5780000000000003</v>
      </c>
      <c r="BI271" s="55">
        <v>5.4740000000000002</v>
      </c>
      <c r="BJ271" s="55">
        <v>5.3169999999999984</v>
      </c>
      <c r="BK271" s="55">
        <v>4.9660000000000011</v>
      </c>
      <c r="BL271" s="55">
        <v>4.6959999999999997</v>
      </c>
      <c r="BM271" s="1">
        <v>4.8370000000000015</v>
      </c>
      <c r="BN271" s="1">
        <v>4.8189999999999991</v>
      </c>
      <c r="BO271" s="1">
        <v>4.7300000000000004</v>
      </c>
      <c r="BP271" s="1">
        <v>4.6470000000000002</v>
      </c>
      <c r="BQ271" s="1" t="s">
        <v>121</v>
      </c>
      <c r="BR271" s="1" t="s">
        <v>121</v>
      </c>
      <c r="BS271" s="1" t="s">
        <v>121</v>
      </c>
      <c r="BT271" s="1" t="s">
        <v>121</v>
      </c>
      <c r="BU271" s="1" t="s">
        <v>121</v>
      </c>
      <c r="BV271" s="1" t="s">
        <v>121</v>
      </c>
      <c r="BW271" s="1" t="s">
        <v>121</v>
      </c>
      <c r="BX271" s="1" t="s">
        <v>121</v>
      </c>
      <c r="BY271" s="1" t="s">
        <v>121</v>
      </c>
      <c r="BZ271" s="1" t="s">
        <v>121</v>
      </c>
      <c r="CA271" s="1" t="s">
        <v>121</v>
      </c>
      <c r="CB271" s="1" t="s">
        <v>121</v>
      </c>
      <c r="CC271" s="1" t="s">
        <v>121</v>
      </c>
      <c r="CD271" s="1" t="s">
        <v>121</v>
      </c>
      <c r="CE271" s="1" t="s">
        <v>121</v>
      </c>
      <c r="CF271" s="1" t="s">
        <v>121</v>
      </c>
      <c r="CG271" s="1" t="s">
        <v>121</v>
      </c>
      <c r="CH271" s="1" t="s">
        <v>121</v>
      </c>
      <c r="CI271" s="1" t="s">
        <v>121</v>
      </c>
      <c r="CJ271" s="1" t="s">
        <v>121</v>
      </c>
      <c r="CK271" s="1" t="s">
        <v>121</v>
      </c>
      <c r="CL271" s="1" t="s">
        <v>121</v>
      </c>
      <c r="CM271" s="1" t="s">
        <v>121</v>
      </c>
      <c r="CN271" s="1" t="s">
        <v>121</v>
      </c>
      <c r="CO271" s="1" t="s">
        <v>121</v>
      </c>
      <c r="CP271" s="1" t="s">
        <v>121</v>
      </c>
      <c r="CQ271" s="1" t="s">
        <v>121</v>
      </c>
      <c r="CR271" s="1" t="s">
        <v>121</v>
      </c>
      <c r="CS271" s="1" t="s">
        <v>121</v>
      </c>
      <c r="CT271" s="1" t="s">
        <v>121</v>
      </c>
      <c r="CU271" s="1" t="s">
        <v>121</v>
      </c>
      <c r="CV271" s="1" t="s">
        <v>121</v>
      </c>
      <c r="CW271" s="1" t="s">
        <v>121</v>
      </c>
      <c r="CX271" s="1" t="s">
        <v>121</v>
      </c>
      <c r="CY271" s="1" t="s">
        <v>121</v>
      </c>
      <c r="CZ271" s="1" t="s">
        <v>121</v>
      </c>
      <c r="DA271" s="1" t="s">
        <v>121</v>
      </c>
      <c r="DB271" s="1" t="s">
        <v>121</v>
      </c>
      <c r="DC271" s="1" t="s">
        <v>121</v>
      </c>
      <c r="DD271" s="1" t="s">
        <v>121</v>
      </c>
      <c r="DE271" s="1" t="s">
        <v>121</v>
      </c>
      <c r="DF271" s="1" t="s">
        <v>121</v>
      </c>
      <c r="DG271" s="1" t="s">
        <v>121</v>
      </c>
      <c r="DH271" s="1" t="s">
        <v>121</v>
      </c>
      <c r="DI271" s="1" t="s">
        <v>121</v>
      </c>
      <c r="DJ271" s="1" t="s">
        <v>121</v>
      </c>
      <c r="DK271" s="1" t="s">
        <v>121</v>
      </c>
      <c r="DL271" s="1" t="s">
        <v>121</v>
      </c>
      <c r="DM271" s="1" t="s">
        <v>121</v>
      </c>
      <c r="DN271" s="1" t="s">
        <v>121</v>
      </c>
      <c r="DO271" s="1" t="s">
        <v>121</v>
      </c>
      <c r="DP271" s="1" t="s">
        <v>121</v>
      </c>
      <c r="DQ271" s="1" t="s">
        <v>121</v>
      </c>
      <c r="DR271" s="1" t="s">
        <v>121</v>
      </c>
      <c r="DS271" s="1" t="s">
        <v>121</v>
      </c>
      <c r="DT271" s="1" t="s">
        <v>121</v>
      </c>
      <c r="DU271" s="1" t="s">
        <v>121</v>
      </c>
      <c r="DV271" s="1" t="s">
        <v>121</v>
      </c>
      <c r="DW271" s="1" t="s">
        <v>121</v>
      </c>
      <c r="DX271" s="1" t="s">
        <v>121</v>
      </c>
      <c r="DY271" s="1" t="s">
        <v>121</v>
      </c>
      <c r="DZ271" s="1" t="s">
        <v>121</v>
      </c>
      <c r="EA271" s="1" t="s">
        <v>121</v>
      </c>
      <c r="EB271" s="1" t="s">
        <v>121</v>
      </c>
      <c r="EC271" s="1" t="s">
        <v>121</v>
      </c>
      <c r="ED271" s="1" t="s">
        <v>121</v>
      </c>
      <c r="EE271" s="1" t="s">
        <v>121</v>
      </c>
      <c r="EF271" s="1" t="s">
        <v>121</v>
      </c>
      <c r="EG271" s="1" t="s">
        <v>121</v>
      </c>
      <c r="EH271" s="1" t="s">
        <v>121</v>
      </c>
      <c r="EI271" s="1" t="s">
        <v>121</v>
      </c>
      <c r="EJ271" s="1" t="s">
        <v>121</v>
      </c>
      <c r="EK271" s="1" t="s">
        <v>121</v>
      </c>
      <c r="EL271" s="1" t="s">
        <v>121</v>
      </c>
      <c r="EM271" s="1" t="s">
        <v>121</v>
      </c>
      <c r="EN271" s="1" t="s">
        <v>121</v>
      </c>
      <c r="EO271" s="1" t="s">
        <v>121</v>
      </c>
      <c r="EP271" s="1" t="s">
        <v>121</v>
      </c>
      <c r="EQ271" s="1" t="s">
        <v>121</v>
      </c>
      <c r="ER271" s="1" t="s">
        <v>121</v>
      </c>
      <c r="ES271" s="1" t="s">
        <v>121</v>
      </c>
      <c r="ET271" s="1" t="s">
        <v>121</v>
      </c>
      <c r="EU271" s="1" t="s">
        <v>121</v>
      </c>
      <c r="EV271" s="1" t="s">
        <v>121</v>
      </c>
      <c r="EW271" s="1" t="s">
        <v>121</v>
      </c>
      <c r="EX271" s="1" t="s">
        <v>121</v>
      </c>
    </row>
    <row r="272" spans="1:154" x14ac:dyDescent="0.25">
      <c r="A272" s="72">
        <v>272</v>
      </c>
      <c r="B272" s="74" t="s">
        <v>465</v>
      </c>
      <c r="C272" s="91"/>
      <c r="D272" s="86"/>
      <c r="E272" s="92"/>
      <c r="F272" s="77" t="s">
        <v>121</v>
      </c>
      <c r="G272" s="77" t="s">
        <v>121</v>
      </c>
      <c r="H272" s="77" t="s">
        <v>121</v>
      </c>
      <c r="I272" s="77" t="s">
        <v>121</v>
      </c>
      <c r="J272" s="77" t="s">
        <v>121</v>
      </c>
      <c r="K272" s="77" t="s">
        <v>121</v>
      </c>
      <c r="L272" s="77" t="s">
        <v>121</v>
      </c>
      <c r="M272" s="77" t="s">
        <v>121</v>
      </c>
      <c r="N272" s="77" t="s">
        <v>121</v>
      </c>
      <c r="O272" s="77" t="s">
        <v>121</v>
      </c>
      <c r="P272" s="77" t="s">
        <v>121</v>
      </c>
      <c r="Q272" s="405"/>
      <c r="R272" s="405"/>
      <c r="S272" s="405"/>
      <c r="T272" s="405"/>
      <c r="U272" s="77" t="s">
        <v>121</v>
      </c>
      <c r="V272" s="77" t="s">
        <v>121</v>
      </c>
      <c r="W272" s="77" t="s">
        <v>121</v>
      </c>
      <c r="X272" s="77" t="s">
        <v>121</v>
      </c>
      <c r="Y272" s="77">
        <v>-0.20699999999999999</v>
      </c>
      <c r="Z272" s="77">
        <v>6.8999999999999978E-2</v>
      </c>
      <c r="AA272" s="77">
        <v>0.11200000000000002</v>
      </c>
      <c r="AB272" s="77">
        <v>2.5999999999999999E-2</v>
      </c>
      <c r="AC272" s="77">
        <v>0.55400000000000005</v>
      </c>
      <c r="AD272" s="77">
        <v>0.75800000000000001</v>
      </c>
      <c r="AE272" s="77">
        <v>0.65300000000000002</v>
      </c>
      <c r="AF272" s="77">
        <v>0.50600000000000001</v>
      </c>
      <c r="AG272" s="77">
        <v>0.66699999999999982</v>
      </c>
      <c r="AH272" s="77">
        <v>0.81600000000000028</v>
      </c>
      <c r="AI272" s="77">
        <v>0.68099999999999994</v>
      </c>
      <c r="AJ272" s="77">
        <v>0.747</v>
      </c>
      <c r="AK272" s="77">
        <v>0.99100000000000055</v>
      </c>
      <c r="AL272" s="77">
        <v>1.2819999999999998</v>
      </c>
      <c r="AM272" s="77">
        <v>1.034</v>
      </c>
      <c r="AN272" s="77">
        <v>0.77400000000000002</v>
      </c>
      <c r="AO272" s="77">
        <v>1.0129999999999999</v>
      </c>
      <c r="AP272" s="77">
        <v>1.157</v>
      </c>
      <c r="AQ272" s="77">
        <v>1.0750000000000002</v>
      </c>
      <c r="AR272" s="77">
        <v>0.98099999999999998</v>
      </c>
      <c r="AS272" s="77">
        <v>1.2530000000000001</v>
      </c>
      <c r="AT272" s="77">
        <v>1.2569999999999979</v>
      </c>
      <c r="AU272" s="77">
        <v>10.088999999999999</v>
      </c>
      <c r="AV272" s="77">
        <v>24.347000000000001</v>
      </c>
      <c r="AW272" s="77">
        <v>36.720000000000013</v>
      </c>
      <c r="AX272" s="77">
        <v>30.955999999999996</v>
      </c>
      <c r="AY272" s="77">
        <v>2.8519999999999968</v>
      </c>
      <c r="AZ272" s="55">
        <v>50.631</v>
      </c>
      <c r="BA272" s="55">
        <v>1.793000000000001</v>
      </c>
      <c r="BB272" s="55">
        <v>2.5569999999999995</v>
      </c>
      <c r="BC272" s="55">
        <v>2.38</v>
      </c>
      <c r="BD272" s="55">
        <v>3.5960000000000001</v>
      </c>
      <c r="BE272" s="55">
        <v>3.4190000000000005</v>
      </c>
      <c r="BF272" s="55">
        <v>3.9989999999999988</v>
      </c>
      <c r="BG272" s="55">
        <v>3.3510000000000004</v>
      </c>
      <c r="BH272" s="55">
        <v>2.456</v>
      </c>
      <c r="BI272" s="55">
        <v>7.0039999999999978</v>
      </c>
      <c r="BJ272" s="55">
        <v>9.1720000000000006</v>
      </c>
      <c r="BK272" s="55">
        <v>9.1080000000000005</v>
      </c>
      <c r="BL272" s="55">
        <v>4.8570000000000002</v>
      </c>
      <c r="BM272" s="1">
        <v>6.66</v>
      </c>
      <c r="BN272" s="1">
        <v>6.3650000000000002</v>
      </c>
      <c r="BO272" s="1">
        <v>5.508</v>
      </c>
      <c r="BP272" s="1">
        <v>4.1710000000000003</v>
      </c>
      <c r="BQ272" s="1" t="s">
        <v>121</v>
      </c>
      <c r="BR272" s="1" t="s">
        <v>121</v>
      </c>
      <c r="BS272" s="1" t="s">
        <v>121</v>
      </c>
      <c r="BT272" s="1" t="s">
        <v>121</v>
      </c>
      <c r="BU272" s="1" t="s">
        <v>121</v>
      </c>
      <c r="BV272" s="1" t="s">
        <v>121</v>
      </c>
      <c r="BW272" s="1" t="s">
        <v>121</v>
      </c>
      <c r="BX272" s="1" t="s">
        <v>121</v>
      </c>
      <c r="BY272" s="1" t="s">
        <v>121</v>
      </c>
      <c r="BZ272" s="1" t="s">
        <v>121</v>
      </c>
      <c r="CA272" s="1" t="s">
        <v>121</v>
      </c>
      <c r="CB272" s="1" t="s">
        <v>121</v>
      </c>
      <c r="CC272" s="1" t="s">
        <v>121</v>
      </c>
      <c r="CD272" s="1" t="s">
        <v>121</v>
      </c>
      <c r="CE272" s="1" t="s">
        <v>121</v>
      </c>
      <c r="CF272" s="1" t="s">
        <v>121</v>
      </c>
      <c r="CG272" s="1" t="s">
        <v>121</v>
      </c>
      <c r="CH272" s="1" t="s">
        <v>121</v>
      </c>
      <c r="CI272" s="1" t="s">
        <v>121</v>
      </c>
      <c r="CJ272" s="1" t="s">
        <v>121</v>
      </c>
      <c r="CK272" s="1" t="s">
        <v>121</v>
      </c>
      <c r="CL272" s="1" t="s">
        <v>121</v>
      </c>
      <c r="CM272" s="1" t="s">
        <v>121</v>
      </c>
      <c r="CN272" s="1" t="s">
        <v>121</v>
      </c>
      <c r="CO272" s="1" t="s">
        <v>121</v>
      </c>
      <c r="CP272" s="1" t="s">
        <v>121</v>
      </c>
      <c r="CQ272" s="1" t="s">
        <v>121</v>
      </c>
      <c r="CR272" s="1" t="s">
        <v>121</v>
      </c>
      <c r="CS272" s="1" t="s">
        <v>121</v>
      </c>
      <c r="CT272" s="1" t="s">
        <v>121</v>
      </c>
      <c r="CU272" s="1" t="s">
        <v>121</v>
      </c>
      <c r="CV272" s="1" t="s">
        <v>121</v>
      </c>
      <c r="CW272" s="1" t="s">
        <v>121</v>
      </c>
      <c r="CX272" s="1" t="s">
        <v>121</v>
      </c>
      <c r="CY272" s="1" t="s">
        <v>121</v>
      </c>
      <c r="CZ272" s="1" t="s">
        <v>121</v>
      </c>
      <c r="DA272" s="1" t="s">
        <v>121</v>
      </c>
      <c r="DB272" s="1" t="s">
        <v>121</v>
      </c>
      <c r="DC272" s="1" t="s">
        <v>121</v>
      </c>
      <c r="DD272" s="1" t="s">
        <v>121</v>
      </c>
      <c r="DE272" s="1" t="s">
        <v>121</v>
      </c>
      <c r="DF272" s="1" t="s">
        <v>121</v>
      </c>
      <c r="DG272" s="1" t="s">
        <v>121</v>
      </c>
      <c r="DH272" s="1" t="s">
        <v>121</v>
      </c>
      <c r="DI272" s="1" t="s">
        <v>121</v>
      </c>
      <c r="DJ272" s="1" t="s">
        <v>121</v>
      </c>
      <c r="DK272" s="1" t="s">
        <v>121</v>
      </c>
      <c r="DL272" s="1" t="s">
        <v>121</v>
      </c>
      <c r="DM272" s="1" t="s">
        <v>121</v>
      </c>
      <c r="DN272" s="1" t="s">
        <v>121</v>
      </c>
      <c r="DO272" s="1" t="s">
        <v>121</v>
      </c>
      <c r="DP272" s="1" t="s">
        <v>121</v>
      </c>
      <c r="DQ272" s="1" t="s">
        <v>121</v>
      </c>
      <c r="DR272" s="1" t="s">
        <v>121</v>
      </c>
      <c r="DS272" s="1" t="s">
        <v>121</v>
      </c>
      <c r="DT272" s="1" t="s">
        <v>121</v>
      </c>
      <c r="DU272" s="1" t="s">
        <v>121</v>
      </c>
      <c r="DV272" s="1" t="s">
        <v>121</v>
      </c>
      <c r="DW272" s="1" t="s">
        <v>121</v>
      </c>
      <c r="DX272" s="1" t="s">
        <v>121</v>
      </c>
      <c r="DY272" s="1" t="s">
        <v>121</v>
      </c>
      <c r="DZ272" s="1" t="s">
        <v>121</v>
      </c>
      <c r="EA272" s="1" t="s">
        <v>121</v>
      </c>
      <c r="EB272" s="1" t="s">
        <v>121</v>
      </c>
      <c r="EC272" s="1" t="s">
        <v>121</v>
      </c>
      <c r="ED272" s="1" t="s">
        <v>121</v>
      </c>
      <c r="EE272" s="1" t="s">
        <v>121</v>
      </c>
      <c r="EF272" s="1" t="s">
        <v>121</v>
      </c>
      <c r="EG272" s="1" t="s">
        <v>121</v>
      </c>
      <c r="EH272" s="1" t="s">
        <v>121</v>
      </c>
      <c r="EI272" s="1" t="s">
        <v>121</v>
      </c>
      <c r="EJ272" s="1" t="s">
        <v>121</v>
      </c>
      <c r="EK272" s="1" t="s">
        <v>121</v>
      </c>
      <c r="EL272" s="1" t="s">
        <v>121</v>
      </c>
      <c r="EM272" s="1" t="s">
        <v>121</v>
      </c>
      <c r="EN272" s="1" t="s">
        <v>121</v>
      </c>
      <c r="EO272" s="1" t="s">
        <v>121</v>
      </c>
      <c r="EP272" s="1" t="s">
        <v>121</v>
      </c>
      <c r="EQ272" s="1" t="s">
        <v>121</v>
      </c>
      <c r="ER272" s="1" t="s">
        <v>121</v>
      </c>
      <c r="ES272" s="1" t="s">
        <v>121</v>
      </c>
      <c r="ET272" s="1" t="s">
        <v>121</v>
      </c>
      <c r="EU272" s="1" t="s">
        <v>121</v>
      </c>
      <c r="EV272" s="1" t="s">
        <v>121</v>
      </c>
      <c r="EW272" s="1" t="s">
        <v>121</v>
      </c>
      <c r="EX272" s="1" t="s">
        <v>121</v>
      </c>
    </row>
    <row r="273" spans="1:154" x14ac:dyDescent="0.25">
      <c r="A273" s="72">
        <v>273</v>
      </c>
      <c r="B273" s="74" t="s">
        <v>7</v>
      </c>
      <c r="C273" s="91">
        <f ca="1">OFFSET($E$7,$A273-$A$7,1,1,1)/OFFSET($E$7,$A273-$A$7,2,1,1)-1</f>
        <v>0.90384615384615374</v>
      </c>
      <c r="D273" s="86"/>
      <c r="E273" s="92">
        <f ca="1">OFFSET($E$7,$A273-$A$7,1,1,1)/OFFSET($E$7,$A273-$A$7,5,1,1)-1</f>
        <v>0.23750000000000004</v>
      </c>
      <c r="F273" s="77">
        <v>99</v>
      </c>
      <c r="G273" s="77">
        <v>52</v>
      </c>
      <c r="H273" s="77">
        <v>98</v>
      </c>
      <c r="I273" s="77">
        <v>60</v>
      </c>
      <c r="J273" s="77">
        <v>80</v>
      </c>
      <c r="K273" s="77">
        <v>107</v>
      </c>
      <c r="L273" s="77">
        <v>102</v>
      </c>
      <c r="M273" s="77">
        <v>60</v>
      </c>
      <c r="N273" s="77">
        <v>52</v>
      </c>
      <c r="O273" s="77">
        <v>52</v>
      </c>
      <c r="P273" s="77">
        <v>56</v>
      </c>
      <c r="Q273" s="405"/>
      <c r="R273" s="405"/>
      <c r="S273" s="405"/>
      <c r="T273" s="405"/>
      <c r="U273" s="77">
        <v>52</v>
      </c>
      <c r="V273" s="77">
        <v>33</v>
      </c>
      <c r="W273" s="77">
        <v>50</v>
      </c>
      <c r="X273" s="77">
        <v>57</v>
      </c>
      <c r="Y273" s="77">
        <v>109.024</v>
      </c>
      <c r="Z273" s="77">
        <v>43.591999999999999</v>
      </c>
      <c r="AA273" s="77">
        <v>38.04</v>
      </c>
      <c r="AB273" s="77">
        <v>42.344000000000001</v>
      </c>
      <c r="AC273" s="77">
        <v>47.116884020000015</v>
      </c>
      <c r="AD273" s="77">
        <v>38.746547049999975</v>
      </c>
      <c r="AE273" s="77">
        <v>43.992330979999991</v>
      </c>
      <c r="AF273" s="77">
        <v>22.830237950000026</v>
      </c>
      <c r="AG273" s="77">
        <v>21.132500489999998</v>
      </c>
      <c r="AH273" s="77">
        <v>26.22626288</v>
      </c>
      <c r="AI273" s="77">
        <v>23.215845870000003</v>
      </c>
      <c r="AJ273" s="77">
        <v>22.46139076</v>
      </c>
      <c r="AK273" s="77">
        <v>33.043999999999997</v>
      </c>
      <c r="AL273" s="77">
        <v>31.405000000000001</v>
      </c>
      <c r="AM273" s="77">
        <v>23.216000000000001</v>
      </c>
      <c r="AN273" s="77">
        <v>18.021999999999998</v>
      </c>
      <c r="AO273" s="77">
        <v>19.40100000000001</v>
      </c>
      <c r="AP273" s="77">
        <v>18.954999999999998</v>
      </c>
      <c r="AQ273" s="77">
        <v>27.764999999999997</v>
      </c>
      <c r="AR273" s="77">
        <v>25.398</v>
      </c>
      <c r="AS273" s="77">
        <v>20.205000000000005</v>
      </c>
      <c r="AT273" s="77">
        <v>17.475999999999999</v>
      </c>
      <c r="AU273" s="77">
        <v>12.700999999999999</v>
      </c>
      <c r="AV273" s="77">
        <v>12.76</v>
      </c>
      <c r="AW273" s="77">
        <v>26.987000000000002</v>
      </c>
      <c r="AX273" s="77">
        <v>24.840999999999998</v>
      </c>
      <c r="AY273" s="77">
        <v>8.5510000000000019</v>
      </c>
      <c r="AZ273" s="55">
        <v>13.010999999999999</v>
      </c>
      <c r="BA273" s="55">
        <v>13.527999999999999</v>
      </c>
      <c r="BB273" s="55">
        <v>6.6230000000000011</v>
      </c>
      <c r="BC273" s="55">
        <v>4.7970000000000006</v>
      </c>
      <c r="BD273" s="55">
        <v>4.68</v>
      </c>
      <c r="BE273" s="55">
        <v>5.8979999999999997</v>
      </c>
      <c r="BF273" s="55">
        <v>5.7870000000000008</v>
      </c>
      <c r="BG273" s="55">
        <v>1.7409999999999999</v>
      </c>
      <c r="BH273" s="55">
        <v>0.77200000000000002</v>
      </c>
      <c r="BI273" s="55">
        <v>2.665</v>
      </c>
      <c r="BJ273" s="55">
        <v>2.69</v>
      </c>
      <c r="BK273" s="55">
        <v>2.5619999999999998</v>
      </c>
      <c r="BL273" s="55">
        <v>0.91</v>
      </c>
      <c r="BM273" s="1">
        <v>0.79599999999999937</v>
      </c>
      <c r="BN273" s="1">
        <v>2.2550000000000008</v>
      </c>
      <c r="BO273" s="1">
        <v>-15.318999999999999</v>
      </c>
      <c r="BP273" s="1">
        <v>20.113</v>
      </c>
      <c r="BQ273" s="1" t="s">
        <v>121</v>
      </c>
      <c r="BR273" s="1" t="s">
        <v>121</v>
      </c>
      <c r="BS273" s="1" t="s">
        <v>121</v>
      </c>
      <c r="BT273" s="1" t="s">
        <v>121</v>
      </c>
      <c r="BU273" s="1" t="s">
        <v>121</v>
      </c>
      <c r="BV273" s="1" t="s">
        <v>121</v>
      </c>
      <c r="BW273" s="1" t="s">
        <v>121</v>
      </c>
      <c r="BX273" s="1" t="s">
        <v>121</v>
      </c>
      <c r="BY273" s="1" t="s">
        <v>121</v>
      </c>
      <c r="BZ273" s="1" t="s">
        <v>121</v>
      </c>
      <c r="CA273" s="1" t="s">
        <v>121</v>
      </c>
      <c r="CB273" s="1" t="s">
        <v>121</v>
      </c>
      <c r="CC273" s="1" t="s">
        <v>121</v>
      </c>
      <c r="CD273" s="1" t="s">
        <v>121</v>
      </c>
      <c r="CE273" s="1" t="s">
        <v>121</v>
      </c>
      <c r="CF273" s="1" t="s">
        <v>121</v>
      </c>
      <c r="CG273" s="1" t="s">
        <v>121</v>
      </c>
      <c r="CH273" s="1" t="s">
        <v>121</v>
      </c>
      <c r="CI273" s="1" t="s">
        <v>121</v>
      </c>
      <c r="CJ273" s="1" t="s">
        <v>121</v>
      </c>
      <c r="CK273" s="1" t="s">
        <v>121</v>
      </c>
      <c r="CL273" s="1" t="s">
        <v>121</v>
      </c>
      <c r="CM273" s="1" t="s">
        <v>121</v>
      </c>
      <c r="CN273" s="1" t="s">
        <v>121</v>
      </c>
      <c r="CO273" s="1" t="s">
        <v>121</v>
      </c>
      <c r="CP273" s="1" t="s">
        <v>121</v>
      </c>
      <c r="CQ273" s="1" t="s">
        <v>121</v>
      </c>
      <c r="CR273" s="1" t="s">
        <v>121</v>
      </c>
      <c r="CS273" s="1" t="s">
        <v>121</v>
      </c>
      <c r="CT273" s="1" t="s">
        <v>121</v>
      </c>
      <c r="CU273" s="1" t="s">
        <v>121</v>
      </c>
      <c r="CV273" s="1" t="s">
        <v>121</v>
      </c>
      <c r="CW273" s="1" t="s">
        <v>121</v>
      </c>
      <c r="CX273" s="1" t="s">
        <v>121</v>
      </c>
      <c r="CY273" s="1" t="s">
        <v>121</v>
      </c>
      <c r="CZ273" s="1" t="s">
        <v>121</v>
      </c>
      <c r="DA273" s="1" t="s">
        <v>121</v>
      </c>
      <c r="DB273" s="1" t="s">
        <v>121</v>
      </c>
      <c r="DC273" s="1" t="s">
        <v>121</v>
      </c>
      <c r="DD273" s="1" t="s">
        <v>121</v>
      </c>
      <c r="DE273" s="1" t="s">
        <v>121</v>
      </c>
      <c r="DF273" s="1" t="s">
        <v>121</v>
      </c>
      <c r="DG273" s="1" t="s">
        <v>121</v>
      </c>
      <c r="DH273" s="1" t="s">
        <v>121</v>
      </c>
      <c r="DI273" s="1" t="s">
        <v>121</v>
      </c>
      <c r="DJ273" s="1" t="s">
        <v>121</v>
      </c>
      <c r="DK273" s="1" t="s">
        <v>121</v>
      </c>
      <c r="DL273" s="1" t="s">
        <v>121</v>
      </c>
      <c r="DM273" s="1" t="s">
        <v>121</v>
      </c>
      <c r="DN273" s="1" t="s">
        <v>121</v>
      </c>
      <c r="DO273" s="1" t="s">
        <v>121</v>
      </c>
      <c r="DP273" s="1" t="s">
        <v>121</v>
      </c>
      <c r="DQ273" s="1" t="s">
        <v>121</v>
      </c>
      <c r="DR273" s="1" t="s">
        <v>121</v>
      </c>
      <c r="DS273" s="1" t="s">
        <v>121</v>
      </c>
      <c r="DT273" s="1" t="s">
        <v>121</v>
      </c>
      <c r="DU273" s="1" t="s">
        <v>121</v>
      </c>
      <c r="DV273" s="1" t="s">
        <v>121</v>
      </c>
      <c r="DW273" s="1" t="s">
        <v>121</v>
      </c>
      <c r="DX273" s="1" t="s">
        <v>121</v>
      </c>
      <c r="DY273" s="1" t="s">
        <v>121</v>
      </c>
      <c r="DZ273" s="1" t="s">
        <v>121</v>
      </c>
      <c r="EA273" s="1" t="s">
        <v>121</v>
      </c>
      <c r="EB273" s="1" t="s">
        <v>121</v>
      </c>
      <c r="EC273" s="1" t="s">
        <v>121</v>
      </c>
      <c r="ED273" s="1" t="s">
        <v>121</v>
      </c>
      <c r="EE273" s="1" t="s">
        <v>121</v>
      </c>
      <c r="EF273" s="1" t="s">
        <v>121</v>
      </c>
      <c r="EG273" s="1" t="s">
        <v>121</v>
      </c>
      <c r="EH273" s="1" t="s">
        <v>121</v>
      </c>
      <c r="EI273" s="1" t="s">
        <v>121</v>
      </c>
      <c r="EJ273" s="1" t="s">
        <v>121</v>
      </c>
      <c r="EK273" s="1" t="s">
        <v>121</v>
      </c>
      <c r="EL273" s="1" t="s">
        <v>121</v>
      </c>
      <c r="EM273" s="1" t="s">
        <v>121</v>
      </c>
      <c r="EN273" s="1" t="s">
        <v>121</v>
      </c>
      <c r="EO273" s="1" t="s">
        <v>121</v>
      </c>
      <c r="EP273" s="1" t="s">
        <v>121</v>
      </c>
      <c r="EQ273" s="1" t="s">
        <v>121</v>
      </c>
      <c r="ER273" s="1" t="s">
        <v>121</v>
      </c>
      <c r="ES273" s="1" t="s">
        <v>121</v>
      </c>
      <c r="ET273" s="1" t="s">
        <v>121</v>
      </c>
      <c r="EU273" s="1" t="s">
        <v>121</v>
      </c>
      <c r="EV273" s="1" t="s">
        <v>121</v>
      </c>
      <c r="EW273" s="1" t="s">
        <v>121</v>
      </c>
      <c r="EX273" s="1" t="s">
        <v>121</v>
      </c>
    </row>
    <row r="274" spans="1:154" x14ac:dyDescent="0.25">
      <c r="A274" s="72">
        <v>274</v>
      </c>
      <c r="B274" s="73" t="s">
        <v>466</v>
      </c>
      <c r="C274" s="94">
        <f ca="1">OFFSET($E$7,$A274-$A$7,1,1,1)/OFFSET($E$7,$A274-$A$7,2,1,1)-1</f>
        <v>2.7662517289073207E-2</v>
      </c>
      <c r="D274" s="94"/>
      <c r="E274" s="94">
        <f ca="1">OFFSET($E$7,$A274-$A$7,1,1,1)/OFFSET($E$7,$A274-$A$7,5,1,1)-1</f>
        <v>-3.6816178376976927E-2</v>
      </c>
      <c r="F274" s="124">
        <v>3715</v>
      </c>
      <c r="G274" s="124">
        <v>3615</v>
      </c>
      <c r="H274" s="124">
        <v>3434</v>
      </c>
      <c r="I274" s="124">
        <v>3719</v>
      </c>
      <c r="J274" s="124">
        <v>3857</v>
      </c>
      <c r="K274" s="124">
        <v>3482</v>
      </c>
      <c r="L274" s="124">
        <v>3347</v>
      </c>
      <c r="M274" s="124">
        <v>3845</v>
      </c>
      <c r="N274" s="124">
        <v>3690</v>
      </c>
      <c r="O274" s="124">
        <v>3557</v>
      </c>
      <c r="P274" s="124">
        <v>4193</v>
      </c>
      <c r="Q274" s="405"/>
      <c r="R274" s="405"/>
      <c r="S274" s="405"/>
      <c r="T274" s="405"/>
      <c r="U274" s="124">
        <v>3195</v>
      </c>
      <c r="V274" s="124">
        <v>2840</v>
      </c>
      <c r="W274" s="124">
        <v>2931</v>
      </c>
      <c r="X274" s="124">
        <v>2466</v>
      </c>
      <c r="Y274" s="124">
        <v>2879.1120000000001</v>
      </c>
      <c r="Z274" s="124">
        <v>2424.7460000000001</v>
      </c>
      <c r="AA274" s="124">
        <v>2063.63</v>
      </c>
      <c r="AB274" s="124">
        <v>2159.5120000000002</v>
      </c>
      <c r="AC274" s="124">
        <v>2588.3679999999995</v>
      </c>
      <c r="AD274" s="124">
        <v>2307.67</v>
      </c>
      <c r="AE274" s="124">
        <v>2271.3099999999995</v>
      </c>
      <c r="AF274" s="124">
        <v>1810.5390000000004</v>
      </c>
      <c r="AG274" s="124">
        <v>2054.8879999999999</v>
      </c>
      <c r="AH274" s="124">
        <v>1863.1849999999997</v>
      </c>
      <c r="AI274" s="124">
        <v>1715.3330000000005</v>
      </c>
      <c r="AJ274" s="124">
        <v>1692.2310000000002</v>
      </c>
      <c r="AK274" s="124">
        <v>1831.4640000000004</v>
      </c>
      <c r="AL274" s="124">
        <v>1670.3820000000001</v>
      </c>
      <c r="AM274" s="124">
        <v>1611.9069999999999</v>
      </c>
      <c r="AN274" s="124">
        <v>1493.3259999999998</v>
      </c>
      <c r="AO274" s="124">
        <v>1578.6720000000003</v>
      </c>
      <c r="AP274" s="124">
        <v>1483.1589999999999</v>
      </c>
      <c r="AQ274" s="124">
        <v>1422.8180000000002</v>
      </c>
      <c r="AR274" s="124">
        <v>1345.8079999999998</v>
      </c>
      <c r="AS274" s="124">
        <v>1338.2840000000001</v>
      </c>
      <c r="AT274" s="124">
        <v>1242.8609999999999</v>
      </c>
      <c r="AU274" s="124">
        <v>1178.9579999999999</v>
      </c>
      <c r="AV274" s="124">
        <v>1012.235</v>
      </c>
      <c r="AW274" s="124">
        <v>1312.5620000000006</v>
      </c>
      <c r="AX274" s="124">
        <v>1126.5339999999997</v>
      </c>
      <c r="AY274" s="124">
        <v>1052.7749999999999</v>
      </c>
      <c r="AZ274" s="124">
        <v>928.71599999999989</v>
      </c>
      <c r="BA274" s="124">
        <v>933.60399999999981</v>
      </c>
      <c r="BB274" s="124">
        <v>805.62900000000013</v>
      </c>
      <c r="BC274" s="124">
        <v>749.76699999999994</v>
      </c>
      <c r="BD274" s="124">
        <v>683.4559999999999</v>
      </c>
      <c r="BE274" s="124">
        <v>822.07299999999998</v>
      </c>
      <c r="BF274" s="124">
        <v>705.45100000000014</v>
      </c>
      <c r="BG274" s="124">
        <v>666.39400000000012</v>
      </c>
      <c r="BH274" s="124">
        <v>559.28600000000006</v>
      </c>
      <c r="BI274" s="124">
        <v>726.95100000000025</v>
      </c>
      <c r="BJ274" s="124">
        <v>606.57800000000009</v>
      </c>
      <c r="BK274" s="124">
        <v>599.81799999999987</v>
      </c>
      <c r="BL274" s="124">
        <v>498.67500000000001</v>
      </c>
      <c r="BM274" s="1">
        <v>634.18000000000006</v>
      </c>
      <c r="BN274" s="1">
        <v>469.77499999999998</v>
      </c>
      <c r="BO274" s="1">
        <v>486.86799999999999</v>
      </c>
      <c r="BP274" s="1">
        <v>416.36199999999997</v>
      </c>
      <c r="BQ274" s="1" t="s">
        <v>121</v>
      </c>
      <c r="BR274" s="1" t="s">
        <v>121</v>
      </c>
      <c r="BS274" s="1" t="s">
        <v>121</v>
      </c>
      <c r="BT274" s="1" t="s">
        <v>121</v>
      </c>
      <c r="BU274" s="1" t="s">
        <v>121</v>
      </c>
      <c r="BV274" s="1" t="s">
        <v>121</v>
      </c>
      <c r="BW274" s="1" t="s">
        <v>121</v>
      </c>
      <c r="BX274" s="1" t="s">
        <v>121</v>
      </c>
      <c r="BY274" s="1" t="s">
        <v>121</v>
      </c>
      <c r="BZ274" s="1" t="s">
        <v>121</v>
      </c>
      <c r="CA274" s="1" t="s">
        <v>121</v>
      </c>
      <c r="CB274" s="1" t="s">
        <v>121</v>
      </c>
      <c r="CC274" s="1" t="s">
        <v>121</v>
      </c>
      <c r="CD274" s="1" t="s">
        <v>121</v>
      </c>
      <c r="CE274" s="1" t="s">
        <v>121</v>
      </c>
      <c r="CF274" s="1" t="s">
        <v>121</v>
      </c>
      <c r="CG274" s="1" t="s">
        <v>121</v>
      </c>
      <c r="CH274" s="1" t="s">
        <v>121</v>
      </c>
      <c r="CI274" s="1" t="s">
        <v>121</v>
      </c>
      <c r="CJ274" s="1" t="s">
        <v>121</v>
      </c>
      <c r="CK274" s="1" t="s">
        <v>121</v>
      </c>
      <c r="CL274" s="1" t="s">
        <v>121</v>
      </c>
      <c r="CM274" s="1" t="s">
        <v>121</v>
      </c>
      <c r="CN274" s="1" t="s">
        <v>121</v>
      </c>
      <c r="CO274" s="1" t="s">
        <v>121</v>
      </c>
      <c r="CP274" s="1" t="s">
        <v>121</v>
      </c>
      <c r="CQ274" s="1" t="s">
        <v>121</v>
      </c>
      <c r="CR274" s="1" t="s">
        <v>121</v>
      </c>
      <c r="CS274" s="1" t="s">
        <v>121</v>
      </c>
      <c r="CT274" s="1" t="s">
        <v>121</v>
      </c>
      <c r="CU274" s="1" t="s">
        <v>121</v>
      </c>
      <c r="CV274" s="1" t="s">
        <v>121</v>
      </c>
      <c r="CW274" s="1" t="s">
        <v>121</v>
      </c>
      <c r="CX274" s="1" t="s">
        <v>121</v>
      </c>
      <c r="CY274" s="1" t="s">
        <v>121</v>
      </c>
      <c r="CZ274" s="1" t="s">
        <v>121</v>
      </c>
      <c r="DA274" s="1" t="s">
        <v>121</v>
      </c>
      <c r="DB274" s="1" t="s">
        <v>121</v>
      </c>
      <c r="DC274" s="1" t="s">
        <v>121</v>
      </c>
      <c r="DD274" s="1" t="s">
        <v>121</v>
      </c>
      <c r="DE274" s="1" t="s">
        <v>121</v>
      </c>
      <c r="DF274" s="1" t="s">
        <v>121</v>
      </c>
      <c r="DG274" s="1" t="s">
        <v>121</v>
      </c>
      <c r="DH274" s="1" t="s">
        <v>121</v>
      </c>
      <c r="DI274" s="1" t="s">
        <v>121</v>
      </c>
      <c r="DJ274" s="1" t="s">
        <v>121</v>
      </c>
      <c r="DK274" s="1" t="s">
        <v>121</v>
      </c>
      <c r="DL274" s="1" t="s">
        <v>121</v>
      </c>
      <c r="DM274" s="1" t="s">
        <v>121</v>
      </c>
      <c r="DN274" s="1" t="s">
        <v>121</v>
      </c>
      <c r="DO274" s="1" t="s">
        <v>121</v>
      </c>
      <c r="DP274" s="1" t="s">
        <v>121</v>
      </c>
      <c r="DQ274" s="1" t="s">
        <v>121</v>
      </c>
      <c r="DR274" s="1" t="s">
        <v>121</v>
      </c>
      <c r="DS274" s="1" t="s">
        <v>121</v>
      </c>
      <c r="DT274" s="1" t="s">
        <v>121</v>
      </c>
      <c r="DU274" s="1" t="s">
        <v>121</v>
      </c>
      <c r="DV274" s="1" t="s">
        <v>121</v>
      </c>
      <c r="DW274" s="1" t="s">
        <v>121</v>
      </c>
      <c r="DX274" s="1" t="s">
        <v>121</v>
      </c>
      <c r="DY274" s="1" t="s">
        <v>121</v>
      </c>
      <c r="DZ274" s="1" t="s">
        <v>121</v>
      </c>
      <c r="EA274" s="1" t="s">
        <v>121</v>
      </c>
      <c r="EB274" s="1" t="s">
        <v>121</v>
      </c>
      <c r="EC274" s="1" t="s">
        <v>121</v>
      </c>
      <c r="ED274" s="1" t="s">
        <v>121</v>
      </c>
      <c r="EE274" s="1" t="s">
        <v>121</v>
      </c>
      <c r="EF274" s="1" t="s">
        <v>121</v>
      </c>
      <c r="EG274" s="1" t="s">
        <v>121</v>
      </c>
      <c r="EH274" s="1" t="s">
        <v>121</v>
      </c>
      <c r="EI274" s="1" t="s">
        <v>121</v>
      </c>
      <c r="EJ274" s="1" t="s">
        <v>121</v>
      </c>
      <c r="EK274" s="1" t="s">
        <v>121</v>
      </c>
      <c r="EL274" s="1" t="s">
        <v>121</v>
      </c>
      <c r="EM274" s="1" t="s">
        <v>121</v>
      </c>
      <c r="EN274" s="1" t="s">
        <v>121</v>
      </c>
      <c r="EO274" s="1" t="s">
        <v>121</v>
      </c>
      <c r="EP274" s="1" t="s">
        <v>121</v>
      </c>
      <c r="EQ274" s="1" t="s">
        <v>121</v>
      </c>
      <c r="ER274" s="1" t="s">
        <v>121</v>
      </c>
      <c r="ES274" s="1" t="s">
        <v>121</v>
      </c>
      <c r="ET274" s="1" t="s">
        <v>121</v>
      </c>
      <c r="EU274" s="1" t="s">
        <v>121</v>
      </c>
      <c r="EV274" s="1" t="s">
        <v>121</v>
      </c>
      <c r="EW274" s="1" t="s">
        <v>121</v>
      </c>
      <c r="EX274" s="1" t="s">
        <v>121</v>
      </c>
    </row>
    <row r="275" spans="1:154" x14ac:dyDescent="0.25">
      <c r="A275" s="72">
        <v>275</v>
      </c>
      <c r="B275" s="73" t="s">
        <v>417</v>
      </c>
      <c r="C275" s="91"/>
      <c r="D275" s="86"/>
      <c r="E275" s="92"/>
      <c r="F275" s="254" t="s">
        <v>121</v>
      </c>
      <c r="G275" s="254" t="s">
        <v>121</v>
      </c>
      <c r="H275" s="254" t="s">
        <v>121</v>
      </c>
      <c r="I275" s="254" t="s">
        <v>121</v>
      </c>
      <c r="J275" s="254" t="s">
        <v>121</v>
      </c>
      <c r="K275" s="254" t="s">
        <v>121</v>
      </c>
      <c r="L275" s="254" t="s">
        <v>121</v>
      </c>
      <c r="M275" s="254" t="s">
        <v>121</v>
      </c>
      <c r="N275" s="254" t="s">
        <v>121</v>
      </c>
      <c r="O275" s="254" t="s">
        <v>121</v>
      </c>
      <c r="P275" s="254" t="s">
        <v>121</v>
      </c>
      <c r="Q275" s="405"/>
      <c r="R275" s="405"/>
      <c r="S275" s="405"/>
      <c r="T275" s="405"/>
      <c r="U275" s="254" t="s">
        <v>121</v>
      </c>
      <c r="V275" s="254" t="s">
        <v>121</v>
      </c>
      <c r="W275" s="254" t="s">
        <v>121</v>
      </c>
      <c r="X275" s="254" t="s">
        <v>121</v>
      </c>
      <c r="Y275" s="254" t="s">
        <v>121</v>
      </c>
      <c r="Z275" s="254" t="s">
        <v>121</v>
      </c>
      <c r="AA275" s="254" t="s">
        <v>121</v>
      </c>
      <c r="AB275" s="254" t="s">
        <v>121</v>
      </c>
      <c r="AC275" s="152" t="s">
        <v>121</v>
      </c>
      <c r="AD275" s="152" t="s">
        <v>121</v>
      </c>
      <c r="AE275" s="152" t="s">
        <v>121</v>
      </c>
      <c r="AF275" s="253" t="s">
        <v>121</v>
      </c>
      <c r="AG275" s="152" t="s">
        <v>121</v>
      </c>
      <c r="AH275" s="152" t="s">
        <v>121</v>
      </c>
      <c r="AI275" s="152" t="s">
        <v>121</v>
      </c>
      <c r="AJ275" s="152" t="s">
        <v>121</v>
      </c>
      <c r="AK275" s="152" t="s">
        <v>121</v>
      </c>
      <c r="AL275" s="152" t="s">
        <v>121</v>
      </c>
      <c r="AM275" s="152" t="s">
        <v>121</v>
      </c>
      <c r="AN275" s="152" t="s">
        <v>121</v>
      </c>
      <c r="AO275" s="152" t="s">
        <v>121</v>
      </c>
      <c r="AP275" s="152" t="s">
        <v>121</v>
      </c>
      <c r="AQ275" s="152" t="s">
        <v>121</v>
      </c>
      <c r="AR275" s="152" t="s">
        <v>121</v>
      </c>
      <c r="AS275" s="152" t="s">
        <v>121</v>
      </c>
      <c r="AT275" s="158" t="s">
        <v>121</v>
      </c>
      <c r="AU275" s="144" t="s">
        <v>121</v>
      </c>
      <c r="AV275" s="86" t="s">
        <v>121</v>
      </c>
      <c r="AW275" s="154" t="s">
        <v>121</v>
      </c>
      <c r="AX275" s="86" t="s">
        <v>121</v>
      </c>
      <c r="AY275" s="77" t="s">
        <v>121</v>
      </c>
      <c r="AZ275" s="55" t="s">
        <v>121</v>
      </c>
      <c r="BA275" s="55" t="s">
        <v>121</v>
      </c>
      <c r="BB275" s="55" t="s">
        <v>121</v>
      </c>
      <c r="BC275" s="55" t="s">
        <v>121</v>
      </c>
      <c r="BD275" s="55" t="s">
        <v>121</v>
      </c>
      <c r="BE275" s="55" t="s">
        <v>121</v>
      </c>
      <c r="BF275" s="55" t="s">
        <v>121</v>
      </c>
      <c r="BG275" s="55" t="s">
        <v>121</v>
      </c>
      <c r="BH275" s="55" t="s">
        <v>121</v>
      </c>
      <c r="BI275" s="55" t="s">
        <v>121</v>
      </c>
      <c r="BJ275" s="55" t="s">
        <v>121</v>
      </c>
      <c r="BK275" s="55" t="s">
        <v>121</v>
      </c>
      <c r="BL275" s="55" t="s">
        <v>121</v>
      </c>
      <c r="BM275" s="1" t="s">
        <v>121</v>
      </c>
      <c r="BN275" s="1" t="s">
        <v>121</v>
      </c>
      <c r="BO275" s="1" t="s">
        <v>121</v>
      </c>
      <c r="BP275" s="1" t="s">
        <v>121</v>
      </c>
      <c r="BQ275" s="1" t="s">
        <v>121</v>
      </c>
      <c r="BR275" s="1" t="s">
        <v>121</v>
      </c>
      <c r="BS275" s="1" t="s">
        <v>121</v>
      </c>
      <c r="BT275" s="1" t="s">
        <v>121</v>
      </c>
      <c r="BU275" s="1" t="s">
        <v>121</v>
      </c>
      <c r="BV275" s="1" t="s">
        <v>121</v>
      </c>
      <c r="BW275" s="1" t="s">
        <v>121</v>
      </c>
      <c r="BX275" s="1" t="s">
        <v>121</v>
      </c>
      <c r="BY275" s="1" t="s">
        <v>121</v>
      </c>
      <c r="BZ275" s="1" t="s">
        <v>121</v>
      </c>
      <c r="CA275" s="1" t="s">
        <v>121</v>
      </c>
      <c r="CB275" s="1" t="s">
        <v>121</v>
      </c>
      <c r="CC275" s="1" t="s">
        <v>121</v>
      </c>
      <c r="CD275" s="1" t="s">
        <v>121</v>
      </c>
      <c r="CE275" s="1" t="s">
        <v>121</v>
      </c>
      <c r="CF275" s="1" t="s">
        <v>121</v>
      </c>
      <c r="CG275" s="1" t="s">
        <v>121</v>
      </c>
      <c r="CH275" s="1" t="s">
        <v>121</v>
      </c>
      <c r="CI275" s="1" t="s">
        <v>121</v>
      </c>
      <c r="CJ275" s="1" t="s">
        <v>121</v>
      </c>
      <c r="CK275" s="1" t="s">
        <v>121</v>
      </c>
      <c r="CL275" s="1" t="s">
        <v>121</v>
      </c>
      <c r="CM275" s="1" t="s">
        <v>121</v>
      </c>
      <c r="CN275" s="1" t="s">
        <v>121</v>
      </c>
      <c r="CO275" s="1" t="s">
        <v>121</v>
      </c>
      <c r="CP275" s="1" t="s">
        <v>121</v>
      </c>
      <c r="CQ275" s="1" t="s">
        <v>121</v>
      </c>
      <c r="CR275" s="1" t="s">
        <v>121</v>
      </c>
      <c r="CS275" s="1" t="s">
        <v>121</v>
      </c>
      <c r="CT275" s="1" t="s">
        <v>121</v>
      </c>
      <c r="CU275" s="1" t="s">
        <v>121</v>
      </c>
      <c r="CV275" s="1" t="s">
        <v>121</v>
      </c>
      <c r="CW275" s="1" t="s">
        <v>121</v>
      </c>
      <c r="CX275" s="1" t="s">
        <v>121</v>
      </c>
      <c r="CY275" s="1" t="s">
        <v>121</v>
      </c>
      <c r="CZ275" s="1" t="s">
        <v>121</v>
      </c>
      <c r="DA275" s="1" t="s">
        <v>121</v>
      </c>
      <c r="DB275" s="1" t="s">
        <v>121</v>
      </c>
      <c r="DC275" s="1" t="s">
        <v>121</v>
      </c>
      <c r="DD275" s="1" t="s">
        <v>121</v>
      </c>
      <c r="DE275" s="1" t="s">
        <v>121</v>
      </c>
      <c r="DF275" s="1" t="s">
        <v>121</v>
      </c>
      <c r="DG275" s="1" t="s">
        <v>121</v>
      </c>
      <c r="DH275" s="1" t="s">
        <v>121</v>
      </c>
      <c r="DI275" s="1" t="s">
        <v>121</v>
      </c>
      <c r="DJ275" s="1" t="s">
        <v>121</v>
      </c>
      <c r="DK275" s="1" t="s">
        <v>121</v>
      </c>
      <c r="DL275" s="1" t="s">
        <v>121</v>
      </c>
      <c r="DM275" s="1" t="s">
        <v>121</v>
      </c>
      <c r="DN275" s="1" t="s">
        <v>121</v>
      </c>
      <c r="DO275" s="1" t="s">
        <v>121</v>
      </c>
      <c r="DP275" s="1" t="s">
        <v>121</v>
      </c>
      <c r="DQ275" s="1" t="s">
        <v>121</v>
      </c>
      <c r="DR275" s="1" t="s">
        <v>121</v>
      </c>
      <c r="DS275" s="1" t="s">
        <v>121</v>
      </c>
      <c r="DT275" s="1" t="s">
        <v>121</v>
      </c>
      <c r="DU275" s="1" t="s">
        <v>121</v>
      </c>
      <c r="DV275" s="1" t="s">
        <v>121</v>
      </c>
      <c r="DW275" s="1" t="s">
        <v>121</v>
      </c>
      <c r="DX275" s="1" t="s">
        <v>121</v>
      </c>
      <c r="DY275" s="1" t="s">
        <v>121</v>
      </c>
      <c r="DZ275" s="1" t="s">
        <v>121</v>
      </c>
      <c r="EA275" s="1" t="s">
        <v>121</v>
      </c>
      <c r="EB275" s="1" t="s">
        <v>121</v>
      </c>
      <c r="EC275" s="1" t="s">
        <v>121</v>
      </c>
      <c r="ED275" s="1" t="s">
        <v>121</v>
      </c>
      <c r="EE275" s="1" t="s">
        <v>121</v>
      </c>
      <c r="EF275" s="1" t="s">
        <v>121</v>
      </c>
      <c r="EG275" s="1" t="s">
        <v>121</v>
      </c>
      <c r="EH275" s="1" t="s">
        <v>121</v>
      </c>
      <c r="EI275" s="1" t="s">
        <v>121</v>
      </c>
      <c r="EJ275" s="1" t="s">
        <v>121</v>
      </c>
      <c r="EK275" s="1" t="s">
        <v>121</v>
      </c>
      <c r="EL275" s="1" t="s">
        <v>121</v>
      </c>
      <c r="EM275" s="1" t="s">
        <v>121</v>
      </c>
      <c r="EN275" s="1" t="s">
        <v>121</v>
      </c>
      <c r="EO275" s="1" t="s">
        <v>121</v>
      </c>
      <c r="EP275" s="1" t="s">
        <v>121</v>
      </c>
      <c r="EQ275" s="1" t="s">
        <v>121</v>
      </c>
      <c r="ER275" s="1" t="s">
        <v>121</v>
      </c>
      <c r="ES275" s="1" t="s">
        <v>121</v>
      </c>
      <c r="ET275" s="1" t="s">
        <v>121</v>
      </c>
      <c r="EU275" s="1" t="s">
        <v>121</v>
      </c>
      <c r="EV275" s="1" t="s">
        <v>121</v>
      </c>
      <c r="EW275" s="1" t="s">
        <v>121</v>
      </c>
      <c r="EX275" s="1" t="s">
        <v>121</v>
      </c>
    </row>
    <row r="276" spans="1:154" x14ac:dyDescent="0.25">
      <c r="A276" s="72">
        <v>276</v>
      </c>
      <c r="B276" s="74" t="s">
        <v>458</v>
      </c>
      <c r="C276" s="91">
        <f t="shared" ref="C276:C285" ca="1" si="23">OFFSET($E$7,$A276-$A$7,1,1,1)/OFFSET($E$7,$A276-$A$7,2,1,1)-1</f>
        <v>0.1020408163265305</v>
      </c>
      <c r="D276" s="86"/>
      <c r="E276" s="92">
        <f t="shared" ref="E276:E285" ca="1" si="24">OFFSET($E$7,$A276-$A$7,1,1,1)/OFFSET($E$7,$A276-$A$7,5,1,1)-1</f>
        <v>1.039501039501034E-2</v>
      </c>
      <c r="F276" s="77">
        <v>486</v>
      </c>
      <c r="G276" s="77">
        <v>441</v>
      </c>
      <c r="H276" s="77">
        <v>394</v>
      </c>
      <c r="I276" s="77">
        <v>407</v>
      </c>
      <c r="J276" s="77">
        <v>481</v>
      </c>
      <c r="K276" s="77">
        <v>482</v>
      </c>
      <c r="L276" s="77">
        <v>454</v>
      </c>
      <c r="M276" s="77">
        <v>480</v>
      </c>
      <c r="N276" s="77">
        <v>500</v>
      </c>
      <c r="O276" s="77">
        <v>462</v>
      </c>
      <c r="P276" s="77">
        <v>419</v>
      </c>
      <c r="Q276" s="405"/>
      <c r="R276" s="405"/>
      <c r="S276" s="405"/>
      <c r="T276" s="405"/>
      <c r="U276" s="77">
        <v>362</v>
      </c>
      <c r="V276" s="77">
        <v>388</v>
      </c>
      <c r="W276" s="77">
        <v>373</v>
      </c>
      <c r="X276" s="77">
        <v>353</v>
      </c>
      <c r="Y276" s="77">
        <v>342.56700000000001</v>
      </c>
      <c r="Z276" s="77">
        <v>323.33500000000004</v>
      </c>
      <c r="AA276" s="77">
        <v>237.50399999999996</v>
      </c>
      <c r="AB276" s="77">
        <v>310.59399999999999</v>
      </c>
      <c r="AC276" s="77">
        <v>290.36199999999997</v>
      </c>
      <c r="AD276" s="77">
        <v>271.30399999999997</v>
      </c>
      <c r="AE276" s="77">
        <v>250.20000000000002</v>
      </c>
      <c r="AF276" s="77">
        <v>235.02</v>
      </c>
      <c r="AG276" s="77">
        <v>259.24799999999993</v>
      </c>
      <c r="AH276" s="77">
        <v>258.13200000000006</v>
      </c>
      <c r="AI276" s="77">
        <v>242.07299999999998</v>
      </c>
      <c r="AJ276" s="77">
        <v>207.37</v>
      </c>
      <c r="AK276" s="77">
        <v>223.59400000000005</v>
      </c>
      <c r="AL276" s="77">
        <v>205.46800000000002</v>
      </c>
      <c r="AM276" s="77">
        <v>189.39</v>
      </c>
      <c r="AN276" s="77">
        <v>166.166</v>
      </c>
      <c r="AO276" s="77">
        <v>173.41399999999999</v>
      </c>
      <c r="AP276" s="77">
        <v>164.346</v>
      </c>
      <c r="AQ276" s="77">
        <v>138.88500000000002</v>
      </c>
      <c r="AR276" s="77">
        <v>123.489</v>
      </c>
      <c r="AS276" s="77">
        <v>114.02300000000002</v>
      </c>
      <c r="AT276" s="77">
        <v>123.24799999999999</v>
      </c>
      <c r="AU276" s="77">
        <v>100.776</v>
      </c>
      <c r="AV276" s="77">
        <v>111.2</v>
      </c>
      <c r="AW276" s="77">
        <v>127.173</v>
      </c>
      <c r="AX276" s="77">
        <v>96.888000000000005</v>
      </c>
      <c r="AY276" s="77">
        <v>95.34099999999998</v>
      </c>
      <c r="AZ276" s="55">
        <v>83.668000000000006</v>
      </c>
      <c r="BA276" s="55">
        <v>69.954000000000008</v>
      </c>
      <c r="BB276" s="55">
        <v>91.143000000000015</v>
      </c>
      <c r="BC276" s="55">
        <v>56.184999999999995</v>
      </c>
      <c r="BD276" s="55">
        <v>50.573</v>
      </c>
      <c r="BE276" s="55">
        <v>51.795999999999992</v>
      </c>
      <c r="BF276" s="55">
        <v>43.352999999999994</v>
      </c>
      <c r="BG276" s="55">
        <v>45.417000000000009</v>
      </c>
      <c r="BH276" s="55">
        <v>41.122999999999998</v>
      </c>
      <c r="BI276" s="55">
        <v>51.825000000000017</v>
      </c>
      <c r="BJ276" s="55">
        <v>44.641999999999996</v>
      </c>
      <c r="BK276" s="55">
        <v>39.685000000000002</v>
      </c>
      <c r="BL276" s="55">
        <v>29.166</v>
      </c>
      <c r="BM276" s="1">
        <v>29.793000000000006</v>
      </c>
      <c r="BN276" s="1">
        <v>24.22</v>
      </c>
      <c r="BO276" s="1">
        <v>20.832999999999998</v>
      </c>
      <c r="BP276" s="1">
        <v>19.613</v>
      </c>
      <c r="BQ276" s="1" t="s">
        <v>121</v>
      </c>
      <c r="BR276" s="1" t="s">
        <v>121</v>
      </c>
      <c r="BS276" s="1" t="s">
        <v>121</v>
      </c>
      <c r="BT276" s="1" t="s">
        <v>121</v>
      </c>
      <c r="BU276" s="1" t="s">
        <v>121</v>
      </c>
      <c r="BV276" s="1" t="s">
        <v>121</v>
      </c>
      <c r="BW276" s="1" t="s">
        <v>121</v>
      </c>
      <c r="BX276" s="1" t="s">
        <v>121</v>
      </c>
      <c r="BY276" s="1" t="s">
        <v>121</v>
      </c>
      <c r="BZ276" s="1" t="s">
        <v>121</v>
      </c>
      <c r="CA276" s="1" t="s">
        <v>121</v>
      </c>
      <c r="CB276" s="1" t="s">
        <v>121</v>
      </c>
      <c r="CC276" s="1" t="s">
        <v>121</v>
      </c>
      <c r="CD276" s="1" t="s">
        <v>121</v>
      </c>
      <c r="CE276" s="1" t="s">
        <v>121</v>
      </c>
      <c r="CF276" s="1" t="s">
        <v>121</v>
      </c>
      <c r="CG276" s="1" t="s">
        <v>121</v>
      </c>
      <c r="CH276" s="1" t="s">
        <v>121</v>
      </c>
      <c r="CI276" s="1" t="s">
        <v>121</v>
      </c>
      <c r="CJ276" s="1" t="s">
        <v>121</v>
      </c>
      <c r="CK276" s="1" t="s">
        <v>121</v>
      </c>
      <c r="CL276" s="1" t="s">
        <v>121</v>
      </c>
      <c r="CM276" s="1" t="s">
        <v>121</v>
      </c>
      <c r="CN276" s="1" t="s">
        <v>121</v>
      </c>
      <c r="CO276" s="1" t="s">
        <v>121</v>
      </c>
      <c r="CP276" s="1" t="s">
        <v>121</v>
      </c>
      <c r="CQ276" s="1" t="s">
        <v>121</v>
      </c>
      <c r="CR276" s="1" t="s">
        <v>121</v>
      </c>
      <c r="CS276" s="1" t="s">
        <v>121</v>
      </c>
      <c r="CT276" s="1" t="s">
        <v>121</v>
      </c>
      <c r="CU276" s="1" t="s">
        <v>121</v>
      </c>
      <c r="CV276" s="1" t="s">
        <v>121</v>
      </c>
      <c r="CW276" s="1" t="s">
        <v>121</v>
      </c>
      <c r="CX276" s="1" t="s">
        <v>121</v>
      </c>
      <c r="CY276" s="1" t="s">
        <v>121</v>
      </c>
      <c r="CZ276" s="1" t="s">
        <v>121</v>
      </c>
      <c r="DA276" s="1" t="s">
        <v>121</v>
      </c>
      <c r="DB276" s="1" t="s">
        <v>121</v>
      </c>
      <c r="DC276" s="1" t="s">
        <v>121</v>
      </c>
      <c r="DD276" s="1" t="s">
        <v>121</v>
      </c>
      <c r="DE276" s="1" t="s">
        <v>121</v>
      </c>
      <c r="DF276" s="1" t="s">
        <v>121</v>
      </c>
      <c r="DG276" s="1" t="s">
        <v>121</v>
      </c>
      <c r="DH276" s="1" t="s">
        <v>121</v>
      </c>
      <c r="DI276" s="1" t="s">
        <v>121</v>
      </c>
      <c r="DJ276" s="1" t="s">
        <v>121</v>
      </c>
      <c r="DK276" s="1" t="s">
        <v>121</v>
      </c>
      <c r="DL276" s="1" t="s">
        <v>121</v>
      </c>
      <c r="DM276" s="1" t="s">
        <v>121</v>
      </c>
      <c r="DN276" s="1" t="s">
        <v>121</v>
      </c>
      <c r="DO276" s="1" t="s">
        <v>121</v>
      </c>
      <c r="DP276" s="1" t="s">
        <v>121</v>
      </c>
      <c r="DQ276" s="1" t="s">
        <v>121</v>
      </c>
      <c r="DR276" s="1" t="s">
        <v>121</v>
      </c>
      <c r="DS276" s="1" t="s">
        <v>121</v>
      </c>
      <c r="DT276" s="1" t="s">
        <v>121</v>
      </c>
      <c r="DU276" s="1" t="s">
        <v>121</v>
      </c>
      <c r="DV276" s="1" t="s">
        <v>121</v>
      </c>
      <c r="DW276" s="1" t="s">
        <v>121</v>
      </c>
      <c r="DX276" s="1" t="s">
        <v>121</v>
      </c>
      <c r="DY276" s="1" t="s">
        <v>121</v>
      </c>
      <c r="DZ276" s="1" t="s">
        <v>121</v>
      </c>
      <c r="EA276" s="1" t="s">
        <v>121</v>
      </c>
      <c r="EB276" s="1" t="s">
        <v>121</v>
      </c>
      <c r="EC276" s="1" t="s">
        <v>121</v>
      </c>
      <c r="ED276" s="1" t="s">
        <v>121</v>
      </c>
      <c r="EE276" s="1" t="s">
        <v>121</v>
      </c>
      <c r="EF276" s="1" t="s">
        <v>121</v>
      </c>
      <c r="EG276" s="1" t="s">
        <v>121</v>
      </c>
      <c r="EH276" s="1" t="s">
        <v>121</v>
      </c>
      <c r="EI276" s="1" t="s">
        <v>121</v>
      </c>
      <c r="EJ276" s="1" t="s">
        <v>121</v>
      </c>
      <c r="EK276" s="1" t="s">
        <v>121</v>
      </c>
      <c r="EL276" s="1" t="s">
        <v>121</v>
      </c>
      <c r="EM276" s="1" t="s">
        <v>121</v>
      </c>
      <c r="EN276" s="1" t="s">
        <v>121</v>
      </c>
      <c r="EO276" s="1" t="s">
        <v>121</v>
      </c>
      <c r="EP276" s="1" t="s">
        <v>121</v>
      </c>
      <c r="EQ276" s="1" t="s">
        <v>121</v>
      </c>
      <c r="ER276" s="1" t="s">
        <v>121</v>
      </c>
      <c r="ES276" s="1" t="s">
        <v>121</v>
      </c>
      <c r="ET276" s="1" t="s">
        <v>121</v>
      </c>
      <c r="EU276" s="1" t="s">
        <v>121</v>
      </c>
      <c r="EV276" s="1" t="s">
        <v>121</v>
      </c>
      <c r="EW276" s="1" t="s">
        <v>121</v>
      </c>
      <c r="EX276" s="1" t="s">
        <v>121</v>
      </c>
    </row>
    <row r="277" spans="1:154" x14ac:dyDescent="0.25">
      <c r="A277" s="72">
        <v>277</v>
      </c>
      <c r="B277" s="74" t="s">
        <v>467</v>
      </c>
      <c r="C277" s="91">
        <f t="shared" ca="1" si="23"/>
        <v>2.4691358024691468E-2</v>
      </c>
      <c r="D277" s="86"/>
      <c r="E277" s="92">
        <f t="shared" ca="1" si="24"/>
        <v>1.4776119402985075</v>
      </c>
      <c r="F277" s="77">
        <v>166</v>
      </c>
      <c r="G277" s="77">
        <v>162</v>
      </c>
      <c r="H277" s="77">
        <v>145</v>
      </c>
      <c r="I277" s="77">
        <v>43</v>
      </c>
      <c r="J277" s="77">
        <v>67</v>
      </c>
      <c r="K277" s="77">
        <v>64</v>
      </c>
      <c r="L277" s="77">
        <v>111</v>
      </c>
      <c r="M277" s="77">
        <v>130</v>
      </c>
      <c r="N277" s="77">
        <v>94</v>
      </c>
      <c r="O277" s="77">
        <v>94</v>
      </c>
      <c r="P277" s="77">
        <v>72</v>
      </c>
      <c r="Q277" s="405"/>
      <c r="R277" s="405"/>
      <c r="S277" s="405"/>
      <c r="T277" s="405"/>
      <c r="U277" s="77">
        <v>34</v>
      </c>
      <c r="V277" s="77">
        <v>108</v>
      </c>
      <c r="W277" s="77">
        <v>90</v>
      </c>
      <c r="X277" s="77">
        <v>69</v>
      </c>
      <c r="Y277" s="77">
        <v>60.11099999999999</v>
      </c>
      <c r="Z277" s="77">
        <v>43.724000000000018</v>
      </c>
      <c r="AA277" s="77">
        <v>45.011999999999986</v>
      </c>
      <c r="AB277" s="77">
        <v>28.153000000000006</v>
      </c>
      <c r="AC277" s="77">
        <v>155.63600000000002</v>
      </c>
      <c r="AD277" s="77">
        <v>116.166</v>
      </c>
      <c r="AE277" s="77">
        <v>118.78</v>
      </c>
      <c r="AF277" s="77">
        <v>156.33099999999999</v>
      </c>
      <c r="AG277" s="77">
        <v>152.53049999999996</v>
      </c>
      <c r="AH277" s="77">
        <v>152.53050000000002</v>
      </c>
      <c r="AI277" s="77">
        <v>152.53049999999999</v>
      </c>
      <c r="AJ277" s="77">
        <v>152.53049999999999</v>
      </c>
      <c r="AK277" s="77" t="s">
        <v>121</v>
      </c>
      <c r="AL277" s="77" t="s">
        <v>121</v>
      </c>
      <c r="AM277" s="77" t="s">
        <v>121</v>
      </c>
      <c r="AN277" s="77" t="s">
        <v>121</v>
      </c>
      <c r="AO277" s="77" t="s">
        <v>121</v>
      </c>
      <c r="AP277" s="77" t="s">
        <v>121</v>
      </c>
      <c r="AQ277" s="77" t="s">
        <v>121</v>
      </c>
      <c r="AR277" s="77" t="s">
        <v>121</v>
      </c>
      <c r="AS277" s="77" t="s">
        <v>121</v>
      </c>
      <c r="AT277" s="77" t="s">
        <v>121</v>
      </c>
      <c r="AU277" s="77" t="s">
        <v>121</v>
      </c>
      <c r="AV277" s="77" t="s">
        <v>121</v>
      </c>
      <c r="AW277" s="77" t="s">
        <v>121</v>
      </c>
      <c r="AX277" s="77" t="s">
        <v>121</v>
      </c>
      <c r="AY277" s="77" t="s">
        <v>121</v>
      </c>
      <c r="AZ277" s="55" t="s">
        <v>121</v>
      </c>
      <c r="BA277" s="55" t="s">
        <v>121</v>
      </c>
      <c r="BB277" s="55" t="s">
        <v>121</v>
      </c>
      <c r="BC277" s="55" t="s">
        <v>121</v>
      </c>
      <c r="BD277" s="55" t="s">
        <v>121</v>
      </c>
      <c r="BE277" s="55" t="s">
        <v>121</v>
      </c>
      <c r="BF277" s="55" t="s">
        <v>121</v>
      </c>
      <c r="BG277" s="55" t="s">
        <v>121</v>
      </c>
      <c r="BH277" s="55" t="s">
        <v>121</v>
      </c>
      <c r="BI277" s="55" t="s">
        <v>121</v>
      </c>
      <c r="BJ277" s="55" t="s">
        <v>121</v>
      </c>
      <c r="BK277" s="55" t="s">
        <v>121</v>
      </c>
      <c r="BL277" s="55" t="s">
        <v>121</v>
      </c>
      <c r="BM277" s="1" t="s">
        <v>121</v>
      </c>
      <c r="BN277" s="1" t="s">
        <v>121</v>
      </c>
      <c r="BO277" s="1" t="s">
        <v>121</v>
      </c>
      <c r="BP277" s="1" t="s">
        <v>121</v>
      </c>
      <c r="BQ277" s="1" t="s">
        <v>121</v>
      </c>
      <c r="BR277" s="1" t="s">
        <v>121</v>
      </c>
      <c r="BS277" s="1" t="s">
        <v>121</v>
      </c>
      <c r="BT277" s="1" t="s">
        <v>121</v>
      </c>
      <c r="BU277" s="1" t="s">
        <v>121</v>
      </c>
      <c r="BV277" s="1" t="s">
        <v>121</v>
      </c>
      <c r="BW277" s="1" t="s">
        <v>121</v>
      </c>
      <c r="BX277" s="1" t="s">
        <v>121</v>
      </c>
      <c r="BY277" s="1" t="s">
        <v>121</v>
      </c>
      <c r="BZ277" s="1" t="s">
        <v>121</v>
      </c>
      <c r="CA277" s="1" t="s">
        <v>121</v>
      </c>
      <c r="CB277" s="1" t="s">
        <v>121</v>
      </c>
      <c r="CC277" s="1" t="s">
        <v>121</v>
      </c>
      <c r="CD277" s="1" t="s">
        <v>121</v>
      </c>
      <c r="CE277" s="1" t="s">
        <v>121</v>
      </c>
      <c r="CF277" s="1" t="s">
        <v>121</v>
      </c>
      <c r="CG277" s="1" t="s">
        <v>121</v>
      </c>
      <c r="CH277" s="1" t="s">
        <v>121</v>
      </c>
      <c r="CI277" s="1" t="s">
        <v>121</v>
      </c>
      <c r="CJ277" s="1" t="s">
        <v>121</v>
      </c>
      <c r="CK277" s="1" t="s">
        <v>121</v>
      </c>
      <c r="CL277" s="1" t="s">
        <v>121</v>
      </c>
      <c r="CM277" s="1" t="s">
        <v>121</v>
      </c>
      <c r="CN277" s="1" t="s">
        <v>121</v>
      </c>
      <c r="CO277" s="1" t="s">
        <v>121</v>
      </c>
      <c r="CP277" s="1" t="s">
        <v>121</v>
      </c>
      <c r="CQ277" s="1" t="s">
        <v>121</v>
      </c>
      <c r="CR277" s="1" t="s">
        <v>121</v>
      </c>
      <c r="CS277" s="1" t="s">
        <v>121</v>
      </c>
      <c r="CT277" s="1" t="s">
        <v>121</v>
      </c>
      <c r="CU277" s="1" t="s">
        <v>121</v>
      </c>
      <c r="CV277" s="1" t="s">
        <v>121</v>
      </c>
      <c r="CW277" s="1" t="s">
        <v>121</v>
      </c>
      <c r="CX277" s="1" t="s">
        <v>121</v>
      </c>
      <c r="CY277" s="1" t="s">
        <v>121</v>
      </c>
      <c r="CZ277" s="1" t="s">
        <v>121</v>
      </c>
      <c r="DA277" s="1" t="s">
        <v>121</v>
      </c>
      <c r="DB277" s="1" t="s">
        <v>121</v>
      </c>
      <c r="DC277" s="1" t="s">
        <v>121</v>
      </c>
      <c r="DD277" s="1" t="s">
        <v>121</v>
      </c>
      <c r="DE277" s="1" t="s">
        <v>121</v>
      </c>
      <c r="DF277" s="1" t="s">
        <v>121</v>
      </c>
      <c r="DG277" s="1" t="s">
        <v>121</v>
      </c>
      <c r="DH277" s="1" t="s">
        <v>121</v>
      </c>
      <c r="DI277" s="1" t="s">
        <v>121</v>
      </c>
      <c r="DJ277" s="1" t="s">
        <v>121</v>
      </c>
      <c r="DK277" s="1" t="s">
        <v>121</v>
      </c>
      <c r="DL277" s="1" t="s">
        <v>121</v>
      </c>
      <c r="DM277" s="1" t="s">
        <v>121</v>
      </c>
      <c r="DN277" s="1" t="s">
        <v>121</v>
      </c>
      <c r="DO277" s="1" t="s">
        <v>121</v>
      </c>
      <c r="DP277" s="1" t="s">
        <v>121</v>
      </c>
      <c r="DQ277" s="1" t="s">
        <v>121</v>
      </c>
      <c r="DR277" s="1" t="s">
        <v>121</v>
      </c>
      <c r="DS277" s="1" t="s">
        <v>121</v>
      </c>
      <c r="DT277" s="1" t="s">
        <v>121</v>
      </c>
      <c r="DU277" s="1" t="s">
        <v>121</v>
      </c>
      <c r="DV277" s="1" t="s">
        <v>121</v>
      </c>
      <c r="DW277" s="1" t="s">
        <v>121</v>
      </c>
      <c r="DX277" s="1" t="s">
        <v>121</v>
      </c>
      <c r="DY277" s="1" t="s">
        <v>121</v>
      </c>
      <c r="DZ277" s="1" t="s">
        <v>121</v>
      </c>
      <c r="EA277" s="1" t="s">
        <v>121</v>
      </c>
      <c r="EB277" s="1" t="s">
        <v>121</v>
      </c>
      <c r="EC277" s="1" t="s">
        <v>121</v>
      </c>
      <c r="ED277" s="1" t="s">
        <v>121</v>
      </c>
      <c r="EE277" s="1" t="s">
        <v>121</v>
      </c>
      <c r="EF277" s="1" t="s">
        <v>121</v>
      </c>
      <c r="EG277" s="1" t="s">
        <v>121</v>
      </c>
      <c r="EH277" s="1" t="s">
        <v>121</v>
      </c>
      <c r="EI277" s="1" t="s">
        <v>121</v>
      </c>
      <c r="EJ277" s="1" t="s">
        <v>121</v>
      </c>
      <c r="EK277" s="1" t="s">
        <v>121</v>
      </c>
      <c r="EL277" s="1" t="s">
        <v>121</v>
      </c>
      <c r="EM277" s="1" t="s">
        <v>121</v>
      </c>
      <c r="EN277" s="1" t="s">
        <v>121</v>
      </c>
      <c r="EO277" s="1" t="s">
        <v>121</v>
      </c>
      <c r="EP277" s="1" t="s">
        <v>121</v>
      </c>
      <c r="EQ277" s="1" t="s">
        <v>121</v>
      </c>
      <c r="ER277" s="1" t="s">
        <v>121</v>
      </c>
      <c r="ES277" s="1" t="s">
        <v>121</v>
      </c>
      <c r="ET277" s="1" t="s">
        <v>121</v>
      </c>
      <c r="EU277" s="1" t="s">
        <v>121</v>
      </c>
      <c r="EV277" s="1" t="s">
        <v>121</v>
      </c>
      <c r="EW277" s="1" t="s">
        <v>121</v>
      </c>
      <c r="EX277" s="1" t="s">
        <v>121</v>
      </c>
    </row>
    <row r="278" spans="1:154" x14ac:dyDescent="0.25">
      <c r="A278" s="72">
        <v>278</v>
      </c>
      <c r="B278" s="74" t="s">
        <v>457</v>
      </c>
      <c r="C278" s="91">
        <f t="shared" ca="1" si="23"/>
        <v>-2.5641025641025661E-2</v>
      </c>
      <c r="D278" s="86"/>
      <c r="E278" s="92">
        <f t="shared" ca="1" si="24"/>
        <v>0</v>
      </c>
      <c r="F278" s="77">
        <v>38</v>
      </c>
      <c r="G278" s="77">
        <v>39</v>
      </c>
      <c r="H278" s="77">
        <v>31</v>
      </c>
      <c r="I278" s="77">
        <v>40</v>
      </c>
      <c r="J278" s="77">
        <v>38</v>
      </c>
      <c r="K278" s="77">
        <v>50</v>
      </c>
      <c r="L278" s="77">
        <v>35</v>
      </c>
      <c r="M278" s="77">
        <v>36</v>
      </c>
      <c r="N278" s="77">
        <v>32</v>
      </c>
      <c r="O278" s="77">
        <v>42</v>
      </c>
      <c r="P278" s="77">
        <v>71</v>
      </c>
      <c r="Q278" s="405"/>
      <c r="R278" s="405"/>
      <c r="S278" s="405"/>
      <c r="T278" s="405"/>
      <c r="U278" s="77">
        <v>58</v>
      </c>
      <c r="V278" s="77">
        <v>53</v>
      </c>
      <c r="W278" s="77">
        <v>51</v>
      </c>
      <c r="X278" s="77">
        <v>36</v>
      </c>
      <c r="Y278" s="77">
        <v>54.504999999999995</v>
      </c>
      <c r="Z278" s="77">
        <v>48.622</v>
      </c>
      <c r="AA278" s="77">
        <v>41.951000000000008</v>
      </c>
      <c r="AB278" s="77">
        <v>35.921999999999997</v>
      </c>
      <c r="AC278" s="77">
        <v>51.366000000000014</v>
      </c>
      <c r="AD278" s="77">
        <v>42.510999999999981</v>
      </c>
      <c r="AE278" s="77">
        <v>44.297000000000004</v>
      </c>
      <c r="AF278" s="77">
        <v>41.243000000000002</v>
      </c>
      <c r="AG278" s="77">
        <v>50.207999999999984</v>
      </c>
      <c r="AH278" s="77">
        <v>45.56</v>
      </c>
      <c r="AI278" s="77">
        <v>41.542999999999999</v>
      </c>
      <c r="AJ278" s="77">
        <v>27.341000000000001</v>
      </c>
      <c r="AK278" s="77">
        <v>43.311999999999998</v>
      </c>
      <c r="AL278" s="77">
        <v>42.638999999999996</v>
      </c>
      <c r="AM278" s="77">
        <v>40.422000000000004</v>
      </c>
      <c r="AN278" s="77">
        <v>30.768999999999998</v>
      </c>
      <c r="AO278" s="77">
        <v>55.625</v>
      </c>
      <c r="AP278" s="77">
        <v>41.817999999999998</v>
      </c>
      <c r="AQ278" s="77">
        <v>38.775000000000006</v>
      </c>
      <c r="AR278" s="77">
        <v>28.64</v>
      </c>
      <c r="AS278" s="77">
        <v>43.641000000000005</v>
      </c>
      <c r="AT278" s="77">
        <v>41.678999999999995</v>
      </c>
      <c r="AU278" s="77">
        <v>25.817</v>
      </c>
      <c r="AV278" s="77">
        <v>25.332999999999998</v>
      </c>
      <c r="AW278" s="77">
        <v>34.11</v>
      </c>
      <c r="AX278" s="77">
        <v>28.341000000000008</v>
      </c>
      <c r="AY278" s="77">
        <v>29.248999999999999</v>
      </c>
      <c r="AZ278" s="55">
        <v>20.593</v>
      </c>
      <c r="BA278" s="55">
        <v>25.729999999999997</v>
      </c>
      <c r="BB278" s="55">
        <v>19.416999999999998</v>
      </c>
      <c r="BC278" s="55">
        <v>17.953000000000003</v>
      </c>
      <c r="BD278" s="55">
        <v>11.67</v>
      </c>
      <c r="BE278" s="55">
        <v>21.774999999999999</v>
      </c>
      <c r="BF278" s="55">
        <v>20.994</v>
      </c>
      <c r="BG278" s="55">
        <v>15.715999999999998</v>
      </c>
      <c r="BH278" s="55">
        <v>17.693000000000001</v>
      </c>
      <c r="BI278" s="55">
        <v>29.268000000000001</v>
      </c>
      <c r="BJ278" s="55">
        <v>17.616999999999997</v>
      </c>
      <c r="BK278" s="55">
        <v>15.619000000000003</v>
      </c>
      <c r="BL278" s="55">
        <v>17.654</v>
      </c>
      <c r="BM278" s="1">
        <v>19.989000000000004</v>
      </c>
      <c r="BN278" s="1">
        <v>13.811999999999998</v>
      </c>
      <c r="BO278" s="1">
        <v>12.22</v>
      </c>
      <c r="BP278" s="1">
        <v>10.590999999999999</v>
      </c>
      <c r="BQ278" s="1" t="s">
        <v>121</v>
      </c>
      <c r="BR278" s="1" t="s">
        <v>121</v>
      </c>
      <c r="BS278" s="1" t="s">
        <v>121</v>
      </c>
      <c r="BT278" s="1" t="s">
        <v>121</v>
      </c>
      <c r="BU278" s="1" t="s">
        <v>121</v>
      </c>
      <c r="BV278" s="1" t="s">
        <v>121</v>
      </c>
      <c r="BW278" s="1" t="s">
        <v>121</v>
      </c>
      <c r="BX278" s="1" t="s">
        <v>121</v>
      </c>
      <c r="BY278" s="1" t="s">
        <v>121</v>
      </c>
      <c r="BZ278" s="1" t="s">
        <v>121</v>
      </c>
      <c r="CA278" s="1" t="s">
        <v>121</v>
      </c>
      <c r="CB278" s="1" t="s">
        <v>121</v>
      </c>
      <c r="CC278" s="1" t="s">
        <v>121</v>
      </c>
      <c r="CD278" s="1" t="s">
        <v>121</v>
      </c>
      <c r="CE278" s="1" t="s">
        <v>121</v>
      </c>
      <c r="CF278" s="1" t="s">
        <v>121</v>
      </c>
      <c r="CG278" s="1" t="s">
        <v>121</v>
      </c>
      <c r="CH278" s="1" t="s">
        <v>121</v>
      </c>
      <c r="CI278" s="1" t="s">
        <v>121</v>
      </c>
      <c r="CJ278" s="1" t="s">
        <v>121</v>
      </c>
      <c r="CK278" s="1" t="s">
        <v>121</v>
      </c>
      <c r="CL278" s="1" t="s">
        <v>121</v>
      </c>
      <c r="CM278" s="1" t="s">
        <v>121</v>
      </c>
      <c r="CN278" s="1" t="s">
        <v>121</v>
      </c>
      <c r="CO278" s="1" t="s">
        <v>121</v>
      </c>
      <c r="CP278" s="1" t="s">
        <v>121</v>
      </c>
      <c r="CQ278" s="1" t="s">
        <v>121</v>
      </c>
      <c r="CR278" s="1" t="s">
        <v>121</v>
      </c>
      <c r="CS278" s="1" t="s">
        <v>121</v>
      </c>
      <c r="CT278" s="1" t="s">
        <v>121</v>
      </c>
      <c r="CU278" s="1" t="s">
        <v>121</v>
      </c>
      <c r="CV278" s="1" t="s">
        <v>121</v>
      </c>
      <c r="CW278" s="1" t="s">
        <v>121</v>
      </c>
      <c r="CX278" s="1" t="s">
        <v>121</v>
      </c>
      <c r="CY278" s="1" t="s">
        <v>121</v>
      </c>
      <c r="CZ278" s="1" t="s">
        <v>121</v>
      </c>
      <c r="DA278" s="1" t="s">
        <v>121</v>
      </c>
      <c r="DB278" s="1" t="s">
        <v>121</v>
      </c>
      <c r="DC278" s="1" t="s">
        <v>121</v>
      </c>
      <c r="DD278" s="1" t="s">
        <v>121</v>
      </c>
      <c r="DE278" s="1" t="s">
        <v>121</v>
      </c>
      <c r="DF278" s="1" t="s">
        <v>121</v>
      </c>
      <c r="DG278" s="1" t="s">
        <v>121</v>
      </c>
      <c r="DH278" s="1" t="s">
        <v>121</v>
      </c>
      <c r="DI278" s="1" t="s">
        <v>121</v>
      </c>
      <c r="DJ278" s="1" t="s">
        <v>121</v>
      </c>
      <c r="DK278" s="1" t="s">
        <v>121</v>
      </c>
      <c r="DL278" s="1" t="s">
        <v>121</v>
      </c>
      <c r="DM278" s="1" t="s">
        <v>121</v>
      </c>
      <c r="DN278" s="1" t="s">
        <v>121</v>
      </c>
      <c r="DO278" s="1" t="s">
        <v>121</v>
      </c>
      <c r="DP278" s="1" t="s">
        <v>121</v>
      </c>
      <c r="DQ278" s="1" t="s">
        <v>121</v>
      </c>
      <c r="DR278" s="1" t="s">
        <v>121</v>
      </c>
      <c r="DS278" s="1" t="s">
        <v>121</v>
      </c>
      <c r="DT278" s="1" t="s">
        <v>121</v>
      </c>
      <c r="DU278" s="1" t="s">
        <v>121</v>
      </c>
      <c r="DV278" s="1" t="s">
        <v>121</v>
      </c>
      <c r="DW278" s="1" t="s">
        <v>121</v>
      </c>
      <c r="DX278" s="1" t="s">
        <v>121</v>
      </c>
      <c r="DY278" s="1" t="s">
        <v>121</v>
      </c>
      <c r="DZ278" s="1" t="s">
        <v>121</v>
      </c>
      <c r="EA278" s="1" t="s">
        <v>121</v>
      </c>
      <c r="EB278" s="1" t="s">
        <v>121</v>
      </c>
      <c r="EC278" s="1" t="s">
        <v>121</v>
      </c>
      <c r="ED278" s="1" t="s">
        <v>121</v>
      </c>
      <c r="EE278" s="1" t="s">
        <v>121</v>
      </c>
      <c r="EF278" s="1" t="s">
        <v>121</v>
      </c>
      <c r="EG278" s="1" t="s">
        <v>121</v>
      </c>
      <c r="EH278" s="1" t="s">
        <v>121</v>
      </c>
      <c r="EI278" s="1" t="s">
        <v>121</v>
      </c>
      <c r="EJ278" s="1" t="s">
        <v>121</v>
      </c>
      <c r="EK278" s="1" t="s">
        <v>121</v>
      </c>
      <c r="EL278" s="1" t="s">
        <v>121</v>
      </c>
      <c r="EM278" s="1" t="s">
        <v>121</v>
      </c>
      <c r="EN278" s="1" t="s">
        <v>121</v>
      </c>
      <c r="EO278" s="1" t="s">
        <v>121</v>
      </c>
      <c r="EP278" s="1" t="s">
        <v>121</v>
      </c>
      <c r="EQ278" s="1" t="s">
        <v>121</v>
      </c>
      <c r="ER278" s="1" t="s">
        <v>121</v>
      </c>
      <c r="ES278" s="1" t="s">
        <v>121</v>
      </c>
      <c r="ET278" s="1" t="s">
        <v>121</v>
      </c>
      <c r="EU278" s="1" t="s">
        <v>121</v>
      </c>
      <c r="EV278" s="1" t="s">
        <v>121</v>
      </c>
      <c r="EW278" s="1" t="s">
        <v>121</v>
      </c>
      <c r="EX278" s="1" t="s">
        <v>121</v>
      </c>
    </row>
    <row r="279" spans="1:154" x14ac:dyDescent="0.25">
      <c r="A279" s="72">
        <v>279</v>
      </c>
      <c r="B279" s="61" t="s">
        <v>468</v>
      </c>
      <c r="C279" s="91">
        <f t="shared" ca="1" si="23"/>
        <v>0.19999999999999996</v>
      </c>
      <c r="D279" s="86"/>
      <c r="E279" s="92">
        <f t="shared" ca="1" si="24"/>
        <v>0.41176470588235303</v>
      </c>
      <c r="F279" s="77">
        <v>120</v>
      </c>
      <c r="G279" s="77">
        <v>100</v>
      </c>
      <c r="H279" s="77">
        <v>73</v>
      </c>
      <c r="I279" s="77">
        <v>126</v>
      </c>
      <c r="J279" s="77">
        <v>85</v>
      </c>
      <c r="K279" s="77">
        <v>86</v>
      </c>
      <c r="L279" s="77">
        <v>52</v>
      </c>
      <c r="M279" s="77">
        <v>89</v>
      </c>
      <c r="N279" s="77">
        <v>58</v>
      </c>
      <c r="O279" s="77">
        <v>39</v>
      </c>
      <c r="P279" s="77">
        <v>28</v>
      </c>
      <c r="Q279" s="405"/>
      <c r="R279" s="405"/>
      <c r="S279" s="405"/>
      <c r="T279" s="405"/>
      <c r="U279" s="77">
        <v>90</v>
      </c>
      <c r="V279" s="77">
        <v>59</v>
      </c>
      <c r="W279" s="77">
        <v>67</v>
      </c>
      <c r="X279" s="77">
        <v>51</v>
      </c>
      <c r="Y279" s="77">
        <v>59.599999999999994</v>
      </c>
      <c r="Z279" s="77">
        <v>58.288000000000011</v>
      </c>
      <c r="AA279" s="77">
        <v>45.868999999999993</v>
      </c>
      <c r="AB279" s="77">
        <v>42.243000000000002</v>
      </c>
      <c r="AC279" s="77">
        <v>63.302999999999997</v>
      </c>
      <c r="AD279" s="77">
        <v>47.227999999999994</v>
      </c>
      <c r="AE279" s="77">
        <v>49.523000000000003</v>
      </c>
      <c r="AF279" s="77">
        <v>55.658999999999999</v>
      </c>
      <c r="AG279" s="77">
        <v>60.561999999999983</v>
      </c>
      <c r="AH279" s="77">
        <v>46.604000000000013</v>
      </c>
      <c r="AI279" s="77">
        <v>57.001999999999995</v>
      </c>
      <c r="AJ279" s="77">
        <v>34.182000000000002</v>
      </c>
      <c r="AK279" s="77">
        <v>51.225999999999999</v>
      </c>
      <c r="AL279" s="77">
        <v>55.790999999999997</v>
      </c>
      <c r="AM279" s="77">
        <v>63.353000000000002</v>
      </c>
      <c r="AN279" s="77">
        <v>59.273000000000003</v>
      </c>
      <c r="AO279" s="77">
        <v>75.123999999999995</v>
      </c>
      <c r="AP279" s="77">
        <v>52.259</v>
      </c>
      <c r="AQ279" s="77">
        <v>39.361999999999995</v>
      </c>
      <c r="AR279" s="77">
        <v>28.283000000000001</v>
      </c>
      <c r="AS279" s="77">
        <v>12.161000000000001</v>
      </c>
      <c r="AT279" s="77">
        <v>17.015999999999998</v>
      </c>
      <c r="AU279" s="77">
        <v>12.507000000000001</v>
      </c>
      <c r="AV279" s="77">
        <v>12.413</v>
      </c>
      <c r="AW279" s="77">
        <v>13.097000000000001</v>
      </c>
      <c r="AX279" s="77">
        <v>10.779</v>
      </c>
      <c r="AY279" s="77">
        <v>11.651999999999999</v>
      </c>
      <c r="AZ279" s="55">
        <v>9.2430000000000003</v>
      </c>
      <c r="BA279" s="55">
        <v>11.327999999999999</v>
      </c>
      <c r="BB279" s="55">
        <v>9.3989999999999991</v>
      </c>
      <c r="BC279" s="55">
        <v>11.2</v>
      </c>
      <c r="BD279" s="55">
        <v>2.452</v>
      </c>
      <c r="BE279" s="55">
        <v>10.405000000000001</v>
      </c>
      <c r="BF279" s="55">
        <v>8.6189999999999998</v>
      </c>
      <c r="BG279" s="55">
        <v>9.593</v>
      </c>
      <c r="BH279" s="55">
        <v>4.8460000000000001</v>
      </c>
      <c r="BI279" s="55">
        <v>9.1260000000000012</v>
      </c>
      <c r="BJ279" s="55">
        <v>4.7680000000000007</v>
      </c>
      <c r="BK279" s="55">
        <v>5.2209999999999992</v>
      </c>
      <c r="BL279" s="55">
        <v>3.194</v>
      </c>
      <c r="BM279" s="1">
        <v>6.3099999999999987</v>
      </c>
      <c r="BN279" s="1">
        <v>4.4079999999999995</v>
      </c>
      <c r="BO279" s="1">
        <v>6.1150000000000002</v>
      </c>
      <c r="BP279" s="1">
        <v>3.762</v>
      </c>
      <c r="BQ279" s="1" t="s">
        <v>121</v>
      </c>
      <c r="BR279" s="1" t="s">
        <v>121</v>
      </c>
      <c r="BS279" s="1" t="s">
        <v>121</v>
      </c>
      <c r="BT279" s="1" t="s">
        <v>121</v>
      </c>
      <c r="BU279" s="1" t="s">
        <v>121</v>
      </c>
      <c r="BV279" s="1" t="s">
        <v>121</v>
      </c>
      <c r="BW279" s="1" t="s">
        <v>121</v>
      </c>
      <c r="BX279" s="1" t="s">
        <v>121</v>
      </c>
      <c r="BY279" s="1" t="s">
        <v>121</v>
      </c>
      <c r="BZ279" s="1" t="s">
        <v>121</v>
      </c>
      <c r="CA279" s="1" t="s">
        <v>121</v>
      </c>
      <c r="CB279" s="1" t="s">
        <v>121</v>
      </c>
      <c r="CC279" s="1" t="s">
        <v>121</v>
      </c>
      <c r="CD279" s="1" t="s">
        <v>121</v>
      </c>
      <c r="CE279" s="1" t="s">
        <v>121</v>
      </c>
      <c r="CF279" s="1" t="s">
        <v>121</v>
      </c>
      <c r="CG279" s="1" t="s">
        <v>121</v>
      </c>
      <c r="CH279" s="1" t="s">
        <v>121</v>
      </c>
      <c r="CI279" s="1" t="s">
        <v>121</v>
      </c>
      <c r="CJ279" s="1" t="s">
        <v>121</v>
      </c>
      <c r="CK279" s="1" t="s">
        <v>121</v>
      </c>
      <c r="CL279" s="1" t="s">
        <v>121</v>
      </c>
      <c r="CM279" s="1" t="s">
        <v>121</v>
      </c>
      <c r="CN279" s="1" t="s">
        <v>121</v>
      </c>
      <c r="CO279" s="1" t="s">
        <v>121</v>
      </c>
      <c r="CP279" s="1" t="s">
        <v>121</v>
      </c>
      <c r="CQ279" s="1" t="s">
        <v>121</v>
      </c>
      <c r="CR279" s="1" t="s">
        <v>121</v>
      </c>
      <c r="CS279" s="1" t="s">
        <v>121</v>
      </c>
      <c r="CT279" s="1" t="s">
        <v>121</v>
      </c>
      <c r="CU279" s="1" t="s">
        <v>121</v>
      </c>
      <c r="CV279" s="1" t="s">
        <v>121</v>
      </c>
      <c r="CW279" s="1" t="s">
        <v>121</v>
      </c>
      <c r="CX279" s="1" t="s">
        <v>121</v>
      </c>
      <c r="CY279" s="1" t="s">
        <v>121</v>
      </c>
      <c r="CZ279" s="1" t="s">
        <v>121</v>
      </c>
      <c r="DA279" s="1" t="s">
        <v>121</v>
      </c>
      <c r="DB279" s="1" t="s">
        <v>121</v>
      </c>
      <c r="DC279" s="1" t="s">
        <v>121</v>
      </c>
      <c r="DD279" s="1" t="s">
        <v>121</v>
      </c>
      <c r="DE279" s="1" t="s">
        <v>121</v>
      </c>
      <c r="DF279" s="1" t="s">
        <v>121</v>
      </c>
      <c r="DG279" s="1" t="s">
        <v>121</v>
      </c>
      <c r="DH279" s="1" t="s">
        <v>121</v>
      </c>
      <c r="DI279" s="1" t="s">
        <v>121</v>
      </c>
      <c r="DJ279" s="1" t="s">
        <v>121</v>
      </c>
      <c r="DK279" s="1" t="s">
        <v>121</v>
      </c>
      <c r="DL279" s="1" t="s">
        <v>121</v>
      </c>
      <c r="DM279" s="1" t="s">
        <v>121</v>
      </c>
      <c r="DN279" s="1" t="s">
        <v>121</v>
      </c>
      <c r="DO279" s="1" t="s">
        <v>121</v>
      </c>
      <c r="DP279" s="1" t="s">
        <v>121</v>
      </c>
      <c r="DQ279" s="1" t="s">
        <v>121</v>
      </c>
      <c r="DR279" s="1" t="s">
        <v>121</v>
      </c>
      <c r="DS279" s="1" t="s">
        <v>121</v>
      </c>
      <c r="DT279" s="1" t="s">
        <v>121</v>
      </c>
      <c r="DU279" s="1" t="s">
        <v>121</v>
      </c>
      <c r="DV279" s="1" t="s">
        <v>121</v>
      </c>
      <c r="DW279" s="1" t="s">
        <v>121</v>
      </c>
      <c r="DX279" s="1" t="s">
        <v>121</v>
      </c>
      <c r="DY279" s="1" t="s">
        <v>121</v>
      </c>
      <c r="DZ279" s="1" t="s">
        <v>121</v>
      </c>
      <c r="EA279" s="1" t="s">
        <v>121</v>
      </c>
      <c r="EB279" s="1" t="s">
        <v>121</v>
      </c>
      <c r="EC279" s="1" t="s">
        <v>121</v>
      </c>
      <c r="ED279" s="1" t="s">
        <v>121</v>
      </c>
      <c r="EE279" s="1" t="s">
        <v>121</v>
      </c>
      <c r="EF279" s="1" t="s">
        <v>121</v>
      </c>
      <c r="EG279" s="1" t="s">
        <v>121</v>
      </c>
      <c r="EH279" s="1" t="s">
        <v>121</v>
      </c>
      <c r="EI279" s="1" t="s">
        <v>121</v>
      </c>
      <c r="EJ279" s="1" t="s">
        <v>121</v>
      </c>
      <c r="EK279" s="1" t="s">
        <v>121</v>
      </c>
      <c r="EL279" s="1" t="s">
        <v>121</v>
      </c>
      <c r="EM279" s="1" t="s">
        <v>121</v>
      </c>
      <c r="EN279" s="1" t="s">
        <v>121</v>
      </c>
      <c r="EO279" s="1" t="s">
        <v>121</v>
      </c>
      <c r="EP279" s="1" t="s">
        <v>121</v>
      </c>
      <c r="EQ279" s="1" t="s">
        <v>121</v>
      </c>
      <c r="ER279" s="1" t="s">
        <v>121</v>
      </c>
      <c r="ES279" s="1" t="s">
        <v>121</v>
      </c>
      <c r="ET279" s="1" t="s">
        <v>121</v>
      </c>
      <c r="EU279" s="1" t="s">
        <v>121</v>
      </c>
      <c r="EV279" s="1" t="s">
        <v>121</v>
      </c>
      <c r="EW279" s="1" t="s">
        <v>121</v>
      </c>
      <c r="EX279" s="1" t="s">
        <v>121</v>
      </c>
    </row>
    <row r="280" spans="1:154" ht="15" hidden="1" customHeight="1" x14ac:dyDescent="0.25">
      <c r="A280" s="72"/>
      <c r="B280" s="74"/>
      <c r="C280" s="91" t="e">
        <f t="shared" ca="1" si="23"/>
        <v>#REF!</v>
      </c>
      <c r="D280" s="86"/>
      <c r="E280" s="92" t="e">
        <f t="shared" ca="1" si="24"/>
        <v>#REF!</v>
      </c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405"/>
      <c r="R280" s="405"/>
      <c r="S280" s="405"/>
      <c r="T280" s="405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</row>
    <row r="281" spans="1:154" x14ac:dyDescent="0.25">
      <c r="A281" s="72">
        <v>281</v>
      </c>
      <c r="B281" s="61" t="s">
        <v>469</v>
      </c>
      <c r="C281" s="91"/>
      <c r="D281" s="86"/>
      <c r="E281" s="92"/>
      <c r="F281" s="77" t="s">
        <v>121</v>
      </c>
      <c r="G281" s="77" t="s">
        <v>121</v>
      </c>
      <c r="H281" s="77" t="s">
        <v>121</v>
      </c>
      <c r="I281" s="77" t="s">
        <v>121</v>
      </c>
      <c r="J281" s="77" t="s">
        <v>121</v>
      </c>
      <c r="K281" s="77" t="s">
        <v>121</v>
      </c>
      <c r="L281" s="77" t="s">
        <v>121</v>
      </c>
      <c r="M281" s="77">
        <v>1</v>
      </c>
      <c r="N281" s="77">
        <v>1</v>
      </c>
      <c r="O281" s="77" t="s">
        <v>121</v>
      </c>
      <c r="P281" s="77" t="s">
        <v>121</v>
      </c>
      <c r="Q281" s="405"/>
      <c r="R281" s="405"/>
      <c r="S281" s="405"/>
      <c r="T281" s="405"/>
      <c r="U281" s="77">
        <v>3</v>
      </c>
      <c r="V281" s="77">
        <v>3</v>
      </c>
      <c r="W281" s="77">
        <v>1</v>
      </c>
      <c r="X281" s="77">
        <v>8</v>
      </c>
      <c r="Y281" s="77">
        <v>3.972999999999999</v>
      </c>
      <c r="Z281" s="77">
        <v>2.9300000000000015</v>
      </c>
      <c r="AA281" s="77">
        <v>5.1439999999999992</v>
      </c>
      <c r="AB281" s="77">
        <v>7.9530000000000003</v>
      </c>
      <c r="AC281" s="77">
        <v>2.9289999999999994</v>
      </c>
      <c r="AD281" s="77">
        <v>2.2070000000000003</v>
      </c>
      <c r="AE281" s="77">
        <v>1.63</v>
      </c>
      <c r="AF281" s="77">
        <v>1.722</v>
      </c>
      <c r="AG281" s="77">
        <v>3.7889999999999997</v>
      </c>
      <c r="AH281" s="77">
        <v>1.9359999999999999</v>
      </c>
      <c r="AI281" s="77">
        <v>2.41</v>
      </c>
      <c r="AJ281" s="77">
        <v>2.2149999999999999</v>
      </c>
      <c r="AK281" s="77">
        <v>1.5469999999999997</v>
      </c>
      <c r="AL281" s="77">
        <v>3.4010000000000007</v>
      </c>
      <c r="AM281" s="77">
        <v>1.7199999999999998</v>
      </c>
      <c r="AN281" s="77">
        <v>2.2869999999999999</v>
      </c>
      <c r="AO281" s="77">
        <v>1.7389999999999999</v>
      </c>
      <c r="AP281" s="77">
        <v>2.5609999999999999</v>
      </c>
      <c r="AQ281" s="77">
        <v>2.1440000000000001</v>
      </c>
      <c r="AR281" s="77">
        <v>1.3480000000000001</v>
      </c>
      <c r="AS281" s="77">
        <v>1.8550000000000004</v>
      </c>
      <c r="AT281" s="77">
        <v>1.1129999999999995</v>
      </c>
      <c r="AU281" s="77">
        <v>2.6840000000000002</v>
      </c>
      <c r="AV281" s="77">
        <v>2.6520000000000001</v>
      </c>
      <c r="AW281" s="77">
        <v>23.175999999999998</v>
      </c>
      <c r="AX281" s="77">
        <v>4.2140000000000004</v>
      </c>
      <c r="AY281" s="77">
        <v>1.5970000000000004</v>
      </c>
      <c r="AZ281" s="55">
        <v>7.1779999999999999</v>
      </c>
      <c r="BA281" s="55">
        <v>2.2800000000000002</v>
      </c>
      <c r="BB281" s="55">
        <v>2.3769999999999998</v>
      </c>
      <c r="BC281" s="55">
        <v>2.0350000000000001</v>
      </c>
      <c r="BD281" s="55">
        <v>1.4359999999999999</v>
      </c>
      <c r="BE281" s="55">
        <v>2.8340000000000005</v>
      </c>
      <c r="BF281" s="55">
        <v>2.4459999999999997</v>
      </c>
      <c r="BG281" s="55">
        <v>1.395</v>
      </c>
      <c r="BH281" s="55">
        <v>0.90300000000000002</v>
      </c>
      <c r="BI281" s="55">
        <v>1.5329999999999999</v>
      </c>
      <c r="BJ281" s="55">
        <v>1.0750000000000002</v>
      </c>
      <c r="BK281" s="55">
        <v>0.96199999999999997</v>
      </c>
      <c r="BL281" s="55">
        <v>0.65900000000000003</v>
      </c>
      <c r="BM281" s="1">
        <v>1.4909999999999997</v>
      </c>
      <c r="BN281" s="1">
        <v>0.79999999999999982</v>
      </c>
      <c r="BO281" s="1">
        <v>1.2620000000000002</v>
      </c>
      <c r="BP281" s="1">
        <v>1.361</v>
      </c>
      <c r="BQ281" s="1" t="s">
        <v>121</v>
      </c>
      <c r="BR281" s="1" t="s">
        <v>121</v>
      </c>
      <c r="BS281" s="1" t="s">
        <v>121</v>
      </c>
      <c r="BT281" s="1" t="s">
        <v>121</v>
      </c>
      <c r="BU281" s="1" t="s">
        <v>121</v>
      </c>
      <c r="BV281" s="1" t="s">
        <v>121</v>
      </c>
      <c r="BW281" s="1" t="s">
        <v>121</v>
      </c>
      <c r="BX281" s="1" t="s">
        <v>121</v>
      </c>
      <c r="BY281" s="1" t="s">
        <v>121</v>
      </c>
      <c r="BZ281" s="1" t="s">
        <v>121</v>
      </c>
      <c r="CA281" s="1" t="s">
        <v>121</v>
      </c>
      <c r="CB281" s="1" t="s">
        <v>121</v>
      </c>
      <c r="CC281" s="1" t="s">
        <v>121</v>
      </c>
      <c r="CD281" s="1" t="s">
        <v>121</v>
      </c>
      <c r="CE281" s="1" t="s">
        <v>121</v>
      </c>
      <c r="CF281" s="1" t="s">
        <v>121</v>
      </c>
      <c r="CG281" s="1" t="s">
        <v>121</v>
      </c>
      <c r="CH281" s="1" t="s">
        <v>121</v>
      </c>
      <c r="CI281" s="1" t="s">
        <v>121</v>
      </c>
      <c r="CJ281" s="1" t="s">
        <v>121</v>
      </c>
      <c r="CK281" s="1" t="s">
        <v>121</v>
      </c>
      <c r="CL281" s="1" t="s">
        <v>121</v>
      </c>
      <c r="CM281" s="1" t="s">
        <v>121</v>
      </c>
      <c r="CN281" s="1" t="s">
        <v>121</v>
      </c>
      <c r="CO281" s="1" t="s">
        <v>121</v>
      </c>
      <c r="CP281" s="1" t="s">
        <v>121</v>
      </c>
      <c r="CQ281" s="1" t="s">
        <v>121</v>
      </c>
      <c r="CR281" s="1" t="s">
        <v>121</v>
      </c>
      <c r="CS281" s="1" t="s">
        <v>121</v>
      </c>
      <c r="CT281" s="1" t="s">
        <v>121</v>
      </c>
      <c r="CU281" s="1" t="s">
        <v>121</v>
      </c>
      <c r="CV281" s="1" t="s">
        <v>121</v>
      </c>
      <c r="CW281" s="1" t="s">
        <v>121</v>
      </c>
      <c r="CX281" s="1" t="s">
        <v>121</v>
      </c>
      <c r="CY281" s="1" t="s">
        <v>121</v>
      </c>
      <c r="CZ281" s="1" t="s">
        <v>121</v>
      </c>
      <c r="DA281" s="1" t="s">
        <v>121</v>
      </c>
      <c r="DB281" s="1" t="s">
        <v>121</v>
      </c>
      <c r="DC281" s="1" t="s">
        <v>121</v>
      </c>
      <c r="DD281" s="1" t="s">
        <v>121</v>
      </c>
      <c r="DE281" s="1" t="s">
        <v>121</v>
      </c>
      <c r="DF281" s="1" t="s">
        <v>121</v>
      </c>
      <c r="DG281" s="1" t="s">
        <v>121</v>
      </c>
      <c r="DH281" s="1" t="s">
        <v>121</v>
      </c>
      <c r="DI281" s="1" t="s">
        <v>121</v>
      </c>
      <c r="DJ281" s="1" t="s">
        <v>121</v>
      </c>
      <c r="DK281" s="1" t="s">
        <v>121</v>
      </c>
      <c r="DL281" s="1" t="s">
        <v>121</v>
      </c>
      <c r="DM281" s="1" t="s">
        <v>121</v>
      </c>
      <c r="DN281" s="1" t="s">
        <v>121</v>
      </c>
      <c r="DO281" s="1" t="s">
        <v>121</v>
      </c>
      <c r="DP281" s="1" t="s">
        <v>121</v>
      </c>
      <c r="DQ281" s="1" t="s">
        <v>121</v>
      </c>
      <c r="DR281" s="1" t="s">
        <v>121</v>
      </c>
      <c r="DS281" s="1" t="s">
        <v>121</v>
      </c>
      <c r="DT281" s="1" t="s">
        <v>121</v>
      </c>
      <c r="DU281" s="1" t="s">
        <v>121</v>
      </c>
      <c r="DV281" s="1" t="s">
        <v>121</v>
      </c>
      <c r="DW281" s="1" t="s">
        <v>121</v>
      </c>
      <c r="DX281" s="1" t="s">
        <v>121</v>
      </c>
      <c r="DY281" s="1" t="s">
        <v>121</v>
      </c>
      <c r="DZ281" s="1" t="s">
        <v>121</v>
      </c>
      <c r="EA281" s="1" t="s">
        <v>121</v>
      </c>
      <c r="EB281" s="1" t="s">
        <v>121</v>
      </c>
      <c r="EC281" s="1" t="s">
        <v>121</v>
      </c>
      <c r="ED281" s="1" t="s">
        <v>121</v>
      </c>
      <c r="EE281" s="1" t="s">
        <v>121</v>
      </c>
      <c r="EF281" s="1" t="s">
        <v>121</v>
      </c>
      <c r="EG281" s="1" t="s">
        <v>121</v>
      </c>
      <c r="EH281" s="1" t="s">
        <v>121</v>
      </c>
      <c r="EI281" s="1" t="s">
        <v>121</v>
      </c>
      <c r="EJ281" s="1" t="s">
        <v>121</v>
      </c>
      <c r="EK281" s="1" t="s">
        <v>121</v>
      </c>
      <c r="EL281" s="1" t="s">
        <v>121</v>
      </c>
      <c r="EM281" s="1" t="s">
        <v>121</v>
      </c>
      <c r="EN281" s="1" t="s">
        <v>121</v>
      </c>
      <c r="EO281" s="1" t="s">
        <v>121</v>
      </c>
      <c r="EP281" s="1" t="s">
        <v>121</v>
      </c>
      <c r="EQ281" s="1" t="s">
        <v>121</v>
      </c>
      <c r="ER281" s="1" t="s">
        <v>121</v>
      </c>
      <c r="ES281" s="1" t="s">
        <v>121</v>
      </c>
      <c r="ET281" s="1" t="s">
        <v>121</v>
      </c>
      <c r="EU281" s="1" t="s">
        <v>121</v>
      </c>
      <c r="EV281" s="1" t="s">
        <v>121</v>
      </c>
      <c r="EW281" s="1" t="s">
        <v>121</v>
      </c>
      <c r="EX281" s="1" t="s">
        <v>121</v>
      </c>
    </row>
    <row r="282" spans="1:154" x14ac:dyDescent="0.25">
      <c r="A282" s="72">
        <v>282</v>
      </c>
      <c r="B282" s="74" t="s">
        <v>459</v>
      </c>
      <c r="C282" s="91"/>
      <c r="D282" s="86"/>
      <c r="E282" s="92"/>
      <c r="F282" s="77">
        <v>15</v>
      </c>
      <c r="G282" s="77">
        <v>13</v>
      </c>
      <c r="H282" s="77">
        <v>12</v>
      </c>
      <c r="I282" s="77">
        <v>12</v>
      </c>
      <c r="J282" s="77">
        <v>10</v>
      </c>
      <c r="K282" s="77">
        <v>70</v>
      </c>
      <c r="L282" s="77">
        <v>11</v>
      </c>
      <c r="M282" s="77">
        <v>11</v>
      </c>
      <c r="N282" s="77">
        <v>11</v>
      </c>
      <c r="O282" s="77">
        <v>5</v>
      </c>
      <c r="P282" s="77">
        <v>6</v>
      </c>
      <c r="Q282" s="405"/>
      <c r="R282" s="405"/>
      <c r="S282" s="405"/>
      <c r="T282" s="405"/>
      <c r="U282" s="77">
        <v>6</v>
      </c>
      <c r="V282" s="77">
        <v>5</v>
      </c>
      <c r="W282" s="77">
        <v>6</v>
      </c>
      <c r="X282" s="77">
        <v>11</v>
      </c>
      <c r="Y282" s="77">
        <v>6.8790000000000013</v>
      </c>
      <c r="Z282" s="77">
        <v>5.581999999999999</v>
      </c>
      <c r="AA282" s="77">
        <v>3.3879999999999999</v>
      </c>
      <c r="AB282" s="77">
        <v>7.1509999999999998</v>
      </c>
      <c r="AC282" s="77">
        <v>0.22100000000000009</v>
      </c>
      <c r="AD282" s="77">
        <v>3.9830000000000005</v>
      </c>
      <c r="AE282" s="77">
        <v>1.0439999999999996</v>
      </c>
      <c r="AF282" s="77">
        <v>5.367</v>
      </c>
      <c r="AG282" s="77">
        <v>0.40599999999999881</v>
      </c>
      <c r="AH282" s="77">
        <v>6.4610000000000003</v>
      </c>
      <c r="AI282" s="77">
        <v>1.0590000000000002</v>
      </c>
      <c r="AJ282" s="77">
        <v>7.0910000000000002</v>
      </c>
      <c r="AK282" s="77">
        <v>2.8219999999999992</v>
      </c>
      <c r="AL282" s="77">
        <v>10.082000000000001</v>
      </c>
      <c r="AM282" s="77">
        <v>3.3719999999999999</v>
      </c>
      <c r="AN282" s="77">
        <v>9.9209999999999994</v>
      </c>
      <c r="AO282" s="77">
        <v>1.6069999999999993</v>
      </c>
      <c r="AP282" s="77">
        <v>11.085999999999999</v>
      </c>
      <c r="AQ282" s="77">
        <v>1.8920000000000012</v>
      </c>
      <c r="AR282" s="77">
        <v>14.289</v>
      </c>
      <c r="AS282" s="77">
        <v>2.4510000000000005</v>
      </c>
      <c r="AT282" s="77">
        <v>14.963000000000001</v>
      </c>
      <c r="AU282" s="77">
        <v>2.5960000000000001</v>
      </c>
      <c r="AV282" s="77">
        <v>17.007999999999999</v>
      </c>
      <c r="AW282" s="77">
        <v>23.978999999999999</v>
      </c>
      <c r="AX282" s="77">
        <v>13.651999999999997</v>
      </c>
      <c r="AY282" s="77">
        <v>10.037000000000001</v>
      </c>
      <c r="AZ282" s="55">
        <v>9.1349999999999998</v>
      </c>
      <c r="BA282" s="55">
        <v>15.390999999999998</v>
      </c>
      <c r="BB282" s="55">
        <v>23.444000000000003</v>
      </c>
      <c r="BC282" s="55">
        <v>22.542999999999999</v>
      </c>
      <c r="BD282" s="55">
        <v>10.976000000000001</v>
      </c>
      <c r="BE282" s="55">
        <v>18.271999999999991</v>
      </c>
      <c r="BF282" s="55">
        <v>14.717000000000006</v>
      </c>
      <c r="BG282" s="55">
        <v>31.165999999999997</v>
      </c>
      <c r="BH282" s="55">
        <v>8.9329999999999998</v>
      </c>
      <c r="BI282" s="55">
        <v>37.703999999999994</v>
      </c>
      <c r="BJ282" s="55">
        <v>5.9639999999999986</v>
      </c>
      <c r="BK282" s="55">
        <v>30.757000000000001</v>
      </c>
      <c r="BL282" s="55">
        <v>6.657</v>
      </c>
      <c r="BM282" s="1">
        <v>34.807000000000002</v>
      </c>
      <c r="BN282" s="1">
        <v>6.5169999999999959</v>
      </c>
      <c r="BO282" s="1">
        <v>34.417000000000002</v>
      </c>
      <c r="BP282" s="1">
        <v>9.61</v>
      </c>
      <c r="BQ282" s="1" t="s">
        <v>121</v>
      </c>
      <c r="BR282" s="1" t="s">
        <v>121</v>
      </c>
      <c r="BS282" s="1" t="s">
        <v>121</v>
      </c>
      <c r="BT282" s="1" t="s">
        <v>121</v>
      </c>
      <c r="BU282" s="1" t="s">
        <v>121</v>
      </c>
      <c r="BV282" s="1" t="s">
        <v>121</v>
      </c>
      <c r="BW282" s="1" t="s">
        <v>121</v>
      </c>
      <c r="BX282" s="1" t="s">
        <v>121</v>
      </c>
      <c r="BY282" s="1" t="s">
        <v>121</v>
      </c>
      <c r="BZ282" s="1" t="s">
        <v>121</v>
      </c>
      <c r="CA282" s="1" t="s">
        <v>121</v>
      </c>
      <c r="CB282" s="1" t="s">
        <v>121</v>
      </c>
      <c r="CC282" s="1" t="s">
        <v>121</v>
      </c>
      <c r="CD282" s="1" t="s">
        <v>121</v>
      </c>
      <c r="CE282" s="1" t="s">
        <v>121</v>
      </c>
      <c r="CF282" s="1" t="s">
        <v>121</v>
      </c>
      <c r="CG282" s="1" t="s">
        <v>121</v>
      </c>
      <c r="CH282" s="1" t="s">
        <v>121</v>
      </c>
      <c r="CI282" s="1" t="s">
        <v>121</v>
      </c>
      <c r="CJ282" s="1" t="s">
        <v>121</v>
      </c>
      <c r="CK282" s="1" t="s">
        <v>121</v>
      </c>
      <c r="CL282" s="1" t="s">
        <v>121</v>
      </c>
      <c r="CM282" s="1" t="s">
        <v>121</v>
      </c>
      <c r="CN282" s="1" t="s">
        <v>121</v>
      </c>
      <c r="CO282" s="1" t="s">
        <v>121</v>
      </c>
      <c r="CP282" s="1" t="s">
        <v>121</v>
      </c>
      <c r="CQ282" s="1" t="s">
        <v>121</v>
      </c>
      <c r="CR282" s="1" t="s">
        <v>121</v>
      </c>
      <c r="CS282" s="1" t="s">
        <v>121</v>
      </c>
      <c r="CT282" s="1" t="s">
        <v>121</v>
      </c>
      <c r="CU282" s="1" t="s">
        <v>121</v>
      </c>
      <c r="CV282" s="1" t="s">
        <v>121</v>
      </c>
      <c r="CW282" s="1" t="s">
        <v>121</v>
      </c>
      <c r="CX282" s="1" t="s">
        <v>121</v>
      </c>
      <c r="CY282" s="1" t="s">
        <v>121</v>
      </c>
      <c r="CZ282" s="1" t="s">
        <v>121</v>
      </c>
      <c r="DA282" s="1" t="s">
        <v>121</v>
      </c>
      <c r="DB282" s="1" t="s">
        <v>121</v>
      </c>
      <c r="DC282" s="1" t="s">
        <v>121</v>
      </c>
      <c r="DD282" s="1" t="s">
        <v>121</v>
      </c>
      <c r="DE282" s="1" t="s">
        <v>121</v>
      </c>
      <c r="DF282" s="1" t="s">
        <v>121</v>
      </c>
      <c r="DG282" s="1" t="s">
        <v>121</v>
      </c>
      <c r="DH282" s="1" t="s">
        <v>121</v>
      </c>
      <c r="DI282" s="1" t="s">
        <v>121</v>
      </c>
      <c r="DJ282" s="1" t="s">
        <v>121</v>
      </c>
      <c r="DK282" s="1" t="s">
        <v>121</v>
      </c>
      <c r="DL282" s="1" t="s">
        <v>121</v>
      </c>
      <c r="DM282" s="1" t="s">
        <v>121</v>
      </c>
      <c r="DN282" s="1" t="s">
        <v>121</v>
      </c>
      <c r="DO282" s="1" t="s">
        <v>121</v>
      </c>
      <c r="DP282" s="1" t="s">
        <v>121</v>
      </c>
      <c r="DQ282" s="1" t="s">
        <v>121</v>
      </c>
      <c r="DR282" s="1" t="s">
        <v>121</v>
      </c>
      <c r="DS282" s="1" t="s">
        <v>121</v>
      </c>
      <c r="DT282" s="1" t="s">
        <v>121</v>
      </c>
      <c r="DU282" s="1" t="s">
        <v>121</v>
      </c>
      <c r="DV282" s="1" t="s">
        <v>121</v>
      </c>
      <c r="DW282" s="1" t="s">
        <v>121</v>
      </c>
      <c r="DX282" s="1" t="s">
        <v>121</v>
      </c>
      <c r="DY282" s="1" t="s">
        <v>121</v>
      </c>
      <c r="DZ282" s="1" t="s">
        <v>121</v>
      </c>
      <c r="EA282" s="1" t="s">
        <v>121</v>
      </c>
      <c r="EB282" s="1" t="s">
        <v>121</v>
      </c>
      <c r="EC282" s="1" t="s">
        <v>121</v>
      </c>
      <c r="ED282" s="1" t="s">
        <v>121</v>
      </c>
      <c r="EE282" s="1" t="s">
        <v>121</v>
      </c>
      <c r="EF282" s="1" t="s">
        <v>121</v>
      </c>
      <c r="EG282" s="1" t="s">
        <v>121</v>
      </c>
      <c r="EH282" s="1" t="s">
        <v>121</v>
      </c>
      <c r="EI282" s="1" t="s">
        <v>121</v>
      </c>
      <c r="EJ282" s="1" t="s">
        <v>121</v>
      </c>
      <c r="EK282" s="1" t="s">
        <v>121</v>
      </c>
      <c r="EL282" s="1" t="s">
        <v>121</v>
      </c>
      <c r="EM282" s="1" t="s">
        <v>121</v>
      </c>
      <c r="EN282" s="1" t="s">
        <v>121</v>
      </c>
      <c r="EO282" s="1" t="s">
        <v>121</v>
      </c>
      <c r="EP282" s="1" t="s">
        <v>121</v>
      </c>
      <c r="EQ282" s="1" t="s">
        <v>121</v>
      </c>
      <c r="ER282" s="1" t="s">
        <v>121</v>
      </c>
      <c r="ES282" s="1" t="s">
        <v>121</v>
      </c>
      <c r="ET282" s="1" t="s">
        <v>121</v>
      </c>
      <c r="EU282" s="1" t="s">
        <v>121</v>
      </c>
      <c r="EV282" s="1" t="s">
        <v>121</v>
      </c>
      <c r="EW282" s="1" t="s">
        <v>121</v>
      </c>
      <c r="EX282" s="1" t="s">
        <v>121</v>
      </c>
    </row>
    <row r="283" spans="1:154" x14ac:dyDescent="0.25">
      <c r="A283" s="72">
        <v>283</v>
      </c>
      <c r="B283" s="61" t="s">
        <v>7</v>
      </c>
      <c r="C283" s="91">
        <f t="shared" ca="1" si="23"/>
        <v>-0.19999999999999996</v>
      </c>
      <c r="D283" s="86"/>
      <c r="E283" s="92">
        <f t="shared" ca="1" si="24"/>
        <v>-0.13043478260869568</v>
      </c>
      <c r="F283" s="77">
        <v>20</v>
      </c>
      <c r="G283" s="77">
        <v>25</v>
      </c>
      <c r="H283" s="77">
        <v>41</v>
      </c>
      <c r="I283" s="77">
        <v>22</v>
      </c>
      <c r="J283" s="77">
        <v>23</v>
      </c>
      <c r="K283" s="77">
        <v>31</v>
      </c>
      <c r="L283" s="77">
        <v>36</v>
      </c>
      <c r="M283" s="77">
        <v>60</v>
      </c>
      <c r="N283" s="77">
        <v>38</v>
      </c>
      <c r="O283" s="77">
        <v>30</v>
      </c>
      <c r="P283" s="77">
        <v>42</v>
      </c>
      <c r="Q283" s="405"/>
      <c r="R283" s="405"/>
      <c r="S283" s="405"/>
      <c r="T283" s="405"/>
      <c r="U283" s="77">
        <v>42.263999999999925</v>
      </c>
      <c r="V283" s="77">
        <v>41.799000000000078</v>
      </c>
      <c r="W283" s="77">
        <v>45.326999999999998</v>
      </c>
      <c r="X283" s="77">
        <v>31.271999999999991</v>
      </c>
      <c r="Y283" s="77">
        <v>40.742000000000004</v>
      </c>
      <c r="Z283" s="77">
        <v>42.172999999999995</v>
      </c>
      <c r="AA283" s="77">
        <v>36.741999999999997</v>
      </c>
      <c r="AB283" s="77">
        <v>32.014999999999993</v>
      </c>
      <c r="AC283" s="77">
        <v>26.340000000000003</v>
      </c>
      <c r="AD283" s="77">
        <v>32.647999999999996</v>
      </c>
      <c r="AE283" s="77">
        <v>26.238</v>
      </c>
      <c r="AF283" s="77">
        <v>43.64800000000001</v>
      </c>
      <c r="AG283" s="77">
        <v>40.977999999999994</v>
      </c>
      <c r="AH283" s="77">
        <v>51.119</v>
      </c>
      <c r="AI283" s="77">
        <v>53.706000000000003</v>
      </c>
      <c r="AJ283" s="77">
        <v>45.942</v>
      </c>
      <c r="AK283" s="77">
        <v>32.569000000000003</v>
      </c>
      <c r="AL283" s="77">
        <v>33.956999999999994</v>
      </c>
      <c r="AM283" s="77">
        <v>21.783999999999999</v>
      </c>
      <c r="AN283" s="77">
        <v>19.784999999999997</v>
      </c>
      <c r="AO283" s="77">
        <v>10.425000000000001</v>
      </c>
      <c r="AP283" s="77">
        <v>7.7729999999999997</v>
      </c>
      <c r="AQ283" s="77">
        <v>6.9090000000000007</v>
      </c>
      <c r="AR283" s="77">
        <v>18.642000000000003</v>
      </c>
      <c r="AS283" s="77">
        <v>10.358999999999998</v>
      </c>
      <c r="AT283" s="77">
        <v>8.5719999999999992</v>
      </c>
      <c r="AU283" s="77">
        <v>9.27</v>
      </c>
      <c r="AV283" s="77">
        <v>8.4649999999999999</v>
      </c>
      <c r="AW283" s="77">
        <v>8.3070000000000022</v>
      </c>
      <c r="AX283" s="77">
        <v>8.4159999999999986</v>
      </c>
      <c r="AY283" s="77">
        <v>11.914000000000001</v>
      </c>
      <c r="AZ283" s="55">
        <v>12.460000000000003</v>
      </c>
      <c r="BA283" s="55">
        <v>6.4779999999999998</v>
      </c>
      <c r="BB283" s="55">
        <v>9.411999999999999</v>
      </c>
      <c r="BC283" s="55">
        <v>3.7290000000000001</v>
      </c>
      <c r="BD283" s="55">
        <v>9.754999999999999</v>
      </c>
      <c r="BE283" s="55">
        <v>7.4489999999999998</v>
      </c>
      <c r="BF283" s="55">
        <v>7.8740000000000006</v>
      </c>
      <c r="BG283" s="55">
        <v>2.214</v>
      </c>
      <c r="BH283" s="55">
        <v>7.1609999999999978</v>
      </c>
      <c r="BI283" s="55">
        <v>3.0190000000000019</v>
      </c>
      <c r="BJ283" s="55">
        <v>-14.278999999999996</v>
      </c>
      <c r="BK283" s="55">
        <v>34.227999999999994</v>
      </c>
      <c r="BL283" s="55">
        <v>0.57899999999999996</v>
      </c>
      <c r="BM283" s="1">
        <v>7.1609999999999978</v>
      </c>
      <c r="BN283" s="1">
        <v>1.1670000000000016</v>
      </c>
      <c r="BO283" s="1">
        <v>-16.796999999999997</v>
      </c>
      <c r="BP283" s="1">
        <v>32.049999999999997</v>
      </c>
      <c r="BQ283" s="1" t="s">
        <v>121</v>
      </c>
      <c r="BR283" s="1" t="s">
        <v>121</v>
      </c>
      <c r="BS283" s="1" t="s">
        <v>121</v>
      </c>
      <c r="BT283" s="1" t="s">
        <v>121</v>
      </c>
      <c r="BU283" s="1" t="s">
        <v>121</v>
      </c>
      <c r="BV283" s="1" t="s">
        <v>121</v>
      </c>
      <c r="BW283" s="1" t="s">
        <v>121</v>
      </c>
      <c r="BX283" s="1" t="s">
        <v>121</v>
      </c>
      <c r="BY283" s="1" t="s">
        <v>121</v>
      </c>
      <c r="BZ283" s="1" t="s">
        <v>121</v>
      </c>
      <c r="CA283" s="1" t="s">
        <v>121</v>
      </c>
      <c r="CB283" s="1" t="s">
        <v>121</v>
      </c>
      <c r="CC283" s="1" t="s">
        <v>121</v>
      </c>
      <c r="CD283" s="1" t="s">
        <v>121</v>
      </c>
      <c r="CE283" s="1" t="s">
        <v>121</v>
      </c>
      <c r="CF283" s="1" t="s">
        <v>121</v>
      </c>
      <c r="CG283" s="1" t="s">
        <v>121</v>
      </c>
      <c r="CH283" s="1" t="s">
        <v>121</v>
      </c>
      <c r="CI283" s="1" t="s">
        <v>121</v>
      </c>
      <c r="CJ283" s="1" t="s">
        <v>121</v>
      </c>
      <c r="CK283" s="1" t="s">
        <v>121</v>
      </c>
      <c r="CL283" s="1" t="s">
        <v>121</v>
      </c>
      <c r="CM283" s="1" t="s">
        <v>121</v>
      </c>
      <c r="CN283" s="1" t="s">
        <v>121</v>
      </c>
      <c r="CO283" s="1" t="s">
        <v>121</v>
      </c>
      <c r="CP283" s="1" t="s">
        <v>121</v>
      </c>
      <c r="CQ283" s="1" t="s">
        <v>121</v>
      </c>
      <c r="CR283" s="1" t="s">
        <v>121</v>
      </c>
      <c r="CS283" s="1" t="s">
        <v>121</v>
      </c>
      <c r="CT283" s="1" t="s">
        <v>121</v>
      </c>
      <c r="CU283" s="1" t="s">
        <v>121</v>
      </c>
      <c r="CV283" s="1" t="s">
        <v>121</v>
      </c>
      <c r="CW283" s="1" t="s">
        <v>121</v>
      </c>
      <c r="CX283" s="1" t="s">
        <v>121</v>
      </c>
      <c r="CY283" s="1" t="s">
        <v>121</v>
      </c>
      <c r="CZ283" s="1" t="s">
        <v>121</v>
      </c>
      <c r="DA283" s="1" t="s">
        <v>121</v>
      </c>
      <c r="DB283" s="1" t="s">
        <v>121</v>
      </c>
      <c r="DC283" s="1" t="s">
        <v>121</v>
      </c>
      <c r="DD283" s="1" t="s">
        <v>121</v>
      </c>
      <c r="DE283" s="1" t="s">
        <v>121</v>
      </c>
      <c r="DF283" s="1" t="s">
        <v>121</v>
      </c>
      <c r="DG283" s="1" t="s">
        <v>121</v>
      </c>
      <c r="DH283" s="1" t="s">
        <v>121</v>
      </c>
      <c r="DI283" s="1" t="s">
        <v>121</v>
      </c>
      <c r="DJ283" s="1" t="s">
        <v>121</v>
      </c>
      <c r="DK283" s="1" t="s">
        <v>121</v>
      </c>
      <c r="DL283" s="1" t="s">
        <v>121</v>
      </c>
      <c r="DM283" s="1" t="s">
        <v>121</v>
      </c>
      <c r="DN283" s="1" t="s">
        <v>121</v>
      </c>
      <c r="DO283" s="1" t="s">
        <v>121</v>
      </c>
      <c r="DP283" s="1" t="s">
        <v>121</v>
      </c>
      <c r="DQ283" s="1" t="s">
        <v>121</v>
      </c>
      <c r="DR283" s="1" t="s">
        <v>121</v>
      </c>
      <c r="DS283" s="1" t="s">
        <v>121</v>
      </c>
      <c r="DT283" s="1" t="s">
        <v>121</v>
      </c>
      <c r="DU283" s="1" t="s">
        <v>121</v>
      </c>
      <c r="DV283" s="1" t="s">
        <v>121</v>
      </c>
      <c r="DW283" s="1" t="s">
        <v>121</v>
      </c>
      <c r="DX283" s="1" t="s">
        <v>121</v>
      </c>
      <c r="DY283" s="1" t="s">
        <v>121</v>
      </c>
      <c r="DZ283" s="1" t="s">
        <v>121</v>
      </c>
      <c r="EA283" s="1" t="s">
        <v>121</v>
      </c>
      <c r="EB283" s="1" t="s">
        <v>121</v>
      </c>
      <c r="EC283" s="1" t="s">
        <v>121</v>
      </c>
      <c r="ED283" s="1" t="s">
        <v>121</v>
      </c>
      <c r="EE283" s="1" t="s">
        <v>121</v>
      </c>
      <c r="EF283" s="1" t="s">
        <v>121</v>
      </c>
      <c r="EG283" s="1" t="s">
        <v>121</v>
      </c>
      <c r="EH283" s="1" t="s">
        <v>121</v>
      </c>
      <c r="EI283" s="1" t="s">
        <v>121</v>
      </c>
      <c r="EJ283" s="1" t="s">
        <v>121</v>
      </c>
      <c r="EK283" s="1" t="s">
        <v>121</v>
      </c>
      <c r="EL283" s="1" t="s">
        <v>121</v>
      </c>
      <c r="EM283" s="1" t="s">
        <v>121</v>
      </c>
      <c r="EN283" s="1" t="s">
        <v>121</v>
      </c>
      <c r="EO283" s="1" t="s">
        <v>121</v>
      </c>
      <c r="EP283" s="1" t="s">
        <v>121</v>
      </c>
      <c r="EQ283" s="1" t="s">
        <v>121</v>
      </c>
      <c r="ER283" s="1" t="s">
        <v>121</v>
      </c>
      <c r="ES283" s="1" t="s">
        <v>121</v>
      </c>
      <c r="ET283" s="1" t="s">
        <v>121</v>
      </c>
      <c r="EU283" s="1" t="s">
        <v>121</v>
      </c>
      <c r="EV283" s="1" t="s">
        <v>121</v>
      </c>
      <c r="EW283" s="1" t="s">
        <v>121</v>
      </c>
      <c r="EX283" s="1" t="s">
        <v>121</v>
      </c>
    </row>
    <row r="284" spans="1:154" x14ac:dyDescent="0.25">
      <c r="A284" s="72">
        <v>284</v>
      </c>
      <c r="B284" s="73" t="s">
        <v>470</v>
      </c>
      <c r="C284" s="94">
        <f t="shared" ca="1" si="23"/>
        <v>8.7855297157622747E-2</v>
      </c>
      <c r="D284" s="94"/>
      <c r="E284" s="94">
        <f t="shared" ca="1" si="24"/>
        <v>0.20114122681883018</v>
      </c>
      <c r="F284" s="124">
        <v>842</v>
      </c>
      <c r="G284" s="124">
        <v>774</v>
      </c>
      <c r="H284" s="124">
        <v>673</v>
      </c>
      <c r="I284" s="124">
        <v>644</v>
      </c>
      <c r="J284" s="124">
        <v>701</v>
      </c>
      <c r="K284" s="124">
        <v>773</v>
      </c>
      <c r="L284" s="124">
        <v>688</v>
      </c>
      <c r="M284" s="124">
        <v>788</v>
      </c>
      <c r="N284" s="124">
        <v>718</v>
      </c>
      <c r="O284" s="124">
        <v>665</v>
      </c>
      <c r="P284" s="124">
        <v>627</v>
      </c>
      <c r="Q284" s="405"/>
      <c r="R284" s="405"/>
      <c r="S284" s="405"/>
      <c r="T284" s="405"/>
      <c r="U284" s="124">
        <v>595</v>
      </c>
      <c r="V284" s="124">
        <v>644</v>
      </c>
      <c r="W284" s="124">
        <v>623</v>
      </c>
      <c r="X284" s="124">
        <v>561</v>
      </c>
      <c r="Y284" s="124">
        <v>564.24499999999989</v>
      </c>
      <c r="Z284" s="124">
        <v>524.745</v>
      </c>
      <c r="AA284" s="124">
        <v>420.66699999999997</v>
      </c>
      <c r="AB284" s="124">
        <v>477.34299999999996</v>
      </c>
      <c r="AC284" s="124">
        <v>595.08899999999994</v>
      </c>
      <c r="AD284" s="124">
        <v>524.14099999999996</v>
      </c>
      <c r="AE284" s="124">
        <v>507.64700000000005</v>
      </c>
      <c r="AF284" s="124">
        <v>532.08399999999995</v>
      </c>
      <c r="AG284" s="124">
        <v>558.7584999999998</v>
      </c>
      <c r="AH284" s="124">
        <v>537.5635000000002</v>
      </c>
      <c r="AI284" s="124">
        <v>529.26549999999986</v>
      </c>
      <c r="AJ284" s="124">
        <v>456.96749999999997</v>
      </c>
      <c r="AK284" s="124">
        <v>366.14900000000011</v>
      </c>
      <c r="AL284" s="124">
        <v>358.35900000000004</v>
      </c>
      <c r="AM284" s="124">
        <v>349.37599999999998</v>
      </c>
      <c r="AN284" s="124">
        <v>322.12200000000001</v>
      </c>
      <c r="AO284" s="124">
        <v>353.45100000000002</v>
      </c>
      <c r="AP284" s="124">
        <v>304.63900000000001</v>
      </c>
      <c r="AQ284" s="124">
        <v>255.01500000000001</v>
      </c>
      <c r="AR284" s="124">
        <v>217.83300000000006</v>
      </c>
      <c r="AS284" s="124">
        <v>193.91600000000003</v>
      </c>
      <c r="AT284" s="124">
        <v>208.44399999999999</v>
      </c>
      <c r="AU284" s="124">
        <v>152.15299999999999</v>
      </c>
      <c r="AV284" s="124">
        <v>175.51500000000001</v>
      </c>
      <c r="AW284" s="124">
        <v>240.17700000000002</v>
      </c>
      <c r="AX284" s="124">
        <v>164.23299999999998</v>
      </c>
      <c r="AY284" s="124">
        <v>156.44799999999995</v>
      </c>
      <c r="AZ284" s="76">
        <v>139.08699999999999</v>
      </c>
      <c r="BA284" s="76">
        <v>133.148</v>
      </c>
      <c r="BB284" s="76">
        <v>154.08700000000002</v>
      </c>
      <c r="BC284" s="76">
        <v>118.33200000000001</v>
      </c>
      <c r="BD284" s="76">
        <v>89.021000000000015</v>
      </c>
      <c r="BE284" s="76">
        <v>117.542</v>
      </c>
      <c r="BF284" s="76">
        <v>96.607000000000014</v>
      </c>
      <c r="BG284" s="76">
        <v>112.69900000000001</v>
      </c>
      <c r="BH284" s="76">
        <v>77.227000000000004</v>
      </c>
      <c r="BI284" s="76">
        <v>139.21100000000001</v>
      </c>
      <c r="BJ284" s="76">
        <v>81.514999999999986</v>
      </c>
      <c r="BK284" s="76">
        <v>100.11799999999999</v>
      </c>
      <c r="BL284" s="76">
        <v>59.544000000000004</v>
      </c>
      <c r="BM284" s="1">
        <v>99.551000000000016</v>
      </c>
      <c r="BN284" s="1">
        <v>52.775999999999996</v>
      </c>
      <c r="BO284" s="1">
        <v>60.568000000000012</v>
      </c>
      <c r="BP284" s="1">
        <v>79.164999999999992</v>
      </c>
      <c r="BQ284" s="1" t="s">
        <v>121</v>
      </c>
      <c r="BR284" s="1" t="s">
        <v>121</v>
      </c>
      <c r="BS284" s="1" t="s">
        <v>121</v>
      </c>
      <c r="BT284" s="1" t="s">
        <v>121</v>
      </c>
      <c r="BU284" s="1" t="s">
        <v>121</v>
      </c>
      <c r="BV284" s="1" t="s">
        <v>121</v>
      </c>
      <c r="BW284" s="1" t="s">
        <v>121</v>
      </c>
      <c r="BX284" s="1" t="s">
        <v>121</v>
      </c>
      <c r="BY284" s="1" t="s">
        <v>121</v>
      </c>
      <c r="BZ284" s="1" t="s">
        <v>121</v>
      </c>
      <c r="CA284" s="1" t="s">
        <v>121</v>
      </c>
      <c r="CB284" s="1" t="s">
        <v>121</v>
      </c>
      <c r="CC284" s="1" t="s">
        <v>121</v>
      </c>
      <c r="CD284" s="1" t="s">
        <v>121</v>
      </c>
      <c r="CE284" s="1" t="s">
        <v>121</v>
      </c>
      <c r="CF284" s="1" t="s">
        <v>121</v>
      </c>
      <c r="CG284" s="1" t="s">
        <v>121</v>
      </c>
      <c r="CH284" s="1" t="s">
        <v>121</v>
      </c>
      <c r="CI284" s="1" t="s">
        <v>121</v>
      </c>
      <c r="CJ284" s="1" t="s">
        <v>121</v>
      </c>
      <c r="CK284" s="1" t="s">
        <v>121</v>
      </c>
      <c r="CL284" s="1" t="s">
        <v>121</v>
      </c>
      <c r="CM284" s="1" t="s">
        <v>121</v>
      </c>
      <c r="CN284" s="1" t="s">
        <v>121</v>
      </c>
      <c r="CO284" s="1" t="s">
        <v>121</v>
      </c>
      <c r="CP284" s="1" t="s">
        <v>121</v>
      </c>
      <c r="CQ284" s="1" t="s">
        <v>121</v>
      </c>
      <c r="CR284" s="1" t="s">
        <v>121</v>
      </c>
      <c r="CS284" s="1" t="s">
        <v>121</v>
      </c>
      <c r="CT284" s="1" t="s">
        <v>121</v>
      </c>
      <c r="CU284" s="1" t="s">
        <v>121</v>
      </c>
      <c r="CV284" s="1" t="s">
        <v>121</v>
      </c>
      <c r="CW284" s="1" t="s">
        <v>121</v>
      </c>
      <c r="CX284" s="1" t="s">
        <v>121</v>
      </c>
      <c r="CY284" s="1" t="s">
        <v>121</v>
      </c>
      <c r="CZ284" s="1" t="s">
        <v>121</v>
      </c>
      <c r="DA284" s="1" t="s">
        <v>121</v>
      </c>
      <c r="DB284" s="1" t="s">
        <v>121</v>
      </c>
      <c r="DC284" s="1" t="s">
        <v>121</v>
      </c>
      <c r="DD284" s="1" t="s">
        <v>121</v>
      </c>
      <c r="DE284" s="1" t="s">
        <v>121</v>
      </c>
      <c r="DF284" s="1" t="s">
        <v>121</v>
      </c>
      <c r="DG284" s="1" t="s">
        <v>121</v>
      </c>
      <c r="DH284" s="1" t="s">
        <v>121</v>
      </c>
      <c r="DI284" s="1" t="s">
        <v>121</v>
      </c>
      <c r="DJ284" s="1" t="s">
        <v>121</v>
      </c>
      <c r="DK284" s="1" t="s">
        <v>121</v>
      </c>
      <c r="DL284" s="1" t="s">
        <v>121</v>
      </c>
      <c r="DM284" s="1" t="s">
        <v>121</v>
      </c>
      <c r="DN284" s="1" t="s">
        <v>121</v>
      </c>
      <c r="DO284" s="1" t="s">
        <v>121</v>
      </c>
      <c r="DP284" s="1" t="s">
        <v>121</v>
      </c>
      <c r="DQ284" s="1" t="s">
        <v>121</v>
      </c>
      <c r="DR284" s="1" t="s">
        <v>121</v>
      </c>
      <c r="DS284" s="1" t="s">
        <v>121</v>
      </c>
      <c r="DT284" s="1" t="s">
        <v>121</v>
      </c>
      <c r="DU284" s="1" t="s">
        <v>121</v>
      </c>
      <c r="DV284" s="1" t="s">
        <v>121</v>
      </c>
      <c r="DW284" s="1" t="s">
        <v>121</v>
      </c>
      <c r="DX284" s="1" t="s">
        <v>121</v>
      </c>
      <c r="DY284" s="1" t="s">
        <v>121</v>
      </c>
      <c r="DZ284" s="1" t="s">
        <v>121</v>
      </c>
      <c r="EA284" s="1" t="s">
        <v>121</v>
      </c>
      <c r="EB284" s="1" t="s">
        <v>121</v>
      </c>
      <c r="EC284" s="1" t="s">
        <v>121</v>
      </c>
      <c r="ED284" s="1" t="s">
        <v>121</v>
      </c>
      <c r="EE284" s="1" t="s">
        <v>121</v>
      </c>
      <c r="EF284" s="1" t="s">
        <v>121</v>
      </c>
      <c r="EG284" s="1" t="s">
        <v>121</v>
      </c>
      <c r="EH284" s="1" t="s">
        <v>121</v>
      </c>
      <c r="EI284" s="1" t="s">
        <v>121</v>
      </c>
      <c r="EJ284" s="1" t="s">
        <v>121</v>
      </c>
      <c r="EK284" s="1" t="s">
        <v>121</v>
      </c>
      <c r="EL284" s="1" t="s">
        <v>121</v>
      </c>
      <c r="EM284" s="1" t="s">
        <v>121</v>
      </c>
      <c r="EN284" s="1" t="s">
        <v>121</v>
      </c>
      <c r="EO284" s="1" t="s">
        <v>121</v>
      </c>
      <c r="EP284" s="1" t="s">
        <v>121</v>
      </c>
      <c r="EQ284" s="1" t="s">
        <v>121</v>
      </c>
      <c r="ER284" s="1" t="s">
        <v>121</v>
      </c>
      <c r="ES284" s="1" t="s">
        <v>121</v>
      </c>
      <c r="ET284" s="1" t="s">
        <v>121</v>
      </c>
      <c r="EU284" s="1" t="s">
        <v>121</v>
      </c>
      <c r="EV284" s="1" t="s">
        <v>121</v>
      </c>
      <c r="EW284" s="1" t="s">
        <v>121</v>
      </c>
      <c r="EX284" s="1" t="s">
        <v>121</v>
      </c>
    </row>
    <row r="285" spans="1:154" x14ac:dyDescent="0.25">
      <c r="A285" s="72">
        <v>285</v>
      </c>
      <c r="B285" s="73" t="s">
        <v>471</v>
      </c>
      <c r="C285" s="94">
        <f t="shared" ca="1" si="23"/>
        <v>1.1263639563533934E-2</v>
      </c>
      <c r="D285" s="94"/>
      <c r="E285" s="94">
        <f t="shared" ca="1" si="24"/>
        <v>-8.9670468948035542E-2</v>
      </c>
      <c r="F285" s="124">
        <v>2873</v>
      </c>
      <c r="G285" s="124">
        <v>2841</v>
      </c>
      <c r="H285" s="124">
        <v>2761</v>
      </c>
      <c r="I285" s="124">
        <v>3075</v>
      </c>
      <c r="J285" s="124">
        <v>3156</v>
      </c>
      <c r="K285" s="124">
        <v>2709</v>
      </c>
      <c r="L285" s="124">
        <v>2659</v>
      </c>
      <c r="M285" s="124">
        <v>3057</v>
      </c>
      <c r="N285" s="124">
        <v>2972</v>
      </c>
      <c r="O285" s="124">
        <v>2892</v>
      </c>
      <c r="P285" s="124">
        <v>3566</v>
      </c>
      <c r="Q285" s="405"/>
      <c r="R285" s="405"/>
      <c r="S285" s="405"/>
      <c r="T285" s="405"/>
      <c r="U285" s="124">
        <v>2600</v>
      </c>
      <c r="V285" s="124">
        <v>2196</v>
      </c>
      <c r="W285" s="124">
        <v>2308</v>
      </c>
      <c r="X285" s="124">
        <v>1905</v>
      </c>
      <c r="Y285" s="124">
        <v>2314.8670000000002</v>
      </c>
      <c r="Z285" s="124">
        <v>1900.0010000000002</v>
      </c>
      <c r="AA285" s="124">
        <v>1642.9630000000002</v>
      </c>
      <c r="AB285" s="124">
        <v>1682.1690000000003</v>
      </c>
      <c r="AC285" s="124">
        <v>1993.2789999999995</v>
      </c>
      <c r="AD285" s="124">
        <v>1783.529</v>
      </c>
      <c r="AE285" s="124">
        <v>1763.6629999999996</v>
      </c>
      <c r="AF285" s="124">
        <v>1278.4550000000004</v>
      </c>
      <c r="AG285" s="124">
        <v>1496.1295</v>
      </c>
      <c r="AH285" s="124">
        <v>1325.6214999999995</v>
      </c>
      <c r="AI285" s="124">
        <v>1186.0675000000006</v>
      </c>
      <c r="AJ285" s="124">
        <v>1235.2635000000002</v>
      </c>
      <c r="AK285" s="124">
        <v>1465.3150000000003</v>
      </c>
      <c r="AL285" s="124">
        <v>1312.0230000000001</v>
      </c>
      <c r="AM285" s="124">
        <v>1262.5309999999999</v>
      </c>
      <c r="AN285" s="124">
        <v>1171.2039999999997</v>
      </c>
      <c r="AO285" s="124">
        <v>1225.2210000000002</v>
      </c>
      <c r="AP285" s="124">
        <v>1178.52</v>
      </c>
      <c r="AQ285" s="124">
        <v>1167.8030000000001</v>
      </c>
      <c r="AR285" s="124">
        <v>1127.9749999999997</v>
      </c>
      <c r="AS285" s="124">
        <v>1144.3680000000002</v>
      </c>
      <c r="AT285" s="124">
        <v>1034.4169999999999</v>
      </c>
      <c r="AU285" s="124">
        <v>1026.8049999999998</v>
      </c>
      <c r="AV285" s="124">
        <v>836.72</v>
      </c>
      <c r="AW285" s="124">
        <v>1072.3850000000007</v>
      </c>
      <c r="AX285" s="124">
        <v>962.3009999999997</v>
      </c>
      <c r="AY285" s="124">
        <v>896.32699999999988</v>
      </c>
      <c r="AZ285" s="76">
        <v>789.62899999999991</v>
      </c>
      <c r="BA285" s="76">
        <v>800.45599999999979</v>
      </c>
      <c r="BB285" s="76">
        <v>651.54200000000014</v>
      </c>
      <c r="BC285" s="76">
        <v>631.43499999999995</v>
      </c>
      <c r="BD285" s="76">
        <v>594.43499999999995</v>
      </c>
      <c r="BE285" s="76">
        <v>704.53099999999995</v>
      </c>
      <c r="BF285" s="76">
        <v>608.84400000000016</v>
      </c>
      <c r="BG285" s="76">
        <v>553.69500000000016</v>
      </c>
      <c r="BH285" s="76">
        <v>482.05900000000008</v>
      </c>
      <c r="BI285" s="76">
        <v>587.74000000000024</v>
      </c>
      <c r="BJ285" s="76">
        <v>525.0630000000001</v>
      </c>
      <c r="BK285" s="76">
        <v>499.69999999999987</v>
      </c>
      <c r="BL285" s="76">
        <v>439.13100000000003</v>
      </c>
      <c r="BM285" s="1">
        <v>534.62900000000002</v>
      </c>
      <c r="BN285" s="1">
        <v>416.99899999999997</v>
      </c>
      <c r="BO285" s="1">
        <v>426.29999999999995</v>
      </c>
      <c r="BP285" s="1">
        <v>337.197</v>
      </c>
      <c r="BQ285" s="1" t="s">
        <v>121</v>
      </c>
      <c r="BR285" s="1" t="s">
        <v>121</v>
      </c>
      <c r="BS285" s="1" t="s">
        <v>121</v>
      </c>
      <c r="BT285" s="1" t="s">
        <v>121</v>
      </c>
      <c r="BU285" s="1" t="s">
        <v>121</v>
      </c>
      <c r="BV285" s="1" t="s">
        <v>121</v>
      </c>
      <c r="BW285" s="1" t="s">
        <v>121</v>
      </c>
      <c r="BX285" s="1" t="s">
        <v>121</v>
      </c>
      <c r="BY285" s="1" t="s">
        <v>121</v>
      </c>
      <c r="BZ285" s="1" t="s">
        <v>121</v>
      </c>
      <c r="CA285" s="1" t="s">
        <v>121</v>
      </c>
      <c r="CB285" s="1" t="s">
        <v>121</v>
      </c>
      <c r="CC285" s="1" t="s">
        <v>121</v>
      </c>
      <c r="CD285" s="1" t="s">
        <v>121</v>
      </c>
      <c r="CE285" s="1" t="s">
        <v>121</v>
      </c>
      <c r="CF285" s="1" t="s">
        <v>121</v>
      </c>
      <c r="CG285" s="1" t="s">
        <v>121</v>
      </c>
      <c r="CH285" s="1" t="s">
        <v>121</v>
      </c>
      <c r="CI285" s="1" t="s">
        <v>121</v>
      </c>
      <c r="CJ285" s="1" t="s">
        <v>121</v>
      </c>
      <c r="CK285" s="1" t="s">
        <v>121</v>
      </c>
      <c r="CL285" s="1" t="s">
        <v>121</v>
      </c>
      <c r="CM285" s="1" t="s">
        <v>121</v>
      </c>
      <c r="CN285" s="1" t="s">
        <v>121</v>
      </c>
      <c r="CO285" s="1" t="s">
        <v>121</v>
      </c>
      <c r="CP285" s="1" t="s">
        <v>121</v>
      </c>
      <c r="CQ285" s="1" t="s">
        <v>121</v>
      </c>
      <c r="CR285" s="1" t="s">
        <v>121</v>
      </c>
      <c r="CS285" s="1" t="s">
        <v>121</v>
      </c>
      <c r="CT285" s="1" t="s">
        <v>121</v>
      </c>
      <c r="CU285" s="1" t="s">
        <v>121</v>
      </c>
      <c r="CV285" s="1" t="s">
        <v>121</v>
      </c>
      <c r="CW285" s="1" t="s">
        <v>121</v>
      </c>
      <c r="CX285" s="1" t="s">
        <v>121</v>
      </c>
      <c r="CY285" s="1" t="s">
        <v>121</v>
      </c>
      <c r="CZ285" s="1" t="s">
        <v>121</v>
      </c>
      <c r="DA285" s="1" t="s">
        <v>121</v>
      </c>
      <c r="DB285" s="1" t="s">
        <v>121</v>
      </c>
      <c r="DC285" s="1" t="s">
        <v>121</v>
      </c>
      <c r="DD285" s="1" t="s">
        <v>121</v>
      </c>
      <c r="DE285" s="1" t="s">
        <v>121</v>
      </c>
      <c r="DF285" s="1" t="s">
        <v>121</v>
      </c>
      <c r="DG285" s="1" t="s">
        <v>121</v>
      </c>
      <c r="DH285" s="1" t="s">
        <v>121</v>
      </c>
      <c r="DI285" s="1" t="s">
        <v>121</v>
      </c>
      <c r="DJ285" s="1" t="s">
        <v>121</v>
      </c>
      <c r="DK285" s="1" t="s">
        <v>121</v>
      </c>
      <c r="DL285" s="1" t="s">
        <v>121</v>
      </c>
      <c r="DM285" s="1" t="s">
        <v>121</v>
      </c>
      <c r="DN285" s="1" t="s">
        <v>121</v>
      </c>
      <c r="DO285" s="1" t="s">
        <v>121</v>
      </c>
      <c r="DP285" s="1" t="s">
        <v>121</v>
      </c>
      <c r="DQ285" s="1" t="s">
        <v>121</v>
      </c>
      <c r="DR285" s="1" t="s">
        <v>121</v>
      </c>
      <c r="DS285" s="1" t="s">
        <v>121</v>
      </c>
      <c r="DT285" s="1" t="s">
        <v>121</v>
      </c>
      <c r="DU285" s="1" t="s">
        <v>121</v>
      </c>
      <c r="DV285" s="1" t="s">
        <v>121</v>
      </c>
      <c r="DW285" s="1" t="s">
        <v>121</v>
      </c>
      <c r="DX285" s="1" t="s">
        <v>121</v>
      </c>
      <c r="DY285" s="1" t="s">
        <v>121</v>
      </c>
      <c r="DZ285" s="1" t="s">
        <v>121</v>
      </c>
      <c r="EA285" s="1" t="s">
        <v>121</v>
      </c>
      <c r="EB285" s="1" t="s">
        <v>121</v>
      </c>
      <c r="EC285" s="1" t="s">
        <v>121</v>
      </c>
      <c r="ED285" s="1" t="s">
        <v>121</v>
      </c>
      <c r="EE285" s="1" t="s">
        <v>121</v>
      </c>
      <c r="EF285" s="1" t="s">
        <v>121</v>
      </c>
      <c r="EG285" s="1" t="s">
        <v>121</v>
      </c>
      <c r="EH285" s="1" t="s">
        <v>121</v>
      </c>
      <c r="EI285" s="1" t="s">
        <v>121</v>
      </c>
      <c r="EJ285" s="1" t="s">
        <v>121</v>
      </c>
      <c r="EK285" s="1" t="s">
        <v>121</v>
      </c>
      <c r="EL285" s="1" t="s">
        <v>121</v>
      </c>
      <c r="EM285" s="1" t="s">
        <v>121</v>
      </c>
      <c r="EN285" s="1" t="s">
        <v>121</v>
      </c>
      <c r="EO285" s="1" t="s">
        <v>121</v>
      </c>
      <c r="EP285" s="1" t="s">
        <v>121</v>
      </c>
      <c r="EQ285" s="1" t="s">
        <v>121</v>
      </c>
      <c r="ER285" s="1" t="s">
        <v>121</v>
      </c>
      <c r="ES285" s="1" t="s">
        <v>121</v>
      </c>
      <c r="ET285" s="1" t="s">
        <v>121</v>
      </c>
      <c r="EU285" s="1" t="s">
        <v>121</v>
      </c>
      <c r="EV285" s="1" t="s">
        <v>121</v>
      </c>
      <c r="EW285" s="1" t="s">
        <v>121</v>
      </c>
      <c r="EX285" s="1" t="s">
        <v>121</v>
      </c>
    </row>
    <row r="286" spans="1:154" x14ac:dyDescent="0.25">
      <c r="B286" s="160"/>
      <c r="C286" s="160"/>
      <c r="D286" s="160"/>
      <c r="E286" s="160"/>
      <c r="F286" s="337"/>
      <c r="G286" s="337"/>
      <c r="H286" s="337"/>
      <c r="I286" s="337"/>
      <c r="J286" s="337"/>
      <c r="K286" s="337"/>
      <c r="L286" s="337"/>
      <c r="M286" s="337"/>
      <c r="N286" s="337"/>
      <c r="O286" s="337"/>
      <c r="P286" s="337"/>
      <c r="Q286" s="337"/>
      <c r="R286" s="337"/>
      <c r="S286" s="337"/>
      <c r="T286" s="341"/>
      <c r="U286" s="337"/>
      <c r="V286" s="337"/>
      <c r="W286" s="337"/>
      <c r="X286" s="337"/>
      <c r="Y286" s="337"/>
      <c r="Z286" s="337"/>
      <c r="AA286" s="337"/>
      <c r="AB286" s="337"/>
      <c r="AC286" s="337"/>
      <c r="AD286" s="337"/>
      <c r="AE286" s="337"/>
      <c r="AF286" s="337"/>
      <c r="AG286" s="337"/>
      <c r="AH286" s="337"/>
      <c r="AI286" s="337"/>
      <c r="AJ286" s="337"/>
      <c r="AK286" s="337"/>
      <c r="AL286" s="337"/>
      <c r="AM286" s="337"/>
      <c r="AN286" s="337"/>
      <c r="AO286" s="337"/>
      <c r="AP286" s="337"/>
      <c r="AQ286" s="337"/>
      <c r="AR286" s="337"/>
      <c r="AS286" s="337"/>
      <c r="AT286" s="337"/>
      <c r="AU286" s="337"/>
      <c r="AV286" s="337"/>
      <c r="AW286" s="337"/>
    </row>
    <row r="287" spans="1:154" x14ac:dyDescent="0.25"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/>
    </row>
    <row r="288" spans="1:154" x14ac:dyDescent="0.25"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/>
    </row>
    <row r="289" spans="2:31" x14ac:dyDescent="0.25"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  <c r="AA289" s="160"/>
      <c r="AB289" s="160"/>
      <c r="AC289" s="160"/>
      <c r="AD289" s="160"/>
      <c r="AE289" s="160"/>
    </row>
    <row r="290" spans="2:31" x14ac:dyDescent="0.25"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</row>
    <row r="291" spans="2:31" x14ac:dyDescent="0.25"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</row>
    <row r="292" spans="2:31" x14ac:dyDescent="0.25"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</row>
    <row r="293" spans="2:31" x14ac:dyDescent="0.25"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</row>
    <row r="294" spans="2:31" x14ac:dyDescent="0.25"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</row>
    <row r="295" spans="2:31" x14ac:dyDescent="0.25"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</row>
    <row r="296" spans="2:31" x14ac:dyDescent="0.25"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</row>
    <row r="297" spans="2:31" x14ac:dyDescent="0.25"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</row>
    <row r="298" spans="2:31" x14ac:dyDescent="0.25"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</row>
    <row r="299" spans="2:31" x14ac:dyDescent="0.25"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</row>
    <row r="300" spans="2:31" x14ac:dyDescent="0.25"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</row>
    <row r="301" spans="2:31" x14ac:dyDescent="0.25"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</row>
    <row r="302" spans="2:31" x14ac:dyDescent="0.25"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</row>
    <row r="303" spans="2:31" x14ac:dyDescent="0.25"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</row>
    <row r="304" spans="2:31" x14ac:dyDescent="0.25"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</row>
    <row r="305" spans="1:48" x14ac:dyDescent="0.25">
      <c r="B305" s="80"/>
      <c r="C305" s="160"/>
      <c r="D305" s="160"/>
      <c r="E305" s="160"/>
      <c r="F305" s="160"/>
      <c r="G305" s="160"/>
      <c r="H305" s="16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160"/>
      <c r="AE305" s="160"/>
    </row>
    <row r="306" spans="1:48" x14ac:dyDescent="0.25">
      <c r="B306" s="80"/>
      <c r="C306" s="160"/>
      <c r="D306" s="160"/>
      <c r="E306" s="160"/>
      <c r="F306" s="160"/>
      <c r="G306" s="160"/>
      <c r="H306" s="16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160"/>
      <c r="AE306" s="160"/>
    </row>
    <row r="307" spans="1:48" x14ac:dyDescent="0.25">
      <c r="B307" s="80"/>
      <c r="C307" s="160"/>
      <c r="D307" s="160"/>
      <c r="E307" s="160"/>
      <c r="F307" s="160"/>
      <c r="G307" s="160"/>
      <c r="H307" s="16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160"/>
      <c r="AE307" s="160"/>
    </row>
    <row r="308" spans="1:48" x14ac:dyDescent="0.25">
      <c r="B308" s="80"/>
      <c r="C308" s="160"/>
      <c r="D308" s="160"/>
      <c r="E308" s="160"/>
      <c r="F308" s="160"/>
      <c r="G308" s="160"/>
      <c r="H308" s="16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160"/>
      <c r="AE308" s="160"/>
    </row>
    <row r="309" spans="1:48" x14ac:dyDescent="0.25">
      <c r="B309" s="80"/>
      <c r="C309" s="160"/>
      <c r="D309" s="160"/>
      <c r="E309" s="160"/>
      <c r="F309" s="160"/>
      <c r="G309" s="160"/>
      <c r="H309" s="16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160"/>
      <c r="AE309" s="160"/>
    </row>
    <row r="310" spans="1:48" x14ac:dyDescent="0.25">
      <c r="B310" s="80"/>
      <c r="C310" s="160"/>
      <c r="D310" s="160"/>
      <c r="E310" s="160"/>
      <c r="F310" s="160"/>
      <c r="G310" s="160"/>
      <c r="H310" s="16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160"/>
      <c r="AE310" s="160"/>
    </row>
    <row r="311" spans="1:48" x14ac:dyDescent="0.25">
      <c r="B311" s="80"/>
      <c r="C311" s="160"/>
      <c r="D311" s="160"/>
      <c r="E311" s="160"/>
      <c r="F311" s="160"/>
      <c r="G311" s="160"/>
      <c r="H311" s="16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160"/>
      <c r="AE311" s="160"/>
    </row>
    <row r="312" spans="1:48" x14ac:dyDescent="0.25">
      <c r="B312" s="80"/>
      <c r="C312" s="160"/>
      <c r="D312" s="160"/>
      <c r="E312" s="160"/>
      <c r="F312" s="160"/>
      <c r="G312" s="160"/>
      <c r="H312" s="16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160"/>
      <c r="AE312" s="160"/>
    </row>
    <row r="313" spans="1:48" x14ac:dyDescent="0.25">
      <c r="B313" s="8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160"/>
      <c r="AE313" s="160"/>
      <c r="AF313" s="72"/>
      <c r="AG313" s="72"/>
      <c r="AH313" s="72"/>
      <c r="AI313" s="72"/>
    </row>
    <row r="314" spans="1:48" x14ac:dyDescent="0.25">
      <c r="B314" s="80"/>
      <c r="C314" s="160"/>
      <c r="D314" s="160"/>
      <c r="E314" s="163"/>
      <c r="F314" s="163"/>
      <c r="G314" s="163"/>
      <c r="H314" s="163"/>
      <c r="I314" s="163"/>
      <c r="J314" s="163"/>
      <c r="K314" s="163"/>
      <c r="L314" s="163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163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0"/>
      <c r="AR314" s="80"/>
    </row>
    <row r="315" spans="1:48" s="72" customFormat="1" x14ac:dyDescent="0.25">
      <c r="B315" s="80"/>
      <c r="C315" s="160"/>
      <c r="D315" s="160"/>
      <c r="E315" s="267"/>
      <c r="F315" s="267"/>
      <c r="G315" s="267"/>
      <c r="H315" s="267"/>
      <c r="I315" s="267"/>
      <c r="J315" s="267"/>
      <c r="K315" s="267"/>
      <c r="L315" s="267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0"/>
      <c r="AR315" s="80"/>
    </row>
    <row r="316" spans="1:48" s="72" customFormat="1" x14ac:dyDescent="0.25">
      <c r="B316" s="80"/>
      <c r="C316" s="160"/>
      <c r="D316" s="160"/>
      <c r="E316" s="267"/>
      <c r="F316" s="311"/>
      <c r="G316" s="267"/>
      <c r="H316" s="267"/>
      <c r="I316" s="267"/>
      <c r="J316" s="267"/>
      <c r="K316" s="267"/>
      <c r="L316" s="267"/>
      <c r="M316" s="267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</row>
    <row r="317" spans="1:48" s="160" customFormat="1" x14ac:dyDescent="0.25">
      <c r="A317" s="1"/>
      <c r="B317" s="80"/>
    </row>
    <row r="318" spans="1:48" s="160" customFormat="1" x14ac:dyDescent="0.25">
      <c r="A318" s="1"/>
      <c r="B318" s="80"/>
      <c r="F318" s="316"/>
      <c r="G318" s="317"/>
      <c r="H318" s="317"/>
      <c r="I318" s="308"/>
      <c r="J318" s="308"/>
      <c r="K318" s="309"/>
      <c r="L318" s="309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  <c r="AA318" s="271"/>
      <c r="AB318" s="271"/>
      <c r="AC318" s="271"/>
      <c r="AD318" s="271"/>
      <c r="AE318" s="271"/>
      <c r="AF318" s="271"/>
      <c r="AG318" s="271"/>
      <c r="AH318" s="271"/>
      <c r="AI318" s="271"/>
      <c r="AJ318" s="271"/>
      <c r="AK318" s="271"/>
      <c r="AL318" s="271"/>
      <c r="AM318" s="271"/>
      <c r="AN318" s="271"/>
      <c r="AO318" s="271"/>
      <c r="AP318" s="271"/>
      <c r="AQ318" s="271"/>
      <c r="AR318" s="271"/>
      <c r="AS318" s="271"/>
      <c r="AT318" s="271"/>
      <c r="AU318" s="271"/>
      <c r="AV318" s="271"/>
    </row>
    <row r="319" spans="1:48" s="160" customFormat="1" x14ac:dyDescent="0.25">
      <c r="A319" s="1"/>
      <c r="B319" s="80"/>
      <c r="F319" s="318"/>
      <c r="G319" s="318"/>
      <c r="H319" s="318"/>
      <c r="I319" s="310"/>
      <c r="J319" s="310"/>
      <c r="K319" s="310"/>
      <c r="L319" s="310"/>
      <c r="M319" s="272"/>
      <c r="N319" s="272"/>
      <c r="O319" s="272"/>
      <c r="P319" s="272"/>
      <c r="Q319" s="272"/>
      <c r="R319" s="272"/>
      <c r="S319" s="272"/>
      <c r="T319" s="272"/>
      <c r="U319" s="272"/>
      <c r="V319" s="272"/>
      <c r="W319" s="272"/>
      <c r="X319" s="272"/>
      <c r="Y319" s="272"/>
      <c r="Z319" s="272"/>
      <c r="AA319" s="272"/>
      <c r="AB319" s="272"/>
      <c r="AC319" s="272"/>
      <c r="AD319" s="272"/>
      <c r="AE319" s="272"/>
      <c r="AF319" s="272"/>
      <c r="AG319" s="272"/>
      <c r="AH319" s="272"/>
      <c r="AI319" s="272"/>
      <c r="AJ319" s="272"/>
      <c r="AK319" s="272"/>
      <c r="AL319" s="272"/>
      <c r="AM319" s="272"/>
      <c r="AN319" s="272"/>
      <c r="AO319" s="272"/>
      <c r="AP319" s="272"/>
      <c r="AQ319" s="272"/>
      <c r="AR319" s="272"/>
      <c r="AS319" s="272"/>
      <c r="AT319" s="272"/>
      <c r="AU319" s="272"/>
      <c r="AV319" s="273"/>
    </row>
    <row r="320" spans="1:48" s="160" customFormat="1" x14ac:dyDescent="0.25">
      <c r="A320" s="1"/>
      <c r="B320" s="80"/>
      <c r="F320" s="318"/>
      <c r="G320" s="318"/>
      <c r="H320" s="318"/>
      <c r="I320" s="310"/>
      <c r="J320" s="310"/>
      <c r="K320" s="310"/>
      <c r="L320" s="310"/>
      <c r="M320" s="272"/>
      <c r="N320" s="272"/>
      <c r="O320" s="272"/>
      <c r="P320" s="272"/>
      <c r="Q320" s="272"/>
      <c r="R320" s="272"/>
      <c r="S320" s="272"/>
      <c r="T320" s="272"/>
      <c r="U320" s="272"/>
      <c r="V320" s="272"/>
      <c r="W320" s="272"/>
      <c r="X320" s="272"/>
      <c r="Y320" s="272"/>
      <c r="Z320" s="272"/>
      <c r="AA320" s="272"/>
      <c r="AB320" s="272"/>
      <c r="AC320" s="272"/>
      <c r="AD320" s="272"/>
      <c r="AE320" s="272"/>
      <c r="AF320" s="272"/>
      <c r="AG320" s="272"/>
      <c r="AH320" s="272"/>
      <c r="AI320" s="272"/>
      <c r="AJ320" s="272"/>
      <c r="AK320" s="272"/>
      <c r="AL320" s="272"/>
      <c r="AM320" s="272"/>
      <c r="AN320" s="272"/>
      <c r="AO320" s="272"/>
      <c r="AP320" s="272"/>
      <c r="AQ320" s="272"/>
      <c r="AR320" s="272"/>
      <c r="AS320" s="272"/>
      <c r="AT320" s="272"/>
      <c r="AU320" s="272"/>
      <c r="AV320" s="273"/>
    </row>
    <row r="321" spans="1:44" s="160" customFormat="1" x14ac:dyDescent="0.25">
      <c r="A321" s="1"/>
      <c r="B321" s="80"/>
      <c r="I321" s="80"/>
      <c r="J321" s="80"/>
      <c r="K321" s="80"/>
      <c r="L321" s="80"/>
      <c r="M321" s="80"/>
    </row>
    <row r="322" spans="1:44" x14ac:dyDescent="0.25">
      <c r="B322" s="80"/>
      <c r="C322" s="160"/>
      <c r="D322" s="160"/>
      <c r="E322" s="160"/>
      <c r="F322" s="160"/>
      <c r="G322" s="160"/>
      <c r="H322" s="160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</row>
    <row r="323" spans="1:44" x14ac:dyDescent="0.25">
      <c r="B323" s="80"/>
      <c r="C323" s="160"/>
      <c r="D323" s="160"/>
      <c r="E323" s="160"/>
      <c r="F323" s="160"/>
      <c r="G323" s="160"/>
      <c r="H323" s="160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</row>
    <row r="324" spans="1:44" x14ac:dyDescent="0.25">
      <c r="B324" s="80"/>
      <c r="C324" s="160"/>
      <c r="D324" s="160"/>
      <c r="E324" s="160"/>
      <c r="F324" s="160"/>
      <c r="G324" s="160"/>
      <c r="H324" s="160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</row>
    <row r="325" spans="1:44" x14ac:dyDescent="0.25">
      <c r="B325" s="80"/>
      <c r="C325" s="160"/>
      <c r="D325" s="160"/>
      <c r="E325" s="160"/>
      <c r="F325" s="160"/>
      <c r="G325" s="160"/>
      <c r="H325" s="160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44" x14ac:dyDescent="0.25">
      <c r="B326" s="80"/>
      <c r="C326" s="160"/>
      <c r="D326" s="160"/>
      <c r="E326" s="160"/>
      <c r="F326" s="160"/>
      <c r="G326" s="160"/>
      <c r="H326" s="160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44" x14ac:dyDescent="0.25">
      <c r="B327" s="80"/>
      <c r="C327" s="160"/>
      <c r="D327" s="160"/>
      <c r="E327" s="160"/>
      <c r="F327" s="160"/>
      <c r="G327" s="160"/>
      <c r="H327" s="160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44" x14ac:dyDescent="0.25">
      <c r="B328" s="80"/>
      <c r="C328" s="160"/>
      <c r="D328" s="160"/>
      <c r="E328" s="160"/>
      <c r="F328" s="160"/>
      <c r="G328" s="160"/>
      <c r="H328" s="16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</row>
    <row r="329" spans="1:44" x14ac:dyDescent="0.25">
      <c r="B329" s="80"/>
      <c r="C329" s="160"/>
      <c r="D329" s="160"/>
      <c r="E329" s="160"/>
      <c r="F329" s="160"/>
      <c r="G329" s="160"/>
      <c r="H329" s="16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</row>
    <row r="330" spans="1:44" x14ac:dyDescent="0.25">
      <c r="B330" s="80"/>
      <c r="C330" s="160"/>
      <c r="D330" s="160"/>
      <c r="E330" s="160"/>
      <c r="F330" s="160"/>
      <c r="G330" s="160"/>
      <c r="H330" s="16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</row>
    <row r="331" spans="1:44" x14ac:dyDescent="0.25">
      <c r="B331" s="80"/>
      <c r="C331" s="160"/>
      <c r="D331" s="160"/>
      <c r="E331" s="160"/>
      <c r="F331" s="160"/>
      <c r="G331" s="160"/>
      <c r="H331" s="16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</row>
    <row r="332" spans="1:44" x14ac:dyDescent="0.25">
      <c r="B332" s="80"/>
      <c r="C332" s="160"/>
      <c r="D332" s="160"/>
      <c r="E332" s="160"/>
      <c r="F332" s="160"/>
      <c r="G332" s="160"/>
      <c r="H332" s="16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</row>
    <row r="333" spans="1:44" x14ac:dyDescent="0.25">
      <c r="B333" s="80"/>
      <c r="C333" s="160"/>
      <c r="D333" s="160"/>
      <c r="E333" s="160"/>
      <c r="F333" s="160"/>
      <c r="G333" s="160"/>
      <c r="H333" s="16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</row>
    <row r="334" spans="1:44" x14ac:dyDescent="0.25">
      <c r="B334" s="80"/>
      <c r="C334" s="160"/>
      <c r="D334" s="160"/>
      <c r="E334" s="160"/>
      <c r="F334" s="160"/>
      <c r="G334" s="160"/>
      <c r="H334" s="16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</row>
    <row r="335" spans="1:44" x14ac:dyDescent="0.25">
      <c r="B335" s="80"/>
      <c r="C335" s="160"/>
      <c r="D335" s="160"/>
      <c r="E335" s="160"/>
      <c r="F335" s="160"/>
      <c r="G335" s="160"/>
      <c r="H335" s="16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</row>
    <row r="336" spans="1:44" x14ac:dyDescent="0.25">
      <c r="B336" s="80"/>
      <c r="C336" s="160"/>
      <c r="D336" s="160"/>
      <c r="E336" s="160"/>
      <c r="F336" s="160"/>
      <c r="G336" s="160"/>
      <c r="H336" s="16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</row>
    <row r="337" spans="2:14" x14ac:dyDescent="0.25"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</row>
    <row r="338" spans="2:14" x14ac:dyDescent="0.25"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</row>
    <row r="339" spans="2:14" x14ac:dyDescent="0.25"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</row>
    <row r="340" spans="2:14" x14ac:dyDescent="0.25"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</row>
    <row r="341" spans="2:14" x14ac:dyDescent="0.25"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</row>
    <row r="342" spans="2:14" x14ac:dyDescent="0.25"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</row>
    <row r="343" spans="2:14" x14ac:dyDescent="0.25"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</row>
    <row r="344" spans="2:14" x14ac:dyDescent="0.25"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</row>
    <row r="345" spans="2:14" x14ac:dyDescent="0.25"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</row>
    <row r="346" spans="2:14" x14ac:dyDescent="0.25"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</row>
    <row r="347" spans="2:14" x14ac:dyDescent="0.25"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</row>
    <row r="348" spans="2:14" x14ac:dyDescent="0.25"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</row>
    <row r="349" spans="2:14" x14ac:dyDescent="0.25"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</row>
  </sheetData>
  <sortState ref="A217:BL222">
    <sortCondition descending="1" ref="O217:O222"/>
  </sortState>
  <customSheetViews>
    <customSheetView guid="{0284F5E2-DB98-486F-B3F7-128FA2A0A465}" showGridLines="0" fitToPage="1" hiddenRows="1" topLeftCell="B223">
      <selection activeCell="E223" sqref="E1:H1048576"/>
      <pageMargins left="0.25" right="0.25" top="0.75" bottom="0.75" header="0.3" footer="0.3"/>
      <pageSetup paperSize="9" scale="13" fitToHeight="0" orientation="portrait" r:id="rId1"/>
    </customSheetView>
    <customSheetView guid="{E4AC4991-F371-4BAF-8335-AD017EF379C0}" showGridLines="0" fitToPage="1" hiddenRows="1" topLeftCell="A2">
      <selection activeCell="D238" sqref="D238"/>
      <pageMargins left="0.25" right="0.25" top="0.75" bottom="0.75" header="0.3" footer="0.3"/>
      <pageSetup paperSize="9" scale="13" fitToHeight="0" orientation="portrait" r:id="rId2"/>
    </customSheetView>
  </customSheetViews>
  <mergeCells count="621">
    <mergeCell ref="BL7:BL8"/>
    <mergeCell ref="BL67:BL68"/>
    <mergeCell ref="BL127:BL128"/>
    <mergeCell ref="BL141:BL142"/>
    <mergeCell ref="BL176:BL177"/>
    <mergeCell ref="BL260:BL261"/>
    <mergeCell ref="I260:I261"/>
    <mergeCell ref="I7:I8"/>
    <mergeCell ref="I67:I68"/>
    <mergeCell ref="I127:I128"/>
    <mergeCell ref="I141:I142"/>
    <mergeCell ref="I157:I158"/>
    <mergeCell ref="I166:I167"/>
    <mergeCell ref="I176:I177"/>
    <mergeCell ref="I204:I205"/>
    <mergeCell ref="I232:I233"/>
    <mergeCell ref="J260:J261"/>
    <mergeCell ref="J7:J8"/>
    <mergeCell ref="J67:J68"/>
    <mergeCell ref="J127:J128"/>
    <mergeCell ref="J141:J142"/>
    <mergeCell ref="J157:J158"/>
    <mergeCell ref="J166:J167"/>
    <mergeCell ref="J176:J177"/>
    <mergeCell ref="J232:J233"/>
    <mergeCell ref="K260:K261"/>
    <mergeCell ref="K7:K8"/>
    <mergeCell ref="K67:K68"/>
    <mergeCell ref="K127:K128"/>
    <mergeCell ref="K141:K142"/>
    <mergeCell ref="K157:K158"/>
    <mergeCell ref="K166:K167"/>
    <mergeCell ref="K176:K177"/>
    <mergeCell ref="K204:K205"/>
    <mergeCell ref="K232:K233"/>
    <mergeCell ref="M260:M261"/>
    <mergeCell ref="M7:M8"/>
    <mergeCell ref="M67:M68"/>
    <mergeCell ref="M127:M128"/>
    <mergeCell ref="M141:M142"/>
    <mergeCell ref="M157:M158"/>
    <mergeCell ref="M166:M167"/>
    <mergeCell ref="M176:M177"/>
    <mergeCell ref="M204:M205"/>
    <mergeCell ref="M232:M233"/>
    <mergeCell ref="N260:N261"/>
    <mergeCell ref="N7:N8"/>
    <mergeCell ref="N127:N128"/>
    <mergeCell ref="N157:N158"/>
    <mergeCell ref="N176:N177"/>
    <mergeCell ref="N232:N233"/>
    <mergeCell ref="N67:N68"/>
    <mergeCell ref="N141:N142"/>
    <mergeCell ref="N166:N167"/>
    <mergeCell ref="N204:N205"/>
    <mergeCell ref="O260:O261"/>
    <mergeCell ref="O7:O8"/>
    <mergeCell ref="O67:O68"/>
    <mergeCell ref="O127:O128"/>
    <mergeCell ref="O141:O142"/>
    <mergeCell ref="O157:O158"/>
    <mergeCell ref="O166:O167"/>
    <mergeCell ref="O176:O177"/>
    <mergeCell ref="O204:O205"/>
    <mergeCell ref="O232:O233"/>
    <mergeCell ref="P260:P261"/>
    <mergeCell ref="P7:P8"/>
    <mergeCell ref="P67:P68"/>
    <mergeCell ref="P127:P128"/>
    <mergeCell ref="P141:P142"/>
    <mergeCell ref="P157:P158"/>
    <mergeCell ref="P166:P167"/>
    <mergeCell ref="P176:P177"/>
    <mergeCell ref="P204:P205"/>
    <mergeCell ref="P232:P233"/>
    <mergeCell ref="Q260:Q261"/>
    <mergeCell ref="Q7:Q8"/>
    <mergeCell ref="Q67:Q68"/>
    <mergeCell ref="Q127:Q128"/>
    <mergeCell ref="Q141:Q142"/>
    <mergeCell ref="Q157:Q158"/>
    <mergeCell ref="Q166:Q167"/>
    <mergeCell ref="Q176:Q177"/>
    <mergeCell ref="Q204:Q205"/>
    <mergeCell ref="Q232:Q233"/>
    <mergeCell ref="S260:S261"/>
    <mergeCell ref="S7:S8"/>
    <mergeCell ref="S67:S68"/>
    <mergeCell ref="S127:S128"/>
    <mergeCell ref="S141:S142"/>
    <mergeCell ref="S157:S158"/>
    <mergeCell ref="S166:S167"/>
    <mergeCell ref="S176:S177"/>
    <mergeCell ref="S204:S205"/>
    <mergeCell ref="S232:S233"/>
    <mergeCell ref="U260:U261"/>
    <mergeCell ref="U7:U8"/>
    <mergeCell ref="U67:U68"/>
    <mergeCell ref="U127:U128"/>
    <mergeCell ref="U141:U142"/>
    <mergeCell ref="U157:U158"/>
    <mergeCell ref="U166:U167"/>
    <mergeCell ref="U176:U177"/>
    <mergeCell ref="U204:U205"/>
    <mergeCell ref="U232:U233"/>
    <mergeCell ref="Y67:Y68"/>
    <mergeCell ref="Y127:Y128"/>
    <mergeCell ref="Y141:Y142"/>
    <mergeCell ref="Y157:Y158"/>
    <mergeCell ref="Y166:Y167"/>
    <mergeCell ref="Y176:Y177"/>
    <mergeCell ref="Y232:Y233"/>
    <mergeCell ref="Y7:Y8"/>
    <mergeCell ref="Z7:Z8"/>
    <mergeCell ref="Z67:Z68"/>
    <mergeCell ref="Z127:Z128"/>
    <mergeCell ref="Z141:Z142"/>
    <mergeCell ref="Z157:Z158"/>
    <mergeCell ref="Z166:Z167"/>
    <mergeCell ref="Z176:Z177"/>
    <mergeCell ref="Z232:Z233"/>
    <mergeCell ref="AE232:AE233"/>
    <mergeCell ref="AE176:AE177"/>
    <mergeCell ref="AE166:AE167"/>
    <mergeCell ref="AE157:AE158"/>
    <mergeCell ref="AE141:AE142"/>
    <mergeCell ref="AE127:AE128"/>
    <mergeCell ref="AE67:AE68"/>
    <mergeCell ref="AE7:AE8"/>
    <mergeCell ref="AC7:AC8"/>
    <mergeCell ref="AC67:AC68"/>
    <mergeCell ref="AC127:AC128"/>
    <mergeCell ref="AC141:AC142"/>
    <mergeCell ref="AC157:AC158"/>
    <mergeCell ref="AC166:AC167"/>
    <mergeCell ref="AC176:AC177"/>
    <mergeCell ref="AC232:AC233"/>
    <mergeCell ref="AD7:AD8"/>
    <mergeCell ref="AD67:AD68"/>
    <mergeCell ref="AD127:AD128"/>
    <mergeCell ref="AD141:AD142"/>
    <mergeCell ref="AD157:AD158"/>
    <mergeCell ref="AD166:AD167"/>
    <mergeCell ref="AD176:AD177"/>
    <mergeCell ref="AD232:AD233"/>
    <mergeCell ref="AF7:AF8"/>
    <mergeCell ref="AF67:AF68"/>
    <mergeCell ref="AF127:AF128"/>
    <mergeCell ref="AF141:AF142"/>
    <mergeCell ref="AF157:AF158"/>
    <mergeCell ref="AF166:AF167"/>
    <mergeCell ref="AF176:AF177"/>
    <mergeCell ref="AF232:AF233"/>
    <mergeCell ref="AG7:AG8"/>
    <mergeCell ref="AG67:AG68"/>
    <mergeCell ref="AG127:AG128"/>
    <mergeCell ref="AG141:AG142"/>
    <mergeCell ref="AG157:AG158"/>
    <mergeCell ref="AG166:AG167"/>
    <mergeCell ref="AG176:AG177"/>
    <mergeCell ref="AG232:AG233"/>
    <mergeCell ref="AI232:AI233"/>
    <mergeCell ref="AK232:AK233"/>
    <mergeCell ref="AK176:AK177"/>
    <mergeCell ref="AK127:AK128"/>
    <mergeCell ref="AK141:AK142"/>
    <mergeCell ref="AJ141:AJ142"/>
    <mergeCell ref="AJ157:AJ158"/>
    <mergeCell ref="AJ166:AJ167"/>
    <mergeCell ref="AJ176:AJ177"/>
    <mergeCell ref="AJ232:AJ233"/>
    <mergeCell ref="AJ127:AJ128"/>
    <mergeCell ref="AN176:AN177"/>
    <mergeCell ref="AN232:AN233"/>
    <mergeCell ref="AH7:AH8"/>
    <mergeCell ref="AH67:AH68"/>
    <mergeCell ref="AH127:AH128"/>
    <mergeCell ref="AH141:AH142"/>
    <mergeCell ref="AH157:AH158"/>
    <mergeCell ref="AH166:AH167"/>
    <mergeCell ref="AH176:AH177"/>
    <mergeCell ref="AH232:AH233"/>
    <mergeCell ref="AM157:AM158"/>
    <mergeCell ref="AM166:AM167"/>
    <mergeCell ref="AM176:AM177"/>
    <mergeCell ref="AM232:AM233"/>
    <mergeCell ref="AL176:AL177"/>
    <mergeCell ref="AL232:AL233"/>
    <mergeCell ref="AL127:AL128"/>
    <mergeCell ref="AI141:AI142"/>
    <mergeCell ref="AN7:AN8"/>
    <mergeCell ref="AN67:AN68"/>
    <mergeCell ref="AN127:AN128"/>
    <mergeCell ref="AI157:AI158"/>
    <mergeCell ref="AI166:AI167"/>
    <mergeCell ref="AI176:AI177"/>
    <mergeCell ref="BL232:BL233"/>
    <mergeCell ref="AZ232:AZ233"/>
    <mergeCell ref="BA232:BA233"/>
    <mergeCell ref="BL157:BL158"/>
    <mergeCell ref="BE166:BE167"/>
    <mergeCell ref="BL204:BL205"/>
    <mergeCell ref="BE176:BE177"/>
    <mergeCell ref="BF176:BF177"/>
    <mergeCell ref="BG176:BG177"/>
    <mergeCell ref="BH176:BH177"/>
    <mergeCell ref="BI176:BI177"/>
    <mergeCell ref="BG166:BG167"/>
    <mergeCell ref="BH166:BH167"/>
    <mergeCell ref="BF157:BF158"/>
    <mergeCell ref="BL166:BL167"/>
    <mergeCell ref="BK166:BK167"/>
    <mergeCell ref="BF166:BF167"/>
    <mergeCell ref="BJ166:BJ167"/>
    <mergeCell ref="BB232:BB233"/>
    <mergeCell ref="BC232:BC233"/>
    <mergeCell ref="BD232:BD233"/>
    <mergeCell ref="BE232:BE233"/>
    <mergeCell ref="BF232:BF233"/>
    <mergeCell ref="BG232:BG233"/>
    <mergeCell ref="BH232:BH233"/>
    <mergeCell ref="BD166:BD167"/>
    <mergeCell ref="BK7:BK8"/>
    <mergeCell ref="B232:B233"/>
    <mergeCell ref="C232:C233"/>
    <mergeCell ref="E232:E233"/>
    <mergeCell ref="AX232:AX233"/>
    <mergeCell ref="AY232:AY233"/>
    <mergeCell ref="B157:B158"/>
    <mergeCell ref="BI232:BI233"/>
    <mergeCell ref="BJ232:BJ233"/>
    <mergeCell ref="BK232:BK233"/>
    <mergeCell ref="B176:B177"/>
    <mergeCell ref="BA176:BA177"/>
    <mergeCell ref="BB176:BB177"/>
    <mergeCell ref="BC176:BC177"/>
    <mergeCell ref="BD176:BD177"/>
    <mergeCell ref="C176:C177"/>
    <mergeCell ref="E176:E177"/>
    <mergeCell ref="AV232:AV233"/>
    <mergeCell ref="AV176:AV177"/>
    <mergeCell ref="AW157:AW158"/>
    <mergeCell ref="B141:B142"/>
    <mergeCell ref="B166:B167"/>
    <mergeCell ref="C166:C167"/>
    <mergeCell ref="C157:C158"/>
    <mergeCell ref="E157:E158"/>
    <mergeCell ref="AS157:AS158"/>
    <mergeCell ref="AR157:AR158"/>
    <mergeCell ref="AR141:AR142"/>
    <mergeCell ref="AR166:AR167"/>
    <mergeCell ref="E166:E167"/>
    <mergeCell ref="AQ157:AQ158"/>
    <mergeCell ref="AQ166:AQ167"/>
    <mergeCell ref="AO141:AO142"/>
    <mergeCell ref="AO157:AO158"/>
    <mergeCell ref="AO166:AO167"/>
    <mergeCell ref="AL157:AL158"/>
    <mergeCell ref="AL166:AL167"/>
    <mergeCell ref="AN141:AN142"/>
    <mergeCell ref="AN157:AN158"/>
    <mergeCell ref="AN166:AN167"/>
    <mergeCell ref="AL141:AL142"/>
    <mergeCell ref="E141:E142"/>
    <mergeCell ref="C141:C142"/>
    <mergeCell ref="AQ141:AQ142"/>
    <mergeCell ref="AK157:AK158"/>
    <mergeCell ref="AK166:AK167"/>
    <mergeCell ref="AO176:AO177"/>
    <mergeCell ref="AO232:AO233"/>
    <mergeCell ref="AQ176:AQ177"/>
    <mergeCell ref="AQ232:AQ233"/>
    <mergeCell ref="AP157:AP158"/>
    <mergeCell ref="AP166:AP167"/>
    <mergeCell ref="AP176:AP177"/>
    <mergeCell ref="AZ176:AZ177"/>
    <mergeCell ref="AU67:AU68"/>
    <mergeCell ref="AZ67:AZ68"/>
    <mergeCell ref="AR67:AR68"/>
    <mergeCell ref="AP232:AP233"/>
    <mergeCell ref="AW232:AW233"/>
    <mergeCell ref="AY176:AY177"/>
    <mergeCell ref="AX176:AX177"/>
    <mergeCell ref="AS176:AS177"/>
    <mergeCell ref="AS232:AS233"/>
    <mergeCell ref="AR176:AR177"/>
    <mergeCell ref="AR232:AR233"/>
    <mergeCell ref="AT176:AT177"/>
    <mergeCell ref="AT232:AT233"/>
    <mergeCell ref="AU176:AU177"/>
    <mergeCell ref="AU232:AU233"/>
    <mergeCell ref="AT166:AT167"/>
    <mergeCell ref="AW176:AW177"/>
    <mergeCell ref="BA141:BA142"/>
    <mergeCell ref="BB141:BB142"/>
    <mergeCell ref="BA157:BA158"/>
    <mergeCell ref="AX166:AX167"/>
    <mergeCell ref="AY157:AY158"/>
    <mergeCell ref="AU157:AU158"/>
    <mergeCell ref="AY166:AY167"/>
    <mergeCell ref="AX157:AX158"/>
    <mergeCell ref="AZ166:AZ167"/>
    <mergeCell ref="AW166:AW167"/>
    <mergeCell ref="AU166:AU167"/>
    <mergeCell ref="BB157:BB158"/>
    <mergeCell ref="AZ141:AZ142"/>
    <mergeCell ref="AV166:AV167"/>
    <mergeCell ref="BA166:BA167"/>
    <mergeCell ref="BB166:BB167"/>
    <mergeCell ref="AV157:AV158"/>
    <mergeCell ref="AZ157:AZ158"/>
    <mergeCell ref="BC166:BC167"/>
    <mergeCell ref="AS141:AS142"/>
    <mergeCell ref="AS166:AS167"/>
    <mergeCell ref="AS7:AS8"/>
    <mergeCell ref="AS67:AS68"/>
    <mergeCell ref="AT157:AT158"/>
    <mergeCell ref="BA67:BA68"/>
    <mergeCell ref="BC7:BC8"/>
    <mergeCell ref="AU127:AU128"/>
    <mergeCell ref="AU141:AU142"/>
    <mergeCell ref="AW141:AW142"/>
    <mergeCell ref="AV141:AV142"/>
    <mergeCell ref="AY141:AY142"/>
    <mergeCell ref="AX141:AX142"/>
    <mergeCell ref="AU7:AU8"/>
    <mergeCell ref="AW7:AW8"/>
    <mergeCell ref="AT141:AT142"/>
    <mergeCell ref="AT127:AT128"/>
    <mergeCell ref="BA7:BA8"/>
    <mergeCell ref="BB7:BB8"/>
    <mergeCell ref="AZ7:AZ8"/>
    <mergeCell ref="BB67:BB68"/>
    <mergeCell ref="AV7:AV8"/>
    <mergeCell ref="AK7:AK8"/>
    <mergeCell ref="C5:E5"/>
    <mergeCell ref="AT7:AT8"/>
    <mergeCell ref="AT67:AT68"/>
    <mergeCell ref="AP141:AP142"/>
    <mergeCell ref="AO7:AO8"/>
    <mergeCell ref="AL67:AL68"/>
    <mergeCell ref="AM141:AM142"/>
    <mergeCell ref="BF141:BF142"/>
    <mergeCell ref="AX7:AX8"/>
    <mergeCell ref="AX67:AX68"/>
    <mergeCell ref="AX127:AX128"/>
    <mergeCell ref="AW67:AW68"/>
    <mergeCell ref="AW127:AW128"/>
    <mergeCell ref="AV67:AV68"/>
    <mergeCell ref="AV127:AV128"/>
    <mergeCell ref="AS127:AS128"/>
    <mergeCell ref="C7:C8"/>
    <mergeCell ref="E7:E8"/>
    <mergeCell ref="C67:C68"/>
    <mergeCell ref="E67:E68"/>
    <mergeCell ref="AR127:AR128"/>
    <mergeCell ref="AQ7:AQ8"/>
    <mergeCell ref="AQ67:AQ68"/>
    <mergeCell ref="AJ7:AJ8"/>
    <mergeCell ref="AJ67:AJ68"/>
    <mergeCell ref="AO67:AO68"/>
    <mergeCell ref="AO127:AO128"/>
    <mergeCell ref="B127:B128"/>
    <mergeCell ref="C127:C128"/>
    <mergeCell ref="E127:E128"/>
    <mergeCell ref="B7:B8"/>
    <mergeCell ref="BJ141:BJ142"/>
    <mergeCell ref="BI141:BI142"/>
    <mergeCell ref="BH141:BH142"/>
    <mergeCell ref="BC141:BC142"/>
    <mergeCell ref="BD7:BD8"/>
    <mergeCell ref="BC67:BC68"/>
    <mergeCell ref="BA127:BA128"/>
    <mergeCell ref="BB127:BB128"/>
    <mergeCell ref="AY127:AY128"/>
    <mergeCell ref="AZ127:AZ128"/>
    <mergeCell ref="AQ127:AQ128"/>
    <mergeCell ref="AP7:AP8"/>
    <mergeCell ref="AP67:AP68"/>
    <mergeCell ref="AP127:AP128"/>
    <mergeCell ref="AR7:AR8"/>
    <mergeCell ref="AI7:AI8"/>
    <mergeCell ref="B67:B68"/>
    <mergeCell ref="AI67:AI68"/>
    <mergeCell ref="AI127:AI128"/>
    <mergeCell ref="BG141:BG142"/>
    <mergeCell ref="AK67:AK68"/>
    <mergeCell ref="AL7:AL8"/>
    <mergeCell ref="BJ7:BJ8"/>
    <mergeCell ref="BI67:BI68"/>
    <mergeCell ref="BJ67:BJ68"/>
    <mergeCell ref="BF127:BF128"/>
    <mergeCell ref="BH7:BH8"/>
    <mergeCell ref="BH67:BH68"/>
    <mergeCell ref="BE67:BE68"/>
    <mergeCell ref="BF67:BF68"/>
    <mergeCell ref="BE7:BE8"/>
    <mergeCell ref="BF7:BF8"/>
    <mergeCell ref="BG7:BG8"/>
    <mergeCell ref="BG67:BG68"/>
    <mergeCell ref="BI7:BI8"/>
    <mergeCell ref="AM7:AM8"/>
    <mergeCell ref="AM67:AM68"/>
    <mergeCell ref="AM127:AM128"/>
    <mergeCell ref="AY7:AY8"/>
    <mergeCell ref="AY67:AY68"/>
    <mergeCell ref="BK67:BK68"/>
    <mergeCell ref="BJ127:BJ128"/>
    <mergeCell ref="BE157:BE158"/>
    <mergeCell ref="BI166:BI167"/>
    <mergeCell ref="BH127:BH128"/>
    <mergeCell ref="BJ176:BJ177"/>
    <mergeCell ref="BK176:BK177"/>
    <mergeCell ref="BC127:BC128"/>
    <mergeCell ref="BD67:BD68"/>
    <mergeCell ref="BD127:BD128"/>
    <mergeCell ref="BE127:BE128"/>
    <mergeCell ref="BG127:BG128"/>
    <mergeCell ref="BJ157:BJ158"/>
    <mergeCell ref="BK157:BK158"/>
    <mergeCell ref="BI157:BI158"/>
    <mergeCell ref="BH157:BH158"/>
    <mergeCell ref="BG157:BG158"/>
    <mergeCell ref="BD157:BD158"/>
    <mergeCell ref="BK127:BK128"/>
    <mergeCell ref="BI127:BI128"/>
    <mergeCell ref="BC157:BC158"/>
    <mergeCell ref="BK141:BK142"/>
    <mergeCell ref="BD141:BD142"/>
    <mergeCell ref="BE141:BE142"/>
    <mergeCell ref="AA7:AA8"/>
    <mergeCell ref="AA67:AA68"/>
    <mergeCell ref="AA127:AA128"/>
    <mergeCell ref="AA141:AA142"/>
    <mergeCell ref="AA157:AA158"/>
    <mergeCell ref="AA166:AA167"/>
    <mergeCell ref="AA176:AA177"/>
    <mergeCell ref="AA232:AA233"/>
    <mergeCell ref="AB7:AB8"/>
    <mergeCell ref="AB67:AB68"/>
    <mergeCell ref="AB127:AB128"/>
    <mergeCell ref="AB141:AB142"/>
    <mergeCell ref="AB157:AB158"/>
    <mergeCell ref="AB166:AB167"/>
    <mergeCell ref="AB176:AB177"/>
    <mergeCell ref="AB232:AB233"/>
    <mergeCell ref="B204:B205"/>
    <mergeCell ref="C204:C205"/>
    <mergeCell ref="E204:E205"/>
    <mergeCell ref="Y204:Y205"/>
    <mergeCell ref="Z204:Z205"/>
    <mergeCell ref="AA204:AA205"/>
    <mergeCell ref="AB204:AB205"/>
    <mergeCell ref="AC204:AC205"/>
    <mergeCell ref="AD204:AD205"/>
    <mergeCell ref="J204:J205"/>
    <mergeCell ref="AE204:AE205"/>
    <mergeCell ref="AF204:AF205"/>
    <mergeCell ref="AG204:AG205"/>
    <mergeCell ref="AH204:AH205"/>
    <mergeCell ref="AI204:AI205"/>
    <mergeCell ref="AJ204:AJ205"/>
    <mergeCell ref="AK204:AK205"/>
    <mergeCell ref="AL204:AL205"/>
    <mergeCell ref="AM204:AM205"/>
    <mergeCell ref="AN204:AN205"/>
    <mergeCell ref="AO204:AO205"/>
    <mergeCell ref="AP204:AP205"/>
    <mergeCell ref="AQ204:AQ205"/>
    <mergeCell ref="AR204:AR205"/>
    <mergeCell ref="AS204:AS205"/>
    <mergeCell ref="AT204:AT205"/>
    <mergeCell ref="AU204:AU205"/>
    <mergeCell ref="AV204:AV205"/>
    <mergeCell ref="AW204:AW205"/>
    <mergeCell ref="AX204:AX205"/>
    <mergeCell ref="AY204:AY205"/>
    <mergeCell ref="AZ204:AZ205"/>
    <mergeCell ref="BA204:BA205"/>
    <mergeCell ref="BB204:BB205"/>
    <mergeCell ref="BC204:BC205"/>
    <mergeCell ref="BD204:BD205"/>
    <mergeCell ref="BE204:BE205"/>
    <mergeCell ref="BF204:BF205"/>
    <mergeCell ref="BG204:BG205"/>
    <mergeCell ref="BH204:BH205"/>
    <mergeCell ref="BI204:BI205"/>
    <mergeCell ref="BJ204:BJ205"/>
    <mergeCell ref="BK204:BK205"/>
    <mergeCell ref="B260:B261"/>
    <mergeCell ref="C260:C261"/>
    <mergeCell ref="E260:E261"/>
    <mergeCell ref="Y260:Y261"/>
    <mergeCell ref="Z260:Z261"/>
    <mergeCell ref="AA260:AA261"/>
    <mergeCell ref="AB260:AB261"/>
    <mergeCell ref="AC260:AC261"/>
    <mergeCell ref="AD260:AD261"/>
    <mergeCell ref="AE260:AE261"/>
    <mergeCell ref="AF260:AF261"/>
    <mergeCell ref="AG260:AG261"/>
    <mergeCell ref="AH260:AH261"/>
    <mergeCell ref="AI260:AI261"/>
    <mergeCell ref="AJ260:AJ261"/>
    <mergeCell ref="AK260:AK261"/>
    <mergeCell ref="AL260:AL261"/>
    <mergeCell ref="AM260:AM261"/>
    <mergeCell ref="AN260:AN261"/>
    <mergeCell ref="AO260:AO261"/>
    <mergeCell ref="AP260:AP261"/>
    <mergeCell ref="AQ260:AQ261"/>
    <mergeCell ref="AR260:AR261"/>
    <mergeCell ref="AS260:AS261"/>
    <mergeCell ref="AT260:AT261"/>
    <mergeCell ref="AU260:AU261"/>
    <mergeCell ref="AV260:AV261"/>
    <mergeCell ref="BF260:BF261"/>
    <mergeCell ref="BG260:BG261"/>
    <mergeCell ref="BH260:BH261"/>
    <mergeCell ref="BI260:BI261"/>
    <mergeCell ref="BJ260:BJ261"/>
    <mergeCell ref="BK260:BK261"/>
    <mergeCell ref="AW260:AW261"/>
    <mergeCell ref="AX260:AX261"/>
    <mergeCell ref="AY260:AY261"/>
    <mergeCell ref="AZ260:AZ261"/>
    <mergeCell ref="BA260:BA261"/>
    <mergeCell ref="BB260:BB261"/>
    <mergeCell ref="BC260:BC261"/>
    <mergeCell ref="BD260:BD261"/>
    <mergeCell ref="BE260:BE261"/>
    <mergeCell ref="X260:X261"/>
    <mergeCell ref="X7:X8"/>
    <mergeCell ref="X127:X128"/>
    <mergeCell ref="X157:X158"/>
    <mergeCell ref="X176:X177"/>
    <mergeCell ref="X232:X233"/>
    <mergeCell ref="X67:X68"/>
    <mergeCell ref="X141:X142"/>
    <mergeCell ref="X166:X167"/>
    <mergeCell ref="X204:X205"/>
    <mergeCell ref="W260:W261"/>
    <mergeCell ref="W7:W8"/>
    <mergeCell ref="W67:W68"/>
    <mergeCell ref="W127:W128"/>
    <mergeCell ref="W141:W142"/>
    <mergeCell ref="W157:W158"/>
    <mergeCell ref="W166:W167"/>
    <mergeCell ref="W176:W177"/>
    <mergeCell ref="W204:W205"/>
    <mergeCell ref="W232:W233"/>
    <mergeCell ref="V260:V261"/>
    <mergeCell ref="V7:V8"/>
    <mergeCell ref="V67:V68"/>
    <mergeCell ref="V127:V128"/>
    <mergeCell ref="V157:V158"/>
    <mergeCell ref="V176:V177"/>
    <mergeCell ref="V232:V233"/>
    <mergeCell ref="V141:V142"/>
    <mergeCell ref="V166:V167"/>
    <mergeCell ref="V204:V205"/>
    <mergeCell ref="T260:T261"/>
    <mergeCell ref="T7:T8"/>
    <mergeCell ref="T127:T128"/>
    <mergeCell ref="T157:T158"/>
    <mergeCell ref="T176:T177"/>
    <mergeCell ref="T232:T233"/>
    <mergeCell ref="T67:T68"/>
    <mergeCell ref="T141:T142"/>
    <mergeCell ref="T166:T167"/>
    <mergeCell ref="T204:T205"/>
    <mergeCell ref="R260:R261"/>
    <mergeCell ref="R7:R8"/>
    <mergeCell ref="R127:R128"/>
    <mergeCell ref="R157:R158"/>
    <mergeCell ref="R176:R177"/>
    <mergeCell ref="R232:R233"/>
    <mergeCell ref="R67:R68"/>
    <mergeCell ref="R141:R142"/>
    <mergeCell ref="R166:R167"/>
    <mergeCell ref="R204:R205"/>
    <mergeCell ref="L260:L261"/>
    <mergeCell ref="L7:L8"/>
    <mergeCell ref="L67:L68"/>
    <mergeCell ref="L127:L128"/>
    <mergeCell ref="L141:L142"/>
    <mergeCell ref="L157:L158"/>
    <mergeCell ref="L166:L167"/>
    <mergeCell ref="L176:L177"/>
    <mergeCell ref="L204:L205"/>
    <mergeCell ref="L232:L233"/>
    <mergeCell ref="H260:H261"/>
    <mergeCell ref="H7:H8"/>
    <mergeCell ref="H67:H68"/>
    <mergeCell ref="H127:H128"/>
    <mergeCell ref="H141:H142"/>
    <mergeCell ref="H157:H158"/>
    <mergeCell ref="H166:H167"/>
    <mergeCell ref="H176:H177"/>
    <mergeCell ref="H204:H205"/>
    <mergeCell ref="H232:H233"/>
    <mergeCell ref="G260:G261"/>
    <mergeCell ref="G7:G8"/>
    <mergeCell ref="G67:G68"/>
    <mergeCell ref="G127:G128"/>
    <mergeCell ref="G141:G142"/>
    <mergeCell ref="G157:G158"/>
    <mergeCell ref="G166:G167"/>
    <mergeCell ref="G176:G177"/>
    <mergeCell ref="G204:G205"/>
    <mergeCell ref="G232:G233"/>
    <mergeCell ref="F260:F261"/>
    <mergeCell ref="F7:F8"/>
    <mergeCell ref="F67:F68"/>
    <mergeCell ref="F127:F128"/>
    <mergeCell ref="F141:F142"/>
    <mergeCell ref="F157:F158"/>
    <mergeCell ref="F166:F167"/>
    <mergeCell ref="F176:F177"/>
    <mergeCell ref="F204:F205"/>
    <mergeCell ref="F232:F233"/>
  </mergeCells>
  <phoneticPr fontId="14" type="noConversion"/>
  <hyperlinks>
    <hyperlink ref="C5" location="Contents!A1" display="Contents!A1"/>
    <hyperlink ref="F5" location="'Key Financials'!A1" display="Key financial and operational results"/>
    <hyperlink ref="H5" location="'Loan Portfolio IFRS 9'!A1" display="Loan portfolio"/>
    <hyperlink ref="I5" location="'Customer Deposits'!A1" display="Customer deposits"/>
    <hyperlink ref="J5" location="Capital!A1" display="Capital"/>
  </hyperlinks>
  <pageMargins left="0.25" right="0.25" top="0.75" bottom="0.75" header="0.3" footer="0.3"/>
  <pageSetup paperSize="9" scale="13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Contents</vt:lpstr>
      <vt:lpstr>Key Financials</vt:lpstr>
      <vt:lpstr>Assets and Liabili-s structure</vt:lpstr>
      <vt:lpstr>Loan Portfolio IFRS 9</vt:lpstr>
      <vt:lpstr>Loan Portfolio IAS 39</vt:lpstr>
      <vt:lpstr>Customer Deposits</vt:lpstr>
      <vt:lpstr>Capital</vt:lpstr>
      <vt:lpstr>Income and Expenses structure</vt:lpstr>
      <vt:lpstr>'Key Financials'!Область_печати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Руслан Юрьевич</dc:creator>
  <cp:lastModifiedBy>Васильев Руслан Юрьевич</cp:lastModifiedBy>
  <cp:lastPrinted>2019-03-19T18:11:21Z</cp:lastPrinted>
  <dcterms:created xsi:type="dcterms:W3CDTF">2012-11-22T07:49:35Z</dcterms:created>
  <dcterms:modified xsi:type="dcterms:W3CDTF">2025-11-20T08:18:59Z</dcterms:modified>
</cp:coreProperties>
</file>